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olors1.xml" ContentType="application/vnd.ms-office.chartcolorstyle+xml"/>
  <Override PartName="/xl/charts/colors2.xml" ContentType="application/vnd.ms-office.chartcolorstyle+xml"/>
  <Override PartName="/xl/charts/style1.xml" ContentType="application/vnd.ms-office.chartstyle+xml"/>
  <Override PartName="/xl/charts/style2.xml" ContentType="application/vnd.ms-office.chartstyle+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workbookAlgorithmName="SHA-512" workbookHashValue="lPOSzVqOuEjOzOK0un0c/3Jc6KjZYt7lErXOCnpPyo4Fuu8XBSggE+39ZF1v4LgFSiVgTsQ+UB7G8iiNHq/gUQ==" workbookSaltValue="DfkPyBGnnrE2qzDLwHvHLQ==" workbookSpinCount="100000" lockStructure="1"/>
  <bookViews>
    <workbookView windowWidth="24750" windowHeight="11190" tabRatio="924" firstSheet="1"/>
  </bookViews>
  <sheets>
    <sheet name="人物卡" sheetId="1" r:id="rId1"/>
    <sheet name="简化卡 骰娘导入" sheetId="2" r:id="rId2"/>
    <sheet name="附表" sheetId="3" state="hidden" r:id="rId3"/>
    <sheet name="忠诚伙伴" sheetId="4" r:id="rId4"/>
    <sheet name="本职技能" sheetId="5" state="hidden" r:id="rId5"/>
    <sheet name="职业列表" sheetId="6" r:id="rId6"/>
    <sheet name="技能注释" sheetId="7" state="hidden" r:id="rId7"/>
    <sheet name="防具表 载具表" sheetId="8" r:id="rId8"/>
    <sheet name="COC法术" sheetId="9" state="hidden" r:id="rId9"/>
    <sheet name="神话书籍" sheetId="10" state="hidden" r:id="rId10"/>
    <sheet name="宠物图鉴" sheetId="11" state="hidden" r:id="rId11"/>
    <sheet name="武器列表" sheetId="12" r:id="rId12"/>
    <sheet name="特质Z" sheetId="13" state="hidden" r:id="rId13"/>
  </sheets>
  <definedNames>
    <definedName name="_xlnm._FilterDatabase" localSheetId="0" hidden="1">人物卡!$B$1:$BR$183</definedName>
    <definedName name="APP">人物卡!$AA$5</definedName>
    <definedName name="CON">人物卡!$U$5</definedName>
    <definedName name="DEX">人物卡!$AA$3</definedName>
    <definedName name="EDU">人物卡!$AG$5</definedName>
    <definedName name="INT">人物卡!$AA$7</definedName>
    <definedName name="Luck">人物卡!$AG$7</definedName>
    <definedName name="MP">人物卡!$W$10</definedName>
    <definedName name="POW">人物卡!$AG$3</definedName>
    <definedName name="SIZ">人物卡!$U$7</definedName>
    <definedName name="STR">人物卡!$U$3</definedName>
    <definedName name="SAN">人物卡!$BM$19</definedName>
    <definedName name="体型">人物卡!$BT$13</definedName>
    <definedName name="LUK">人物卡!$AG$7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MIX 2</author>
    <author>Redmi K20 Pro</author>
  </authors>
  <commentList>
    <comment ref="F23" authorId="0">
      <text>
        <r>
          <rPr>
            <sz val="11"/>
            <rFont val="宋体"/>
            <charset val="134"/>
          </rPr>
          <t>在规则书Version1907版本中
译名“魅惑”→“取悦”</t>
        </r>
      </text>
    </comment>
    <comment ref="AB23" authorId="0">
      <text>
        <r>
          <rPr>
            <sz val="11"/>
            <rFont val="宋体"/>
            <charset val="134"/>
          </rPr>
          <t>在规则书Version1907版本中
译名“领航”→“导航”</t>
        </r>
      </text>
    </comment>
    <comment ref="AU24" authorId="1">
      <text>
        <r>
          <rPr>
            <sz val="11"/>
            <rFont val="宋体"/>
            <charset val="134"/>
          </rPr>
          <t>输入名称和基础值，再在相关技能后填写此名称，人物卡就可以显示基础值</t>
        </r>
      </text>
    </comment>
    <comment ref="BC26" authorId="1">
      <text>
        <r>
          <rPr>
            <sz val="11"/>
            <rFont val="宋体"/>
            <charset val="134"/>
          </rPr>
          <t>如果你选经历包，一定把这里补充完整</t>
        </r>
      </text>
    </comment>
    <comment ref="AB47" authorId="0">
      <text>
        <r>
          <rPr>
            <sz val="11"/>
            <rFont val="宋体"/>
            <charset val="134"/>
          </rPr>
          <t>在规则书Version2002版本中（最新版本）
译名“学问”→“学识”</t>
        </r>
      </text>
    </comment>
    <comment ref="B66" authorId="1">
      <text>
        <r>
          <rPr>
            <sz val="11"/>
            <rFont val="宋体"/>
            <charset val="134"/>
          </rPr>
          <t>请不要忘记填写名称</t>
        </r>
      </text>
    </comment>
  </commentList>
</comments>
</file>

<file path=xl/comments2.xml><?xml version="1.0" encoding="utf-8"?>
<comments xmlns="http://schemas.openxmlformats.org/spreadsheetml/2006/main">
  <authors>
    <author>Windows10</author>
  </authors>
  <commentList>
    <comment ref="S219" authorId="0">
      <text>
        <r>
          <rPr>
            <b/>
            <sz val="9"/>
            <rFont val="宋体"/>
            <charset val="134"/>
          </rPr>
          <t>Aerocraft （01%）</t>
        </r>
        <r>
          <rPr>
            <sz val="9"/>
            <rFont val="宋体"/>
            <charset val="134"/>
          </rPr>
          <t xml:space="preserve">
- 理解以及足以操作飞行器类的载具。
- 当进行任何的降落时，即使是在最好的环境下，也必须进行一个驾驶检定。
- 如果在一个平整的，有着绿草覆盖的地方进行降落，且是一个风平浪静的夏季日子，那么在飞机降落上检定的失败也许只是意味着导致了一次颠簸不稳的降落，可能会让一些心灵脆弱的乘客不敢再次乘坐飞机。
- 在极端情况下，在一个暴风雨的天气里在冰川上进行降落的失败检定可能会导致飞机的坠毁并且里面所有人都受伤或者死亡。
- 失败的检定通常意味着对飞行器造成了损伤，并且在下次起飞前必须先进行修复。
- 如果检定的结果为 100，那么将会导致一起令人难忘的灾难性事件。
- 每种不同的飞行器的技能都需要独立计算，并且分开罗列，或者依照 KP 觉得合适的方式来做。
- 1920年代：仅有驾驶热气球/飞船/民用螺旋桨飞机。
- 现代：驾驶民用螺旋桨飞机，驾驶民用喷气飞机，驾驶客机，驾驶喷气战斗机，驾驶直升飞机。
- 对于一件飞行器的驾驶技能可以被转而用于一个别的形式的飞行
器，但是难度等级可能会提升。</t>
        </r>
      </text>
    </comment>
    <comment ref="M221" authorId="0">
      <text>
        <r>
          <rPr>
            <b/>
            <sz val="9"/>
            <rFont val="宋体"/>
            <charset val="134"/>
          </rPr>
          <t>Photography (05%)</t>
        </r>
        <r>
          <rPr>
            <sz val="9"/>
            <rFont val="宋体"/>
            <charset val="134"/>
          </rPr>
          <t xml:space="preserve">
同时包括静止以及运动摄影。
这项技能允许某人拍摄清晰的照片，恰当地修饰照片，并且强化半掩的细节。
在 1920 年代，使用者可以准备必须的化学用品来制作闪光粉。
在现代，这个技能拓展到包括摄影机，视频播放设备，数码摄影以及数码编辑，使用者熟练于对数字图像的操作修改。
可以从原始的资源中创造出完全不同的版本，例如改变照片中一个人所处的地点，和谁
在一起，以及在做什么。
这些专家也可能可以发现一张图像什么时候被修改过了。
正常的快拍不需要技能检定。
当想要进行有效的偷拍，或者进行细节捕捉—特别是远距离，快速，以
及低光，时将会被要求进行这个检定。这项技能也允许调查员判断一张照片是否被篡改或者捏造，以及进行这张照片拍摄的角度和位置。</t>
        </r>
      </text>
    </comment>
  </commentList>
</comments>
</file>

<file path=xl/sharedStrings.xml><?xml version="1.0" encoding="utf-8"?>
<sst xmlns="http://schemas.openxmlformats.org/spreadsheetml/2006/main" count="28897" uniqueCount="13125">
  <si>
    <t>电脑推荐使用excel2010及以后版本或WPS打开本卡，使用横轴滚动条可以看见更多东西</t>
  </si>
  <si>
    <t>调查员信息</t>
  </si>
  <si>
    <t>年龄补正：</t>
  </si>
  <si>
    <t>属性</t>
  </si>
  <si>
    <t>头像</t>
  </si>
  <si>
    <t>角色外观参考</t>
  </si>
  <si>
    <t>姓名</t>
  </si>
  <si>
    <t>力量
STR</t>
  </si>
  <si>
    <t>敏捷
DEX</t>
  </si>
  <si>
    <t>意志
POW</t>
  </si>
  <si>
    <t>玩家</t>
  </si>
  <si>
    <t>时代</t>
  </si>
  <si>
    <t>现代</t>
  </si>
  <si>
    <t>职业</t>
  </si>
  <si>
    <t>职业序号</t>
  </si>
  <si>
    <t>体质
CON</t>
  </si>
  <si>
    <t>外貌
APP</t>
  </si>
  <si>
    <t>教育
知识</t>
  </si>
  <si>
    <t>年龄</t>
  </si>
  <si>
    <t>性别</t>
  </si>
  <si>
    <t>住地</t>
  </si>
  <si>
    <t>国籍</t>
  </si>
  <si>
    <t>体型
SIZ</t>
  </si>
  <si>
    <t>智力
灵感</t>
  </si>
  <si>
    <t>幸运
Luck</t>
  </si>
  <si>
    <t>现时间</t>
  </si>
  <si>
    <t>公元</t>
  </si>
  <si>
    <t>1月</t>
  </si>
  <si>
    <t>1日</t>
  </si>
  <si>
    <t>0：00</t>
  </si>
  <si>
    <t>生命值
Hit  Points</t>
  </si>
  <si>
    <t>状态:</t>
  </si>
  <si>
    <t>理智
Sanity</t>
  </si>
  <si>
    <t>魔法
Magic Points</t>
  </si>
  <si>
    <t>每h恢复</t>
  </si>
  <si>
    <t>移动力
MOV</t>
  </si>
  <si>
    <t>调整值</t>
  </si>
  <si>
    <t>护甲       Armor</t>
  </si>
  <si>
    <t>护甲加值</t>
  </si>
  <si>
    <t>健康</t>
  </si>
  <si>
    <t>清醒</t>
  </si>
  <si>
    <t>受伤：</t>
  </si>
  <si>
    <t>临时生命</t>
  </si>
  <si>
    <t>意志损失 :</t>
  </si>
  <si>
    <t>剩余：</t>
  </si>
  <si>
    <t>额外的魔力</t>
  </si>
  <si>
    <t>移动方式</t>
  </si>
  <si>
    <t>步式</t>
  </si>
  <si>
    <t>护甲减值</t>
  </si>
  <si>
    <t>关</t>
  </si>
  <si>
    <t>护甲类型 :</t>
  </si>
  <si>
    <t>技能表</t>
  </si>
  <si>
    <t>成长</t>
  </si>
  <si>
    <t>本职</t>
  </si>
  <si>
    <t>技能名称</t>
  </si>
  <si>
    <t>初始</t>
  </si>
  <si>
    <t>兴趣</t>
  </si>
  <si>
    <t>成功率 普通/困难/极难</t>
  </si>
  <si>
    <t>☐</t>
  </si>
  <si>
    <t>会计</t>
  </si>
  <si>
    <t>法律</t>
  </si>
  <si>
    <t>人类学</t>
  </si>
  <si>
    <t>图书馆使用</t>
  </si>
  <si>
    <t>人物特长分配</t>
  </si>
  <si>
    <t>额外精通的技能</t>
  </si>
  <si>
    <t>估价</t>
  </si>
  <si>
    <t>聆听</t>
  </si>
  <si>
    <t>任意特长</t>
  </si>
  <si>
    <t>考古学</t>
  </si>
  <si>
    <t>锁匠</t>
  </si>
  <si>
    <t>技艺①</t>
  </si>
  <si>
    <t>机械维修</t>
  </si>
  <si>
    <t>技艺②</t>
  </si>
  <si>
    <t>医学</t>
  </si>
  <si>
    <t>★</t>
  </si>
  <si>
    <t>手工艺</t>
  </si>
  <si>
    <t>——</t>
  </si>
  <si>
    <t>博物学</t>
  </si>
  <si>
    <t>提示当前职业</t>
  </si>
  <si>
    <t>取悦</t>
  </si>
  <si>
    <t>导航</t>
  </si>
  <si>
    <t>请将你选择的任意特长写在上方栏内，这样既方便你写卡又方便KP审卡</t>
  </si>
  <si>
    <t>攀爬</t>
  </si>
  <si>
    <t>神秘学</t>
  </si>
  <si>
    <t>自定义技能</t>
  </si>
  <si>
    <t>自定义经历包</t>
  </si>
  <si>
    <t>临时状态</t>
  </si>
  <si>
    <t>计算机使用 Ω</t>
  </si>
  <si>
    <t>操作重型机械</t>
  </si>
  <si>
    <t>技艺技能名称</t>
  </si>
  <si>
    <t>基础值</t>
  </si>
  <si>
    <t>经历包名称</t>
  </si>
  <si>
    <t>状态名称(例:生病、精神分裂)</t>
  </si>
  <si>
    <t>信用评级</t>
  </si>
  <si>
    <t>说服</t>
  </si>
  <si>
    <t>自定义</t>
  </si>
  <si>
    <t>克苏鲁神话</t>
  </si>
  <si>
    <t>驾驶：</t>
  </si>
  <si>
    <t>格斗技能名称</t>
  </si>
  <si>
    <t>san值减少</t>
  </si>
  <si>
    <t>技能增长</t>
  </si>
  <si>
    <t>身体状态</t>
  </si>
  <si>
    <t>精神状态</t>
  </si>
  <si>
    <t>乔装</t>
  </si>
  <si>
    <t>精神分析</t>
  </si>
  <si>
    <t>闪避</t>
  </si>
  <si>
    <t>心理学</t>
  </si>
  <si>
    <t>射击技能名称</t>
  </si>
  <si>
    <t>备注</t>
  </si>
  <si>
    <t>汽车驾驶</t>
  </si>
  <si>
    <t>骑术</t>
  </si>
  <si>
    <t>电气维修</t>
  </si>
  <si>
    <t>科学①</t>
  </si>
  <si>
    <t>驾驶技能名称</t>
  </si>
  <si>
    <t>电子学 Ω</t>
  </si>
  <si>
    <t>科学②</t>
  </si>
  <si>
    <t>话术</t>
  </si>
  <si>
    <t>科学③</t>
  </si>
  <si>
    <t>科学技能名称</t>
  </si>
  <si>
    <t>格斗：</t>
  </si>
  <si>
    <t>斗殴</t>
  </si>
  <si>
    <t>妙手</t>
  </si>
  <si>
    <t>格斗①</t>
  </si>
  <si>
    <t>侦查</t>
  </si>
  <si>
    <t>年龄补正</t>
  </si>
  <si>
    <t>自定义货币</t>
  </si>
  <si>
    <t>格斗②</t>
  </si>
  <si>
    <t>潜行</t>
  </si>
  <si>
    <t>货币名称</t>
  </si>
  <si>
    <t>与美元的汇率</t>
  </si>
  <si>
    <t>格斗③</t>
  </si>
  <si>
    <t>生存：</t>
  </si>
  <si>
    <t>射击：</t>
  </si>
  <si>
    <t>手枪</t>
  </si>
  <si>
    <t>游泳</t>
  </si>
  <si>
    <t>职业关系</t>
  </si>
  <si>
    <t>射击①</t>
  </si>
  <si>
    <t>投掷</t>
  </si>
  <si>
    <t>职业介绍</t>
  </si>
  <si>
    <t>射击②</t>
  </si>
  <si>
    <t>追踪</t>
  </si>
  <si>
    <t>射击③</t>
  </si>
  <si>
    <t>动物驯养</t>
  </si>
  <si>
    <t>急救</t>
  </si>
  <si>
    <t>潜水</t>
  </si>
  <si>
    <t>历史</t>
  </si>
  <si>
    <t>爆破</t>
  </si>
  <si>
    <t>恐吓</t>
  </si>
  <si>
    <t>读唇</t>
  </si>
  <si>
    <t>可视化状态</t>
  </si>
  <si>
    <t>跳跃</t>
  </si>
  <si>
    <t>催眠</t>
  </si>
  <si>
    <t>生命值</t>
  </si>
  <si>
    <t>外语①</t>
  </si>
  <si>
    <t>炮术</t>
  </si>
  <si>
    <t>魔法值</t>
  </si>
  <si>
    <t>外语②</t>
  </si>
  <si>
    <t>学识1</t>
  </si>
  <si>
    <t>理智值</t>
  </si>
  <si>
    <t>外语③</t>
  </si>
  <si>
    <t>学识2</t>
  </si>
  <si>
    <t>护甲值</t>
  </si>
  <si>
    <t>普通护甲</t>
  </si>
  <si>
    <t>母语</t>
  </si>
  <si>
    <t>通灵</t>
  </si>
  <si>
    <t>传说</t>
  </si>
  <si>
    <t>风水</t>
  </si>
  <si>
    <t>背包物品</t>
  </si>
  <si>
    <t>城市导航</t>
  </si>
  <si>
    <t>次文化</t>
  </si>
  <si>
    <t>物品名称</t>
  </si>
  <si>
    <t>数量</t>
  </si>
  <si>
    <t>重量</t>
  </si>
  <si>
    <t>稽古</t>
  </si>
  <si>
    <t>东方医学</t>
  </si>
  <si>
    <t>冥想</t>
  </si>
  <si>
    <t>礼仪作法</t>
  </si>
  <si>
    <t>武术</t>
  </si>
  <si>
    <t>企业文化</t>
  </si>
  <si>
    <t>流派</t>
  </si>
  <si>
    <t>我流</t>
  </si>
  <si>
    <t>武士道</t>
  </si>
  <si>
    <t>做梦</t>
  </si>
  <si>
    <t>梦学问</t>
  </si>
  <si>
    <t>自定义1</t>
  </si>
  <si>
    <t>自定义6</t>
  </si>
  <si>
    <t>自定义2</t>
  </si>
  <si>
    <t>自定义7</t>
  </si>
  <si>
    <t>自定义3</t>
  </si>
  <si>
    <t>自定义8</t>
  </si>
  <si>
    <t>自定义4</t>
  </si>
  <si>
    <t>自定义9</t>
  </si>
  <si>
    <t>自定义5</t>
  </si>
  <si>
    <t>自定义10</t>
  </si>
  <si>
    <t>武器表</t>
  </si>
  <si>
    <t>格斗</t>
  </si>
  <si>
    <t>武器名称</t>
  </si>
  <si>
    <t>类型</t>
  </si>
  <si>
    <t>使用技能</t>
  </si>
  <si>
    <t>成功率</t>
  </si>
  <si>
    <t>伤害</t>
  </si>
  <si>
    <t>基础射程</t>
  </si>
  <si>
    <t>贯穿</t>
  </si>
  <si>
    <t>次数</t>
  </si>
  <si>
    <t>装弹量</t>
  </si>
  <si>
    <t>故障值</t>
  </si>
  <si>
    <t>伤害加值
Damage Bonus</t>
  </si>
  <si>
    <t>无</t>
  </si>
  <si>
    <t>肉搏</t>
  </si>
  <si>
    <t>1D3+DB</t>
  </si>
  <si>
    <t>×</t>
  </si>
  <si>
    <t>体格
Build</t>
  </si>
  <si>
    <t>调查员负重</t>
  </si>
  <si>
    <t>/</t>
  </si>
  <si>
    <t>Kg</t>
  </si>
  <si>
    <t>贴身物品</t>
  </si>
  <si>
    <t>饰品1</t>
  </si>
  <si>
    <t>头部</t>
  </si>
  <si>
    <t>饰品2</t>
  </si>
  <si>
    <t>闪避
Dodge</t>
  </si>
  <si>
    <t>面部</t>
  </si>
  <si>
    <t>左肩</t>
  </si>
  <si>
    <t>右肩</t>
  </si>
  <si>
    <t>颈部</t>
  </si>
  <si>
    <t>资产</t>
  </si>
  <si>
    <t>背景设定</t>
  </si>
  <si>
    <t>关键</t>
  </si>
  <si>
    <t>左臂</t>
  </si>
  <si>
    <t>右臂</t>
  </si>
  <si>
    <t>生活水平</t>
  </si>
  <si>
    <t>消费水平</t>
  </si>
  <si>
    <t>其他资产</t>
  </si>
  <si>
    <t>当前现金</t>
  </si>
  <si>
    <t>单位</t>
  </si>
  <si>
    <t>形象描述</t>
  </si>
  <si>
    <t>胸口</t>
  </si>
  <si>
    <t>日元</t>
  </si>
  <si>
    <t>未腐化</t>
  </si>
  <si>
    <t>左手</t>
  </si>
  <si>
    <t>腹部</t>
  </si>
  <si>
    <t>右手</t>
  </si>
  <si>
    <t>理想信念</t>
  </si>
  <si>
    <t>武器1</t>
  </si>
  <si>
    <t>腰部</t>
  </si>
  <si>
    <t>武器3</t>
  </si>
  <si>
    <t>武器2</t>
  </si>
  <si>
    <t>武器4</t>
  </si>
  <si>
    <t>重要之人</t>
  </si>
  <si>
    <t>左腿</t>
  </si>
  <si>
    <t>右腿</t>
  </si>
  <si>
    <t>重要</t>
  </si>
  <si>
    <t>非凡之地</t>
  </si>
  <si>
    <t>左膝</t>
  </si>
  <si>
    <t>右膝</t>
  </si>
  <si>
    <t>其他资产表</t>
  </si>
  <si>
    <t>左脚</t>
  </si>
  <si>
    <t>右脚</t>
  </si>
  <si>
    <t>资产类型</t>
  </si>
  <si>
    <t>资产描述</t>
  </si>
  <si>
    <t>价格/价值</t>
  </si>
  <si>
    <t>宝贵之物</t>
  </si>
  <si>
    <t>书籍</t>
  </si>
  <si>
    <t>手指1</t>
  </si>
  <si>
    <t>手指2</t>
  </si>
  <si>
    <t>手指3</t>
  </si>
  <si>
    <t>手指4</t>
  </si>
  <si>
    <t>手指5</t>
  </si>
  <si>
    <t>人物特质</t>
  </si>
  <si>
    <t>手指6</t>
  </si>
  <si>
    <t>手指7</t>
  </si>
  <si>
    <t>手指8</t>
  </si>
  <si>
    <t>手指9</t>
  </si>
  <si>
    <t>手指10</t>
  </si>
  <si>
    <t>武器与弹药</t>
  </si>
  <si>
    <t>伤口疤痕</t>
  </si>
  <si>
    <t>适配武器</t>
  </si>
  <si>
    <t>弹药类型</t>
  </si>
  <si>
    <t>附加伤害</t>
  </si>
  <si>
    <t>额外效果</t>
  </si>
  <si>
    <t>精神创伤</t>
  </si>
  <si>
    <t>剩余存款：</t>
  </si>
  <si>
    <t>组织和集会经历</t>
  </si>
  <si>
    <t>此处介绍角色的属性/性格/外观/特长，解释携带物品合理性，完善导入背景。↓↓↓↓↓↓</t>
  </si>
  <si>
    <t>组织名称</t>
  </si>
  <si>
    <t>组织类型</t>
  </si>
  <si>
    <t>地点</t>
  </si>
  <si>
    <t>调查员身份</t>
  </si>
  <si>
    <t>关系</t>
  </si>
  <si>
    <t>现状</t>
  </si>
  <si>
    <t>特质扩展</t>
  </si>
  <si>
    <t>特质类型</t>
  </si>
  <si>
    <t>填入序号</t>
  </si>
  <si>
    <t>禁用</t>
  </si>
  <si>
    <t>煤气灯/特质</t>
  </si>
  <si>
    <t>特质描述</t>
  </si>
  <si>
    <t>住宅和据点</t>
  </si>
  <si>
    <t>名称</t>
  </si>
  <si>
    <t>详细描述</t>
  </si>
  <si>
    <t>具体效果</t>
  </si>
  <si>
    <t>魔法/特殊道具</t>
  </si>
  <si>
    <t>道具名称</t>
  </si>
  <si>
    <t>效果描述</t>
  </si>
  <si>
    <t>调查员经历</t>
  </si>
  <si>
    <t>神话接触</t>
  </si>
  <si>
    <t>模组名称</t>
  </si>
  <si>
    <t>属性和技能变化</t>
  </si>
  <si>
    <t>第三类接触（古籍、咒文、神话知识等）</t>
  </si>
  <si>
    <t>遇见</t>
  </si>
  <si>
    <t>事件经历</t>
  </si>
  <si>
    <t>理智与变化</t>
  </si>
  <si>
    <t>结果</t>
  </si>
  <si>
    <t>示例：死灵之书</t>
  </si>
  <si>
    <t>夺取死灵之书失败，被持有者追着打</t>
  </si>
  <si>
    <t>hp-10 san-6</t>
  </si>
  <si>
    <t>幸存</t>
  </si>
  <si>
    <t>法术列表</t>
  </si>
  <si>
    <t>图书馆扩展</t>
  </si>
  <si>
    <t>有故事的调查员经历包：</t>
  </si>
  <si>
    <t>可用</t>
  </si>
  <si>
    <t>法术名称</t>
  </si>
  <si>
    <t>消耗</t>
  </si>
  <si>
    <t>书籍名称</t>
  </si>
  <si>
    <t>《伊波恩之书》英文版</t>
  </si>
  <si>
    <t>书籍信息</t>
  </si>
  <si>
    <t>神话武器扩展</t>
  </si>
  <si>
    <t>品质</t>
  </si>
  <si>
    <t>特性</t>
  </si>
  <si>
    <t>名称/外号</t>
  </si>
  <si>
    <t>技能</t>
  </si>
  <si>
    <t>普通的</t>
  </si>
  <si>
    <t>锻造</t>
  </si>
  <si>
    <t>武器类型</t>
  </si>
  <si>
    <t>武器名字</t>
  </si>
  <si>
    <t>加值</t>
  </si>
  <si>
    <t>基础伤害</t>
  </si>
  <si>
    <t>普通</t>
  </si>
  <si>
    <t>双手武器</t>
  </si>
  <si>
    <t>近战</t>
  </si>
  <si>
    <t>5码</t>
  </si>
  <si>
    <t>对单/接触</t>
  </si>
  <si>
    <t>调查员同伴与好友</t>
  </si>
  <si>
    <t>武器附魔</t>
  </si>
  <si>
    <t>经历与关系</t>
  </si>
  <si>
    <t>状态</t>
  </si>
  <si>
    <t>相遇模组</t>
  </si>
  <si>
    <t>效果1</t>
  </si>
  <si>
    <t>示例：张三</t>
  </si>
  <si>
    <t>一起调查的挚交好友</t>
  </si>
  <si>
    <t>死亡</t>
  </si>
  <si>
    <t>古树林中</t>
  </si>
  <si>
    <t>效果2</t>
  </si>
  <si>
    <t>效果3</t>
  </si>
  <si>
    <t>斗技/技能扩展</t>
  </si>
  <si>
    <t>技能效果</t>
  </si>
  <si>
    <t>效果4</t>
  </si>
  <si>
    <t>例：头槌冲撞</t>
  </si>
  <si>
    <t>造成2d3+DB单体伤害，眩晕。</t>
  </si>
  <si>
    <t>效果5</t>
  </si>
  <si>
    <t>召唤物扩展</t>
  </si>
  <si>
    <t>载具扩展和改装</t>
  </si>
  <si>
    <t>生物名称</t>
  </si>
  <si>
    <t>神话生物</t>
  </si>
  <si>
    <t>被召唤</t>
  </si>
  <si>
    <t>载具名称</t>
  </si>
  <si>
    <t>载具类型</t>
  </si>
  <si>
    <t>移动</t>
  </si>
  <si>
    <t>体格</t>
  </si>
  <si>
    <t>护甲</t>
  </si>
  <si>
    <t>乘客数</t>
  </si>
  <si>
    <t>体型</t>
  </si>
  <si>
    <t>力量</t>
  </si>
  <si>
    <t>敏捷</t>
  </si>
  <si>
    <t>外貌</t>
  </si>
  <si>
    <t>智力</t>
  </si>
  <si>
    <t>意志</t>
  </si>
  <si>
    <t>限制</t>
  </si>
  <si>
    <t>COC魔法大典</t>
  </si>
  <si>
    <t>体质</t>
  </si>
  <si>
    <t>教育</t>
  </si>
  <si>
    <t>幸运</t>
  </si>
  <si>
    <t>理智</t>
  </si>
  <si>
    <t>改装→</t>
  </si>
  <si>
    <t>0</t>
  </si>
  <si>
    <t>魔鬼逐出术</t>
  </si>
  <si>
    <t>生命值hp</t>
  </si>
  <si>
    <t>魔力值mp</t>
  </si>
  <si>
    <t>移动mov</t>
  </si>
  <si>
    <t>法术消耗</t>
  </si>
  <si>
    <t>多动</t>
  </si>
  <si>
    <t>DB</t>
  </si>
  <si>
    <t>释放用时</t>
  </si>
  <si>
    <t>技能1</t>
  </si>
  <si>
    <t>技能5</t>
  </si>
  <si>
    <t>法术描述</t>
  </si>
  <si>
    <t>技能2</t>
  </si>
  <si>
    <t>技能6</t>
  </si>
  <si>
    <t>技能3</t>
  </si>
  <si>
    <t>技能7</t>
  </si>
  <si>
    <t>技能4</t>
  </si>
  <si>
    <t>技能8</t>
  </si>
  <si>
    <t>神话恩赐和诅咒</t>
  </si>
  <si>
    <t>法术创造/变体</t>
  </si>
  <si>
    <t>神话诸神</t>
  </si>
  <si>
    <t>神话影响</t>
  </si>
  <si>
    <t>原始法术</t>
  </si>
  <si>
    <t>例：奈亚拉托提普</t>
  </si>
  <si>
    <t>恩赐眷属</t>
  </si>
  <si>
    <t>奈亚及其追随者保持友善</t>
  </si>
  <si>
    <t>深层版本</t>
  </si>
  <si>
    <t>快速版本</t>
  </si>
  <si>
    <t>增强版本</t>
  </si>
  <si>
    <t>恐怖版本</t>
  </si>
  <si>
    <t>洛儿 2025/10/10更新</t>
  </si>
  <si>
    <t>当前时间</t>
  </si>
  <si>
    <t>STR</t>
  </si>
  <si>
    <t>DEX</t>
  </si>
  <si>
    <t>POW</t>
  </si>
  <si>
    <t>INT</t>
  </si>
  <si>
    <t>CON</t>
  </si>
  <si>
    <t>APP</t>
  </si>
  <si>
    <t>EDU</t>
  </si>
  <si>
    <t>SIZ</t>
  </si>
  <si>
    <t>调查员伙伴</t>
  </si>
  <si>
    <t>注释</t>
  </si>
  <si>
    <t>HP</t>
  </si>
  <si>
    <t>SAN</t>
  </si>
  <si>
    <t>MP</t>
  </si>
  <si>
    <t>Armor</t>
  </si>
  <si>
    <t>Build</t>
  </si>
  <si>
    <t>LUCK</t>
  </si>
  <si>
    <t>MOV</t>
  </si>
  <si>
    <t>当前现金($)</t>
  </si>
  <si>
    <t>随身物品</t>
  </si>
  <si>
    <t>神话相关</t>
  </si>
  <si>
    <t>遇到了</t>
  </si>
  <si>
    <t>累计消耗</t>
  </si>
  <si>
    <t>背景故事</t>
  </si>
  <si>
    <t>描述</t>
  </si>
  <si>
    <t>信仰</t>
  </si>
  <si>
    <t>重要人</t>
  </si>
  <si>
    <t>重要地</t>
  </si>
  <si>
    <t>宝物</t>
  </si>
  <si>
    <t>特质</t>
  </si>
  <si>
    <t>伤疤</t>
  </si>
  <si>
    <t>恐惧</t>
  </si>
  <si>
    <t>母语：</t>
  </si>
  <si>
    <t>电脑请先将快捷输入复制到下面的框中，再复制框中内容到QQ</t>
  </si>
  <si>
    <t>下面就是快捷输入了，手机一般轻点两下就可以复制啦，电脑请先复制到右边的本文框</t>
  </si>
  <si>
    <t>不知道用什么导入看导入框右侧的说明～</t>
  </si>
  <si>
    <t>电脑本文输入框</t>
  </si>
  <si>
    <t>全技能导入，无简化，基本适合全部骰娘</t>
  </si>
  <si>
    <t>请“复制”下格，就可以导出文本，放进QQ发送给骰子娘啦</t>
  </si>
  <si>
    <t>→</t>
  </si>
  <si>
    <t>绝大部分骰娘，包括OlivaDice、Dice!、MDice、塔骰，海豹等。</t>
  </si>
  <si>
    <t>如果不能使用，请复制到txt文档，然后再复制到QQ</t>
  </si>
  <si>
    <t>这种骰娘，在你输入.bot后，开头会出现以下字样之一
1.Dice made in java
2.ZhaoDice
3.OlivaDice（版本3.0.0+）</t>
  </si>
  <si>
    <t>这种骰娘，是“考编”形式的骰娘，也叫“编制骰”，因为无法录入过长指令，所以只能分段导入或者使用此导入。</t>
  </si>
  <si>
    <t>技能名的改变</t>
  </si>
  <si>
    <t>原技能名称：</t>
  </si>
  <si>
    <t>简化</t>
  </si>
  <si>
    <t>别名</t>
  </si>
  <si>
    <t>体力</t>
  </si>
  <si>
    <t>hp</t>
  </si>
  <si>
    <t>汽车</t>
  </si>
  <si>
    <t>驾驶</t>
  </si>
  <si>
    <t>san</t>
  </si>
  <si>
    <t>san值，理智值</t>
  </si>
  <si>
    <t>电子学</t>
  </si>
  <si>
    <t>魔法</t>
  </si>
  <si>
    <t>mp</t>
  </si>
  <si>
    <t>步枪/霰弹枪</t>
  </si>
  <si>
    <t>步枪</t>
  </si>
  <si>
    <t>霰弹枪，步霰</t>
  </si>
  <si>
    <t>图书馆</t>
  </si>
  <si>
    <t>开锁</t>
  </si>
  <si>
    <t>灵感</t>
  </si>
  <si>
    <t>自然学</t>
  </si>
  <si>
    <t>计算机</t>
  </si>
  <si>
    <t>计算机使用，电脑</t>
  </si>
  <si>
    <t>领航</t>
  </si>
  <si>
    <t>信用</t>
  </si>
  <si>
    <t>信誉</t>
  </si>
  <si>
    <t>重型操作</t>
  </si>
  <si>
    <t>重型机械，重型，重型机械操作</t>
  </si>
  <si>
    <t>运气</t>
  </si>
  <si>
    <t>克苏鲁</t>
  </si>
  <si>
    <t>cm</t>
  </si>
  <si>
    <t>生存</t>
  </si>
  <si>
    <t>红字代表不能使用该名称roll（没有录入，主要因为其特殊的标点符号）</t>
  </si>
  <si>
    <t>可选规则：有故事的调查员</t>
  </si>
  <si>
    <t>SAN值减少</t>
  </si>
  <si>
    <t>战场经历包</t>
  </si>
  <si>
    <t>1D10+5</t>
  </si>
  <si>
    <t>对目击尸体和重伤员造成的理智损失免疫;根据战争的年份和模组发生时的年份调整年龄；背景增加一项：战争相关的伤疤 / 疤痕或恐惧症 / 躁狂症</t>
  </si>
  <si>
    <t>警务经历包</t>
  </si>
  <si>
    <t>1D10</t>
  </si>
  <si>
    <t>对目击尸体造成的理智损失免疫;初始年龄不能低于 25 岁;背景增加一项：警察工作相关的伤疤 / 疤痕或恐惧症 / 躁狂症；</t>
  </si>
  <si>
    <t>罪犯经历包</t>
  </si>
  <si>
    <t>对目击尸体、目击或亲自谋杀、目击对人类的暴力残害造成的理智损失免疫;初始年龄不能低于 20 岁；背景增加一项：犯罪历史相关的伤疤 / 疤痕或恐惧症 / 躁狂症</t>
  </si>
  <si>
    <t>医务经历包</t>
  </si>
  <si>
    <t>对目击尸体和重伤员造成的理智损失免疫;初始年龄不能低于 30 岁；背景增加一项：个人背景相关的伤疤 / 疤痕或恐惧症 / 躁狂症；</t>
  </si>
  <si>
    <t>神话经历包</t>
  </si>
  <si>
    <t>如果是"相信者"，减少和克苏鲁神话相同的san值</t>
  </si>
  <si>
    <t>按 KP 允许的数值增加「克苏鲁神话」技能;背景增加两项：与神话经历相关的伤疤 /疤痕、恐惧症 / 躁狂症、遭遇的怪异存在</t>
  </si>
  <si>
    <t>自定义职业属性</t>
  </si>
  <si>
    <t>移动力计算</t>
  </si>
  <si>
    <t>自定义职业</t>
  </si>
  <si>
    <t>护甲表减值
是否开启</t>
  </si>
  <si>
    <t>护甲表减值</t>
  </si>
  <si>
    <t>年龄减值</t>
  </si>
  <si>
    <t>力量-体型</t>
  </si>
  <si>
    <t>技能雷达表</t>
  </si>
  <si>
    <t>值</t>
  </si>
  <si>
    <t>总数</t>
  </si>
  <si>
    <t>百分比</t>
  </si>
  <si>
    <t>伤害加值与体格</t>
  </si>
  <si>
    <t>属性名称</t>
  </si>
  <si>
    <t>shiyong</t>
  </si>
  <si>
    <t>使用倍数</t>
  </si>
  <si>
    <t>计算</t>
  </si>
  <si>
    <t>敏捷-体型</t>
  </si>
  <si>
    <t>调查</t>
  </si>
  <si>
    <t>交涉</t>
  </si>
  <si>
    <t>战斗</t>
  </si>
  <si>
    <t>特技</t>
  </si>
  <si>
    <t>支援</t>
  </si>
  <si>
    <t>学问</t>
  </si>
  <si>
    <t>力量+体型</t>
  </si>
  <si>
    <t>力量大小</t>
  </si>
  <si>
    <t>检测是否为数字</t>
  </si>
  <si>
    <t>最终年龄减值</t>
  </si>
  <si>
    <t>敏捷大小</t>
  </si>
  <si>
    <t>非八十整数体格</t>
  </si>
  <si>
    <t>减485后八十的倍数</t>
  </si>
  <si>
    <t>最终体格出目</t>
  </si>
  <si>
    <t>总值</t>
  </si>
  <si>
    <t>护甲表最终减值</t>
  </si>
  <si>
    <t>属性最终值</t>
  </si>
  <si>
    <t>小于1D6的话</t>
  </si>
  <si>
    <t>超过1d6的话</t>
  </si>
  <si>
    <t>最终伤害加值出目</t>
  </si>
  <si>
    <t>最终补正值</t>
  </si>
  <si>
    <t>最终值</t>
  </si>
  <si>
    <t>格斗射击基础成功率</t>
  </si>
  <si>
    <t>教育+其他属性点数中的最大值（官方）</t>
  </si>
  <si>
    <t>格斗1</t>
  </si>
  <si>
    <t>射击1</t>
  </si>
  <si>
    <t>教育+其他属性点数中的所有值</t>
  </si>
  <si>
    <t>格斗2</t>
  </si>
  <si>
    <t>射击2</t>
  </si>
  <si>
    <t>属性雷达表</t>
  </si>
  <si>
    <t>基础属性</t>
  </si>
  <si>
    <t>出目</t>
  </si>
  <si>
    <t>所有属性的点数相加</t>
  </si>
  <si>
    <t>格斗3</t>
  </si>
  <si>
    <t>射击3</t>
  </si>
  <si>
    <t>教育
EDU</t>
  </si>
  <si>
    <t>熟练下拉</t>
  </si>
  <si>
    <t>自定义技能剩余计算</t>
  </si>
  <si>
    <t>san值计算</t>
  </si>
  <si>
    <t>最大值</t>
  </si>
  <si>
    <t>昏迷</t>
  </si>
  <si>
    <t>临时疯狂</t>
  </si>
  <si>
    <t>重伤</t>
  </si>
  <si>
    <t>不定性疯狂</t>
  </si>
  <si>
    <t>1d10+5</t>
  </si>
  <si>
    <t>永久疯狂</t>
  </si>
  <si>
    <t>任意</t>
  </si>
  <si>
    <t>1d10</t>
  </si>
  <si>
    <t xml:space="preserve">对目击尸体造成的理智损失免疫;初始年龄不能低于 25 岁;背景增加一项：警察工作相关的伤疤 / 疤痕或恐惧症 / 躁狂症；
</t>
  </si>
  <si>
    <t>已用总数</t>
  </si>
  <si>
    <t>是否停用</t>
  </si>
  <si>
    <t>剩余</t>
  </si>
  <si>
    <t>目前值</t>
  </si>
  <si>
    <t>最终显示</t>
  </si>
  <si>
    <t>公元调整</t>
  </si>
  <si>
    <t>经历包剩余点</t>
  </si>
  <si>
    <t>调整出目</t>
  </si>
  <si>
    <t>职业点数</t>
  </si>
  <si>
    <t>检测大小</t>
  </si>
  <si>
    <t>技艺③</t>
  </si>
  <si>
    <t>毒剂示例</t>
  </si>
  <si>
    <t>毒剂名称</t>
  </si>
  <si>
    <t>生效时间</t>
  </si>
  <si>
    <t>症状</t>
  </si>
  <si>
    <t>年龄年龄补正</t>
  </si>
  <si>
    <t>鹅膏菌（毒蘑菇）</t>
  </si>
  <si>
    <t>6～24小时</t>
  </si>
  <si>
    <t>剧烈腹痛、呕吐、黄疸</t>
  </si>
  <si>
    <t>造成了95%的毒蘑菇致死事件，鬼笔鹅膏是最常见的一种蘑菇毒素。</t>
  </si>
  <si>
    <t>力量体型共-5 E-5 L*2</t>
  </si>
  <si>
    <t>砷化物</t>
  </si>
  <si>
    <t>30分钟～24小时</t>
  </si>
  <si>
    <t>灼痛、呕吐、剧烈腹泻</t>
  </si>
  <si>
    <t>4D10</t>
  </si>
  <si>
    <t>砷中毒难以确认（这使得它作为毒杀工具大受欢迎），直到1836年马氏试砷法发明为止。</t>
  </si>
  <si>
    <t>教育进步*1</t>
  </si>
  <si>
    <t>颠茄</t>
  </si>
  <si>
    <t>2小时～2天</t>
  </si>
  <si>
    <t>心率加快、视力受损、惊厥</t>
  </si>
  <si>
    <t>世界上毒性最大的植物之一，成人食用10～20颗就可能死亡。</t>
  </si>
  <si>
    <t>进步*2,SCD共-5 A-5</t>
  </si>
  <si>
    <t>黑寡妇蜘蛛毒</t>
  </si>
  <si>
    <t>2～8小时</t>
  </si>
  <si>
    <t>寒战、出汗、恶心</t>
  </si>
  <si>
    <t>如果及时进行医治，基本不会死亡。</t>
  </si>
  <si>
    <t>进步*3,SCD共-10 A-10</t>
  </si>
  <si>
    <t>三氯甲烷（氯仿）</t>
  </si>
  <si>
    <t>1轮</t>
  </si>
  <si>
    <t>昏迷1小时</t>
  </si>
  <si>
    <t>无伤害</t>
  </si>
  <si>
    <t>在1800~1900s是常见的麻醉剂，不过高的摄入量也会致死。</t>
  </si>
  <si>
    <t>进步*4,SCD共-20 A-15</t>
  </si>
  <si>
    <t>眼镜蛇毒</t>
  </si>
  <si>
    <t>15～60分钟</t>
  </si>
  <si>
    <t>惊厥、呼吸衰竭</t>
  </si>
  <si>
    <t>接触眼睛会产生直接的刺激，未经处理会失明。如果有血清，可以避免受重伤和死亡。</t>
  </si>
  <si>
    <t>进步*4,SCD共-40 A-20</t>
  </si>
  <si>
    <t>箭毒碱</t>
  </si>
  <si>
    <t>肌肉麻痹、呼吸衰竭。</t>
  </si>
  <si>
    <t>南美洲人涂在箭上毒剂的通称。口服无害，只有通过皮肤伤口直接侵入才会导致瘫痪。</t>
  </si>
  <si>
    <t>进步*4,SCD共-80 A-25</t>
  </si>
  <si>
    <t>氰化物</t>
  </si>
  <si>
    <t>1～15分钟</t>
  </si>
  <si>
    <t>眩晕、惊厥、晕厥、死亡。</t>
  </si>
  <si>
    <t>剧毒——摄入了氰化物盐或者通过气体吸入都会致死。</t>
  </si>
  <si>
    <t>年龄倍数</t>
  </si>
  <si>
    <t>scd</t>
  </si>
  <si>
    <t>a</t>
  </si>
  <si>
    <t>响尾蛇毒</t>
  </si>
  <si>
    <t>呕吐、剧烈抽搐、黄视。</t>
  </si>
  <si>
    <t>2D10</t>
  </si>
  <si>
    <t>毒液会破坏组织、引发坏死，不过很少致命（特别是一两个小时内就获得解药的话）。</t>
  </si>
  <si>
    <t>氟硝西泮</t>
  </si>
  <si>
    <t>15～30分钟</t>
  </si>
  <si>
    <t>昏迷4～8小时，可能会失忆。</t>
  </si>
  <si>
    <t>无色无味，只在现代背景中出现。</t>
  </si>
  <si>
    <t>冲锋枪</t>
  </si>
  <si>
    <t>番木鳖碱（马钱子碱、士的宁）</t>
  </si>
  <si>
    <t>10～20分钟</t>
  </si>
  <si>
    <t>剧烈的肌肉痉挛、窒息、死亡。</t>
  </si>
  <si>
    <t>如果不及时医治，几小时内就会死亡。</t>
  </si>
  <si>
    <t>弓术</t>
  </si>
  <si>
    <t>请打开下拉栏选择</t>
  </si>
  <si>
    <t xml:space="preserve"> </t>
  </si>
  <si>
    <t>喷射器</t>
  </si>
  <si>
    <t>机枪</t>
  </si>
  <si>
    <t>重武器</t>
  </si>
  <si>
    <t>←这个职业 要这样获得技能点→</t>
  </si>
  <si>
    <t>火绳枪</t>
  </si>
  <si>
    <t>能量武器</t>
  </si>
  <si>
    <t>西洋弓</t>
  </si>
  <si>
    <t>和弓</t>
  </si>
  <si>
    <t>飞镖</t>
  </si>
  <si>
    <t>吹针</t>
  </si>
  <si>
    <t>鞭子</t>
  </si>
  <si>
    <t>电锯</t>
  </si>
  <si>
    <t>链枷</t>
  </si>
  <si>
    <t>绞具</t>
  </si>
  <si>
    <t>斧</t>
  </si>
  <si>
    <t>剑</t>
  </si>
  <si>
    <t>矛</t>
  </si>
  <si>
    <t>擒抱</t>
  </si>
  <si>
    <t>头槌</t>
  </si>
  <si>
    <t>飞踢</t>
  </si>
  <si>
    <t>刺剑</t>
  </si>
  <si>
    <t>重剑</t>
  </si>
  <si>
    <t>匕首</t>
  </si>
  <si>
    <t>日本刀</t>
  </si>
  <si>
    <t>青龙刀</t>
  </si>
  <si>
    <t>戟</t>
  </si>
  <si>
    <t>薙刀</t>
  </si>
  <si>
    <t>锁镰</t>
  </si>
  <si>
    <t>多节棍</t>
  </si>
  <si>
    <t>硬鞭</t>
  </si>
  <si>
    <t>居合</t>
  </si>
  <si>
    <t>杖</t>
  </si>
  <si>
    <t>刀术</t>
  </si>
  <si>
    <t>短棍</t>
  </si>
  <si>
    <t>奇门</t>
  </si>
  <si>
    <t>森林祝福</t>
  </si>
  <si>
    <t>目标侦查/追踪+10%，在森林获得一个奖励骰</t>
  </si>
  <si>
    <t>目标侦查/追踪+20%，在森林获得两个奖励骰</t>
  </si>
  <si>
    <t>目标侦查/追踪+30%，在森林检定难度-1</t>
  </si>
  <si>
    <t>荒野祝福</t>
  </si>
  <si>
    <t>目标攀爬/跳跃+10%，在荒野检定获得一个奖励骰</t>
  </si>
  <si>
    <t>目标攀爬/跳跃+20%，在荒野检定获得两个奖励骰</t>
  </si>
  <si>
    <t>目标攀爬/跳跃+30%，在荒野检定难度-1</t>
  </si>
  <si>
    <t>大地祝福</t>
  </si>
  <si>
    <t>目标闪避/潜行+10%，在地面检定获得一个奖励骰</t>
  </si>
  <si>
    <t>学识：</t>
  </si>
  <si>
    <t>目标闪避/潜行+20%，在地面检定获得两个奖励骰</t>
  </si>
  <si>
    <t>目标闪避/潜行+30%，在地面检定难度-1</t>
  </si>
  <si>
    <t>海洋祝福</t>
  </si>
  <si>
    <t>目标游泳/潜水+10%，在海上检定获得一个奖励骰。</t>
  </si>
  <si>
    <t>特殊适用</t>
  </si>
  <si>
    <t>难度等级取决于</t>
  </si>
  <si>
    <t>技能注释</t>
  </si>
  <si>
    <t>普通难度</t>
  </si>
  <si>
    <t>困难难度</t>
  </si>
  <si>
    <t>孤注一掷示例</t>
  </si>
  <si>
    <t>孤注一掷失败的范例结果</t>
  </si>
  <si>
    <t>疯狂调查员孤注一掷失败的范例结果</t>
  </si>
  <si>
    <t>目标游泳/潜水+20%，在海上检定获得两个奖励骰。</t>
  </si>
  <si>
    <t>如果有人想要隐瞒什么，那么难度等级将会取决于进行隐藏的人的会计技能。</t>
  </si>
  <si>
    <t>· 使你理解会计工作的流程以及一个企业或者个人的金融职务。
· 通过检查账簿，你可以发现做假账的员工，对资金的偷偷挪用，对行贿或者敲诈的款项支付，以及经济状况是否比表面陈述的更好或者更差。
· 通过仔细检查旧账户，你可以了解过去的资金的得与失（谷物，奴隶贸易，威士忌酒的运营等）以及这些资金是付给了谁以及为了什么款项而支付。</t>
  </si>
  <si>
    <t>详尽以及良好整理的会计账簿。</t>
  </si>
  <si>
    <t>无序或者残缺的会计账簿。</t>
  </si>
  <si>
    <t>· 花费更多的时间来阅览文档
· 拜访银行或者企业来确认自己的发现
· 复核里面的账目和数据</t>
  </si>
  <si>
    <t>· 调查员与其他人之间的讨论让敌对势力对调查员的意图起了警觉
· 账簿最重要的一部分被摧毁或者丢失了（可能调查员因为疲劳将咖啡洒出在了上面）。</t>
  </si>
  <si>
    <t>他可能会被发现他把部分的账簿吃下了肚。</t>
  </si>
  <si>
    <t>目标游泳/潜水+30%，在海上检定难度等级-1。</t>
  </si>
  <si>
    <t>1%</t>
  </si>
  <si>
    <t>· 使使用者能够通过观察来辨认和理解一个人的生活方式。
· 如果技能使用者持续观察一个其他的文化一段时间，或者在有着关于某种已消失文化的正确资料环境下工作，那么他可以对文化方式以及道德习惯进行简单的预测，即使证据可能并不完整。
· 通过学习文化一个月或者更久，人类学家开始理解这种文化是如何运作的以及，如果结合心理学，可以预测那些研究文化的行为和信仰。</t>
  </si>
  <si>
    <t>花费一个月时间或者更多时间与人接触。</t>
  </si>
  <si>
    <t>花费仅仅一周或者更少时间与人接触。</t>
  </si>
  <si>
    <t>· 花费更多的时间来研究目标
· 去“当地“体验一段时间
· 在一场仪式或祭奠等等活动上扮演一个积极活跃的角色</t>
  </si>
  <si>
    <t>· 被作为研究对象的人群攻击或者监禁
· 由于一些被察觉的对于他们法律以及风俗的违反行为
· 遭受严重的副作用作为参与一场包括了摄入精神影响类植物的仪式的结果</t>
  </si>
  <si>
    <t>他将会在他研究的文化中迷失自我，举例来说，就像电影“现代启示录”中丹尼斯·霍珀演的摄影记者角色一样。</t>
  </si>
  <si>
    <t>理智侵蚀I</t>
  </si>
  <si>
    <t>目标每回合理智-1，持续1d6回合。</t>
  </si>
  <si>
    <t>5%</t>
  </si>
  <si>
    <t>· 用来估计某种物品的价值，包括质量，使用的材料以及工艺。
· 相关的，技能使用者可以准确地辨认出物品的年龄，评估它的历史关联性以及发现赝品。</t>
  </si>
  <si>
    <t>一件在制造年代并不稀有的物品，以及用常见材料制作（e.g.50 年的金手表）</t>
  </si>
  <si>
    <t>一件不寻常的物品，也许用非寻常材料制成（e.g.几百年历史的外国制品，例如古代卷册）</t>
  </si>
  <si>
    <t>· 与另一名专家一同确认物品的正确性
· 进行检验
· 对物品进行研究</t>
  </si>
  <si>
    <t>· 在研究中意外地毁坏了物品
· 使这件物品引起了别人的注意，导致这件物品被偷
· 激活了这件物品的功用</t>
  </si>
  <si>
    <t>· 他可能会相信这件物品是被诅咒的并摧毁了它
· 或者他们视这件物品为他们个人的救星，并拒绝放弃这件物品给其他人</t>
  </si>
  <si>
    <t>理智侵蚀II</t>
  </si>
  <si>
    <t>目标每回合理智-2，持续1d6回合。</t>
  </si>
  <si>
    <t>· 允许从过去的文化中鉴定一件古董的年代以及辨别它，以及可以用来发现赝品。
· 使获得建立以及开掘一个挖掘遗址的专业知识。
· 通过对遗址的勘察，使用者可以推断留下这遗址的生物的目的和生活方式。
· 人类学可能对此会有所帮助。
· 考古学还有助于辨认已消失的人类语言的书面形式。</t>
  </si>
  <si>
    <t>足够的时间和资源来进行工作。</t>
  </si>
  <si>
    <t>缺乏时间以及/或者有限的资源。</t>
  </si>
  <si>
    <t>· 花费更多的时间来研究物品或者遗址
· 进行进一步的调查研究
· 咨询其他专家</t>
  </si>
  <si>
    <t>· 遗址受到损坏，同时发现品因为不适当的操作而损毁，被故意毁坏，或者被偷窃
· 更高的权威占据了遗址，从你的掌控中夺取了发现
· 宣传出去的消息导致发现品被偷盗</t>
  </si>
  <si>
    <t>他会不停得挖掘得更深更深，并且相信真相就在这下面的某处。</t>
  </si>
  <si>
    <t>理智侵蚀III</t>
  </si>
  <si>
    <t>目标每回合理智-3，持续1d6回合。</t>
  </si>
  <si>
    <t>——————————</t>
  </si>
  <si>
    <t>魔力枯竭I</t>
  </si>
  <si>
    <t>目标每回合魔力-1，持续1d6回合。</t>
  </si>
  <si>
    <t>艺术与手艺</t>
  </si>
  <si>
    <t>专业化</t>
  </si>
  <si>
    <t>· 许多这些例子都是与专业直接相联系的技能，但是这些技能可能只是休闲嗜好。
· 你可以花费技能在任意专业化技能上。不可以加点在作为类属的“艺术与手艺”上。
· 这项技能可能能使你制作或者修理一样东西—通常需要工具和时间，由 KP 来决定，如果必要的话。
· 在适用成功程度分度的情况下，一个更高等级的成功表示这件物品有着高品质以及/或精致度高。
· 一个艺术或者手艺技能可能可以用于制作一个复制品或者赝品。在这情况下，难度等级将取决于需要复制的原品的复杂程度以及独特性。
· 在伪造文件的场合下，将使用一个专门的专业化技能（伪造）。
· 一个成功的检定可能可以提供一个物品的相关信息，例如这个物品在何时以及哪里被制造，与之相关的一些历史或者技艺，或者谁可能制作了它。
· 拥有这个技能的专家将会在某个专门的领域里有着广泛的知识—对于物品本身，它的历史以及当代从事相关行业的人的知识，以及去实践知识的能力。</t>
  </si>
  <si>
    <t>制作一个标准而适于贩卖的物品。</t>
  </si>
  <si>
    <t>制作一个更高质量或者特别复杂的部件。</t>
  </si>
  <si>
    <t>· 从头开始重做物品，部件或者创作
· 进行进一步的研究调查
· 与另一位专家核对</t>
  </si>
  <si>
    <t>· 大量的时间与金钱被浪费在创造一个失败的作品上
· 观众或者顾客由于你的工作的某方面而感到被严重冒犯或者收到了物理性伤害
· 你的工作被评论家抨击，并且没人会再想要你的服务</t>
  </si>
  <si>
    <t>他创造了一个有犯罪倾向的作品，并且这件作品冲击并导致了观赏者的暴力反应—也许只有颓废派艺术家会欣赏这件作品</t>
  </si>
  <si>
    <t>魔力枯竭II</t>
  </si>
  <si>
    <t>目标每回合魔力-2，持续1d6回合。</t>
  </si>
  <si>
    <t>表演</t>
  </si>
  <si>
    <t>技艺的子项</t>
  </si>
  <si>
    <t>· 表演者收到过戏剧以及/或电影演技的训练（在现代，这可能也包括电视），使你能适应一个人物角色，记住剧本，以及使用舞台/电影化妆来改变他们的外貌。</t>
  </si>
  <si>
    <t>魔力枯竭III</t>
  </si>
  <si>
    <t>目标每回合魔力-3，持续1d6回合。</t>
  </si>
  <si>
    <t>美术</t>
  </si>
  <si>
    <t>· 艺术家在艺术绘画上十分熟练（油画、丙烯画、水彩画），同样在用铅笔、彩色蜡笔、粉笔的素描上十分熟练。
· 然而这各种各样的艺术工作许多天或者许多月来完成，艺术家可能能快速素描出准确的印象，物体或者人物。
· 这项技能也代表了对艺术世界的熟悉，以及技术家能确定特定艺术家的作品，他们的学校，以及了解的历史。</t>
  </si>
  <si>
    <t>魔力封印I</t>
  </si>
  <si>
    <t>目标魔力暂时封印，持续1d3回合</t>
  </si>
  <si>
    <t>摄影</t>
  </si>
  <si>
    <t>· 同时包括静止以及运动摄影。
· 这项技能允许某人拍摄清晰的照片，恰当地修饰照片，并且强化半掩的细节。
· 在 1920 年代，使用者可以准备必须的化学用品来制作闪光粉。
· 在现代，这个技能拓展到包括摄影机，视频播放设备，数码摄影以及数码编辑，使用者熟练于对数字图像的操作修改。
可以从原始的资源中创造出完全不同的版本，例如改变照片中一个人所处的地点，和谁在一起，以及在做什么。
· 这些专家也可能可以发现一张图像什么时候被修改过了。
·正常的快拍不需要技能检定。
当想要进行有效的偷拍，或者进行细节捕捉—特别是远距离，快速，以及低光，时将会被要求进行这个检定。
· 这项技能也允许调查员判断一张照片是否被篡改或者捏造，以及进行这张照片拍摄的角度和位置。</t>
  </si>
  <si>
    <t>魔力封印II</t>
  </si>
  <si>
    <t>目标魔力暂时封印，持续1d6回合</t>
  </si>
  <si>
    <t>伪造</t>
  </si>
  <si>
    <t>· 熟练于细节，使用者可以制作高质量的伪造文档，使它以某人的笔迹写成，制作官僚作风的形式或许可，或者进行卷册的复制。
· 伪造者需要合适的材料（墨水，不同的纸张等）以及想要复制的文档的原件。
·  一个成功的检定表示伪造文档将通过一个普通而草率的检查。
· 当有人花费时间并仔细检查伪造品时需要使用估价技能（与原始的伪造者的技能进行对抗）来决定是否能辨认出是伪造品。</t>
  </si>
  <si>
    <t>魔力封印III</t>
  </si>
  <si>
    <t>目标魔力暂时封印，持续1d10回合</t>
  </si>
  <si>
    <t>写作</t>
  </si>
  <si>
    <t>· 作家可以通过写作来写出一篇脍炙人口的名章。
· 如果想要将一个怪物将其用文字记录下来，那么建议过一个困难以上的鉴定，否则冠以不可名状即可。</t>
  </si>
  <si>
    <t>魔力干扰Ⅰ</t>
  </si>
  <si>
    <t>目标法术伤害降低1d3</t>
  </si>
  <si>
    <t>书法</t>
  </si>
  <si>
    <t>· 使用者可以使用书法挥斥方遒，力透纸背。
· 如果了解对方的书法习惯的话，可以伪造出近乎一模一样的笔迹。
· 也可以替人写字卖钱养家糊口。书法家的名头也是赚足了眼球的。</t>
  </si>
  <si>
    <t>魔力干扰II</t>
  </si>
  <si>
    <t>目标法术伤害降低1d6</t>
  </si>
  <si>
    <t>乐理</t>
  </si>
  <si>
    <t>· 使用者可以通过乐理鉴定听到的乐声是来自何种乐器、何种曲子、曲子的节奏。</t>
  </si>
  <si>
    <t>魔力干扰III</t>
  </si>
  <si>
    <t>目标法术伤害降低2d6</t>
  </si>
  <si>
    <t>厨艺</t>
  </si>
  <si>
    <t>· 当使用者需要做饭时可以通过该鉴定决定做出的饭菜是否美观可口。
· 如果是食品雕刻则需要非常高级的刀工与设计，没有传授会十分困难。</t>
  </si>
  <si>
    <t>护甲穿透I</t>
  </si>
  <si>
    <t>降低目标2点护甲值</t>
  </si>
  <si>
    <t>裁缝</t>
  </si>
  <si>
    <t>· 裁缝可以使用针或者缝纫机将布匹丝绸缝纫成某件布制品，根据成品所需难度提高鉴定难度。 比如双面绣就十分困难，除非是一脉单传。
· 有缝自有裁，也可以使用剪刀等工具对物品进行裁切。
· 超出剪刀等工具的范围就不适用该技能。（比如制皮）</t>
  </si>
  <si>
    <t>护甲穿透II</t>
  </si>
  <si>
    <t>降低目标4点护甲值</t>
  </si>
  <si>
    <t>理发</t>
  </si>
  <si>
    <t>· 理发师可以使用剪刀等工具帮他人理发，如果要给自己理发可能比较困难。
· “理发全套”可能包括洗头、吹头发、染发、恤发、定型、刮胡子甚至是美甲、按摩等。</t>
  </si>
  <si>
    <t>护甲穿透III</t>
  </si>
  <si>
    <t>降低目标8点护甲值</t>
  </si>
  <si>
    <t>建筑</t>
  </si>
  <si>
    <t>· 使用者可以通过建筑鉴定了解某栋建筑的基本构造。
· 也可以通过建筑对房屋进行修缮维护，比如添瓦加砖铺地板，刷墙壁纸两不闲。</t>
  </si>
  <si>
    <t>法术穿透I</t>
  </si>
  <si>
    <t>无视法术护盾持续1d3回合</t>
  </si>
  <si>
    <t>舞蹈</t>
  </si>
  <si>
    <t>· 使用者可以根据所学习的程度跳出相应的舞蹈。
· 越难的舞蹈鉴定遇难。比如冰上华尔兹，可能就得进行联合鉴定才能成功。</t>
  </si>
  <si>
    <t>法术穿透II</t>
  </si>
  <si>
    <t>无视法术护盾持续1d6回合</t>
  </si>
  <si>
    <t>酿酒</t>
  </si>
  <si>
    <t>· 技艺者可以花费一段时间来酿酒。如果失败了或许酿出来的只是酒糟吧。
· 也有品酒师精通于通过品酒来知道酒的度数、类别、产地、日期、树种环境、酿酒用具等</t>
  </si>
  <si>
    <t>法术穿透III</t>
  </si>
  <si>
    <t>无视法术护盾持续2d6回合</t>
  </si>
  <si>
    <t>捕鱼</t>
  </si>
  <si>
    <t>· 技艺者可以使用鱼竿、鱼叉、渔网等工具进行捕鱼。
· 和普通的垂钓不同，以此为生的人往往需要在短时间获得更多的收获，于是这个技能可能会更倾向于使用大型渔网、渔船等进行捕鱼，所以可能会拥有驾驶渔船的知识。
· 一些情况下还可能会选择使用炸药，或者高压电来进行捕鱼，不过这往往都是犯法的。</t>
  </si>
  <si>
    <t>真实伤害I</t>
  </si>
  <si>
    <t>对目标最终伤害+1</t>
  </si>
  <si>
    <t>歌唱</t>
  </si>
  <si>
    <t>· 唱歌有很多唱法，在选择歌唱的时候请自行选择一种唱法写入背景故事，比如：演歌、歌剧歌唱、流行歌等。
· 如果歌唱失败，会让人恨不得撕烂他的嘴。
· 死亡歌声或许能吓退什么呢？</t>
  </si>
  <si>
    <t>真实伤害II</t>
  </si>
  <si>
    <t>对目标最终伤害+2</t>
  </si>
  <si>
    <t>制陶</t>
  </si>
  <si>
    <t>· 使用者可以用来伪造陶瓷器，或者能理解某些陶瓷器的烧制过程。
· 或许在某些时候（荒野求生）能有所帮助吧。</t>
  </si>
  <si>
    <t>真实伤害III</t>
  </si>
  <si>
    <t>对目标最终伤害+4</t>
  </si>
  <si>
    <t>雕塑</t>
  </si>
  <si>
    <t>· 使用者可以以雕塑为生，也可以通过一个困难以上鉴定来进行速刻。
· 通过一个普通鉴定能了解到某些雕塑的诞生过程以及他的材质。
· 当然，有时候你也可以大开脑洞凿个中空的雕塑做点什么？</t>
  </si>
  <si>
    <t>伤害削弱I</t>
  </si>
  <si>
    <t>目标伤害降低1/4，至少-1</t>
  </si>
  <si>
    <t>杂技</t>
  </si>
  <si>
    <t>· 技艺者可以进行某些杂耍技巧，或者变戏法之类的技巧。
· 可以配合跳跃进行空中动作，配合妙手变魔术等。
· 如果进行跑酷的话也可以使用杂技进行鉴定。
· 在跳楼的时候可以通过该技能代替跳跃来减免伤害。</t>
  </si>
  <si>
    <t>伤害削弱II</t>
  </si>
  <si>
    <t>目标伤害降低1/3，至少-2</t>
  </si>
  <si>
    <t>· 风水是一门很神奇的技艺。
· 风水本为相地之术，也就是临场校察地理的方法，也叫地相、古称堪舆术。
· 可以使用查看罗盘等风水工具来得知住宅基地、坟地等的自然形势的方位格局，以辨凶吉。
· 如果迷路，或许也能凭此逃出生天。
（该技能KP可以选择暗骰）</t>
  </si>
  <si>
    <t>伤害削弱III</t>
  </si>
  <si>
    <t>目标伤害降低1/2，至少-3</t>
  </si>
  <si>
    <t>制图</t>
  </si>
  <si>
    <t>· 技术制图，主要是建筑师凭此设计建筑的技术。</t>
  </si>
  <si>
    <t>力量衰弱I</t>
  </si>
  <si>
    <t>目标力量临时-10%，持续1d6回合</t>
  </si>
  <si>
    <t>耕作</t>
  </si>
  <si>
    <t>· 耕作，指从事农耕。泛指农事。
· 耕作制度是指在农业生产中，为了达到持续高产所采取的全部农田技术措施。
· 它主要包括种植制度、土壤耕作制、施肥和杂草防除制度等环节。</t>
  </si>
  <si>
    <t>力量衰弱II</t>
  </si>
  <si>
    <t>目标力量临时-20%，持续1d6回合</t>
  </si>
  <si>
    <t>打字</t>
  </si>
  <si>
    <t>· 打字也称文字录入，包括数字录入、中文录入、英文录入（字母）、日文录入（平假名）、德文录入等。
· 以前使用打字机来打字，在现代这个职业因为电脑的普及，能纯粹靠打字为职业的情况越来越少。</t>
  </si>
  <si>
    <t>力量衰弱III</t>
  </si>
  <si>
    <t>目标力量临时-50%，持续1D6回合</t>
  </si>
  <si>
    <t>速记</t>
  </si>
  <si>
    <t>· 速记是一门用特殊符号系统记录语音的快写实用技术。
· 大多数人印象中的速记还是传统的手写速记，记录后的稿件是一个个类似蝌蚪的符号，而且需要一段时间把速记符号转化成文字。
· 现在兴起的电脑速记，记录的结果是普通文字信息，不需要再做文字转写工作，能够跟说话同步。
· 电视里现场直播中能够立即出现字幕，电脑速记员就是幕后英雄。</t>
  </si>
  <si>
    <t>体质虚弱I</t>
  </si>
  <si>
    <t>目标体质临时-10%，持续1d6回合</t>
  </si>
  <si>
    <t>木匠</t>
  </si>
  <si>
    <t>· 木匠，亦称“木工”，指在制造家具零件、门窗框架，或其他木制品过程中用手工工具或机器工具进行操作的人。
· 木匠从事的行业是很广泛的，他们不仅可以制作各种家具，在建筑行业、装饰行业、广告行业等都离不开木匠。</t>
  </si>
  <si>
    <t>体质虚弱II</t>
  </si>
  <si>
    <t>目标体质临时-20%，持续1d6回合</t>
  </si>
  <si>
    <t>莫里斯舞蹈</t>
  </si>
  <si>
    <t>· 莫里斯舞蹈，在英国的历史“久远”二字都不足以形容。
· 在古代凯尔特人的传统节日庆祝活动中，往往会绕着石圈或者石阵跳舞。这种舞就是最初的莫里斯舞蹈，而随着时间的发展，莫里斯舞蹈后来又转移到了墓地进行。</t>
  </si>
  <si>
    <t>体质虚弱III</t>
  </si>
  <si>
    <t>目标体质临时-50%，持续1D6回合</t>
  </si>
  <si>
    <t>歌剧歌唱</t>
  </si>
  <si>
    <t>· 歌剧是一门西方舞台表演艺术，简单而言就是主要或完全以歌唱和音乐来交代和表达剧情的戏剧。
· 歌手和合唱团常有一队乐器手负责伴奏，有的歌剧只需一队小乐队，有的则需要一团完整的管弦乐团。有些歌剧中都会穿插有舞蹈表演，如不少法语歌剧都有一场芭蕾舞表演。
· 歌剧被视为西方古典音乐传统的一部分。</t>
  </si>
  <si>
    <t>重伤I</t>
  </si>
  <si>
    <t>目标反击获得一个惩罚骰，持续1D6回合</t>
  </si>
  <si>
    <t>粉刷匠与油漆工</t>
  </si>
  <si>
    <t>· 油漆工制定了油漆工规范及相关标准。
· 油漆工是土建专业的专业工种之一，指使用手工工具或机具，把涂料涂刷或喷刷在建筑物表面和门窗表面，以及裱糊饰面和裁装玻璃的专业人员。</t>
  </si>
  <si>
    <t>重伤II</t>
  </si>
  <si>
    <t>目标反击获得两个惩罚骰，持续1D6回合</t>
  </si>
  <si>
    <t>吹真空管</t>
  </si>
  <si>
    <t>· 吹真空管实为吹真空管。吹真空管分为人工吹制和机械吹制。
· 人工吹制是一项古老的工艺。人工吹制时使用长约1.5m中空铁吹管，一端蘸取玻璃液，一端为吹嘴。挑料后在滚料板（碗）上滚匀、吹气，形成玻璃料泡，在模中吹成制品。
·机械吹制时，玻璃液由玻璃熔窑出口流出，经供料机形成设定重量和形状的料滴，剪入初型模中吹成或压成初型，再转入成型模中吹成制品。</t>
  </si>
  <si>
    <t>重伤III</t>
  </si>
  <si>
    <t>目标反击技能检定难度+1，持续1d6回合</t>
  </si>
  <si>
    <t>骨折I</t>
  </si>
  <si>
    <t>目标闪避获得一个惩罚骰，持续1D6回合</t>
  </si>
  <si>
    <t>15%</t>
  </si>
  <si>
    <t>交涉技能</t>
  </si>
  <si>
    <t>对方的因素，即对此来说恰当的社交技能或心理学技能 （取较高的那个）</t>
  </si>
  <si>
    <t>· 取悦允许通过许多形式来使用，包括肉体魅力、诱惑、奉承或是单纯令人感到温暖的人格魅力。
· 取悦可能可以被用于迫使某人进行特定的行动，但是不会是与个人日常举止完全相反的行为。
· 取悦或是心理学技能可以用于对抗取悦技能。
· 取悦技能可以被用于讨价还价来使一件物品或者服务的价格降低。如果成功，使用者得到了卖家的赞同，并且他们可能乐意降低一点价格。</t>
  </si>
  <si>
    <t>若对方的技能低于 50%</t>
  </si>
  <si>
    <t>若对方的技能大于等于 50%
而大于90%需要一个极难成功</t>
  </si>
  <si>
    <t>· 以友善的态度明显地赞美对象
· 赠送一件昂贵的礼物
· 通过透露一个秘密来建立信任</t>
  </si>
  <si>
    <t>· 对象感到自己被冒犯了，并且不会再继续与你进行任何交流
· 对象与你的敌人有某种方式的联系，尽管他可能会照着你的吩咐做，但是将会告发你
· 第三者可能会出来调解并阻止你继续搭讪他们的妹子</t>
  </si>
  <si>
    <t>他可能会死心塌地地喜欢上他的目标并且会表现得像是对方成功地对他使用了一个支配术</t>
  </si>
  <si>
    <t>骨折II</t>
  </si>
  <si>
    <t>目标闪避获得两个惩罚骰，持续1D6回合</t>
  </si>
  <si>
    <t>20%</t>
  </si>
  <si>
    <t>·攀爬表面是否坚固，是否有可以用手握住的地方，风力，可见度，雨等等坏境状况都可能会影响难度等级。</t>
  </si>
  <si>
    <t>· 这项技能允许一名角色借助或者不借助绳索或者登山工具进行爬树、墙以及其他垂直表面。
· 这项技能也同样包括用绳索下降。
· 第一次在这个技能上失败可能意味着这攀爬超出了调查员的能力范围。
· 一个成功的攀爬检定应当允许调查员在任何场合下完成攀爬（而不是进行反复检定）。
· 一次富有挑战性或者长距离的攀爬则应当增加难度等级。</t>
  </si>
  <si>
    <t>· 相当多的落手点
· 也许有绳索或者排水管帮助攀爬</t>
  </si>
  <si>
    <t>没有落手点，或者表面被雨水打湿而变得滑手</t>
  </si>
  <si>
    <t>· 重新评估这次攀爬
· 绕远路进行迂回攀爬
· 拉住某人的手。</t>
  </si>
  <si>
    <t>· 从高处摔下来并且受到伤害（如果摔在草地上，1D6 伤害每 10 英尺，摔在混凝土上则是 1D10 伤害每 10 英尺）
· 某件有价值的持有物从你的口袋中掉了下去（你可能直到事后才发现到）
· 陷入困境之中，无法继续上爬也无法下去</t>
  </si>
  <si>
    <t>他将全力保住自己可贵的生命，并且竭尽全力大声尖叫直到筋疲力尽</t>
  </si>
  <si>
    <t>骨折III</t>
  </si>
  <si>
    <t>目标闪避技能检定难度+1，持续1d6回合</t>
  </si>
  <si>
    <t>计算机使用</t>
  </si>
  <si>
    <t>现代专用</t>
  </si>
  <si>
    <t>· 这项技能允许调查员用各种不同的电脑语言进行编程、恢复或者分析隐藏的数据、解除被加了保护的系统、探索一个复杂的网络、或者发现别人的骇入、后门程序、病毒。
· 对电脑系统的特殊操作可能会需要这个检定。
· 互联网将大量的信息放置在了调查员的指尖上。使用互联网来找到高度详细以及/或模糊不清的咨询可能会需要一个计算机使用和图书馆使用的组合检定。
· 这项技能在用电脑上网，检查电子邮件，或者运行一般的商品化软件时不需要使用。</t>
  </si>
  <si>
    <t>· 对电脑程序进行编写、分析以及除错。</t>
  </si>
  <si>
    <t>破译密码以及骇入一个有保护的网络，并且没有被发现或者追踪。</t>
  </si>
  <si>
    <t>· 花费更长的时间来改良一个程序
· 使用别人的代码作为捷径
· 使用未测试的软件（e.g.一个病毒）来利用一个系统。</t>
  </si>
  <si>
    <t>· 意外消除了好用的文件，或者使整个系统崩溃
· 留下了证据或者你的行为使对方警觉了起来
· 你的电脑/网络感染上了病毒</t>
  </si>
  <si>
    <t>他迷失在虚拟空间中，并且需要物理上的介入来让他停止使用电脑，或者将视线从屏幕上移开。</t>
  </si>
  <si>
    <t>感染I</t>
  </si>
  <si>
    <t>目标永久降低1d10点体质和力量，每回合hp-1,直到成功医学治愈。</t>
  </si>
  <si>
    <t>0%</t>
  </si>
  <si>
    <r>
      <rPr>
        <sz val="10"/>
        <color rgb="FF000000"/>
        <rFont val="微软雅黑"/>
        <charset val="134"/>
      </rPr>
      <t xml:space="preserve">· 衡量了调查员表现出来的富裕程度以及经济上的自信度
· 信用评级可以被用来取代APP来评估第一印象
※ </t>
    </r>
    <r>
      <rPr>
        <b/>
        <sz val="10"/>
        <color rgb="FF000000"/>
        <rFont val="微软雅黑"/>
        <charset val="134"/>
      </rPr>
      <t>信用评级并不是一个被用于评估经济富裕度的技能，也不应该与其他技能挂钩
· 每个职业有着起始的信用评级范围，并且应当花费技能点来达到这个评级范围内
· 一名调查员的信用评级可以随着时间而改变。
· 调查员的克苏鲁神话技能有着易于疯狂的倾向，而这个技能可能导致失业并因此变成一个更低的信用评级</t>
    </r>
  </si>
  <si>
    <t>· 从银行或企业得到一笔贷款
· 绕开对证明书的需求
· 在商店或者赌场得到信用额度
· 在高档餐厅得到最好的桌子</t>
  </si>
  <si>
    <t>· 在涉及到（或被判有罪）一名犯罪调查员时仍得到信用或者贷款
· 在被媒体诽谤后仍得到正面的关注</t>
  </si>
  <si>
    <t>· 你提供你的房子以及/或者其他有价值的东西来作为作为担保从高利贷者那获得贷款
· 你尝试对银行经理施压来让他给你贷款。</t>
  </si>
  <si>
    <t>· 高利贷者的态度变得恶劣，并且命令他的手下给你上♂了一课
· 银行经理呼叫了警察
· 你贷款到了钱，但是这是一个策略来让你陷入更深的债务中，并且有个恶人计划着赎买你的债务并且在之后要求你给予帮助</t>
  </si>
  <si>
    <t>他失去所有在资本上的信用，并且开始免费分发他的钱给路人。</t>
  </si>
  <si>
    <t>感染II</t>
  </si>
  <si>
    <t>目标永久降低2d10点体质和力量，每回合hp-2,直到困难医学治愈。</t>
  </si>
  <si>
    <t>· 这项技能反应了对非人类（洛夫克拉夫特的）克苏鲁神话的了解
· 这个技能并不像学术技能一样建立在知识的积累之上，它像是“哪些是人类不该知道的”，克苏鲁神话是与人类的理解相对立的，并且接触它将会侵蚀人类的理智
· 没有调查员能在初始技能设定时给克苏鲁神话加点（除非被KP同意）
· 成功的使用克苏鲁神话技能并不会提供给调查员在这个技能百分比上的提升
· 当克苏鲁神话点数上升，它将减少理智上限，并且使得调查员变得脆弱
· 每当神话生物的足迹或者其他证据被发现，一个成功的克苏鲁神话检定可以允许调查员辨认出这个神话生物，推测出有关它行为的一些资讯，或者猜测出它所拥有的某些特性。
· 一个成功的克苏鲁神话检定也可能允许调查员回想起一些关于神话的真实，通过看见咒语的施展来辨认出它，回想起克苏鲁书卷中详细的咒语或者部分的信息，或者完成一些其他的任务。
· 克苏鲁神话技能也可以被用来展现出魔法的“咒语一样的”效果。</t>
  </si>
  <si>
    <t>正确地根据第二手证据（足迹、创痕、第一手报告）来辨认出神话生物。</t>
  </si>
  <si>
    <t>· 通过谣传、传说或者极少的证据来辨认出一个神话生物
· 通过调查研究以及第一手经验辨认出一个神话生物可能的弱点或者能够给予一些优势的知识</t>
  </si>
  <si>
    <t>· 更加接近生物以获得一个更好的观察
· 翻阅咨询有着专业知识的可怕书卷或是人类学问与传说（或者其他的）
· 进行一场尸体解剖来了解更多
· 当你回忆起奇怪的密码电文时高声读出来</t>
  </si>
  <si>
    <t>· 太过于接近而让自己遭受到伤害或者怀疑
· 无意识地将书卷中的一段文字大声读了出来从而激活了一个召唤咒术
· 意外地损坏或毁坏了用于研究的证据。</t>
  </si>
  <si>
    <t>他会体验到一段揭示了新的关于克鲁苏深化的真实的幻影或者天启，相似地导致了对疯狂的领悟（伴随着可能的克苏鲁神话技能的增长以及/或是理智的损失）</t>
  </si>
  <si>
    <t>感染III</t>
  </si>
  <si>
    <t>目标永久降低3D10点体质和力量，每回合hp-3,直到极难医学治愈。</t>
  </si>
  <si>
    <t>· 使用在当你想要演出除你自己外的别人时。
· 使用者改变了态度，习惯，以及/或声音来进行一个乔装，以另一个人或者另一类人的形象出现。
· 戏剧化妆品可能会有所帮助，还有伪造的身份证。
· 这项技能有着明显的两个方向：要么你试图隐瞒你的真实身份（例如当警察正在寻找你）或者你在模仿他人。
· 如果在一场面对面的见面中装作一个特定的人士，并且有某位认识你模仿的这个人的人，那么要通过这个场合就超出了这个技能的范围，并且可能意味着需要一个更高难度的组合技能检定（与说服，取悦，或者话术结合）。</t>
  </si>
  <si>
    <t>使陌生人相信你就是你说你是的那个人。例如，回到你昨天犯案的犯罪现场并且逃过注意</t>
  </si>
  <si>
    <t>在一场面对面的见面中使一名专家相信你就是你说你是的那个人。例如，装扮成一名银行员工来获得进入银行金库的许可</t>
  </si>
  <si>
    <t>· 经过一个完全拟真以及加强过的准备（将自己沉入到角色中去）
· 偷走个人物品并且将之利用进伪装中
· 用明显而夸张的手法来让对方感到混乱
· 假装患了疾病来迷惑观察者</t>
  </si>
  <si>
    <t>· 被拘捕
· 造成了对方的抵触，造成了暴力行为或者刑事指控
· 发现自己所模仿的对象正在被找来为了报复的黑帮所通缉</t>
  </si>
  <si>
    <t>这名调查员不再能认清自己在镜子中的脸，即使伪装已经被除去</t>
  </si>
  <si>
    <t>中毒I</t>
  </si>
  <si>
    <t>目标每回合hp-1,持续1d6回合，直到医学/困难体质治愈</t>
  </si>
  <si>
    <t>DEX一半的%</t>
  </si>
  <si>
    <t>闪避技能大多数用于战斗中，作为对抗技能的一部分并且不存在难度等级</t>
  </si>
  <si>
    <t>· 允许调查员本能地闪避攻击，投掷过来的投射物以及诸如此类的
· 一名角色可以尝试在一场战斗轮中使用任何次数的闪避（但是对抗一次特定的攻击只能一次）
· 闪避可以通过经验来提升，就像其他的技能一样
· 如果一次攻击可以被看见，一名角色可以尝试闪避开它
· 想要闪避子弹是不可能的，因为运动中的它们是不可能被看见的，一名角色所能做到的最好的是做逃避的行动来造成自己更难被命中</t>
  </si>
  <si>
    <t>作为一个战斗技能，这项技能不存在孤注一掷</t>
  </si>
  <si>
    <t>中毒II</t>
  </si>
  <si>
    <t>目标每回合hp-2,持续1d6回合，直到医学/困难体质治愈</t>
  </si>
  <si>
    <t>因情况可改变为不同名称</t>
  </si>
  <si>
    <t>· 任何有着这项技能的人都可以驾驶一辆汽车或者轻型卡车，进行常规的移动，并且处理机动车的一般毛病
· 如果调查员想要甩掉一名追踪者或者追踪某人，则需要一个汽车驾驶检定
· 一些其他的文化可能用相似的事物来取代这个技能
· 因纽特人可能使用狗撬驾驶，或者维多利亚人可能使用四轮马车驾驶</t>
  </si>
  <si>
    <t>在不繁忙的交通状况下成功地迂回前进，甩掉了追踪者</t>
  </si>
  <si>
    <t>在拥堵的交通状况下成功地迂回前进，甩掉了追踪者</t>
  </si>
  <si>
    <t>· 驾驶交通工具直至其极限
· 无视危险，不减速前进</t>
  </si>
  <si>
    <t>· 撞车
· 因打滑而停止，无法再前进
· 被警察追赶</t>
  </si>
  <si>
    <t>他将被发现正位于一个静止的交通工具的轮子后面并发出“brum-brum”的车子运行的声音</t>
  </si>
  <si>
    <t>中毒III</t>
  </si>
  <si>
    <t>目标每回合hp-4,持续1d6回合，直到医学/困难体质治愈</t>
  </si>
  <si>
    <t>10%</t>
  </si>
  <si>
    <t>· 使调查员能够修理或者改装电气设备，例如自动点火装置，电动机，保险丝盒，以及防盗自动警铃
· 在现代，这项技能对现代电子器件几乎做不到什么。
· 为了维修电气设备，可能需要特殊的部件或者工具。
· 在1920年代的职业可能会需要这个技能，并且需要机械维修技能作为组合
· 电气维修也可能在现代的爆破上被使用，例如雷管，C-4塑料炸弹，以及地雷。
· 这些武器被设计得简单易用
· 只有一个大失败的结果才会造成不启动（记住这检定可以使用孤注一掷）
· 拆除爆炸物是远远更为复杂的，因为它们可能被安装了反拆改装置
· 当用于解除爆炸物时应当提高难度等级——见爆破技能</t>
  </si>
  <si>
    <t>修理或者制作一个常规的电气设备</t>
  </si>
  <si>
    <t>· 修理已经被严重损坏的东西
· 在没有合适的工具的情况下工作</t>
  </si>
  <si>
    <t>· 花费更长的时间来修理或者改装设备
· 进行有风险的捷径行动</t>
  </si>
  <si>
    <t>· 因为电击而受伤
· 保险丝断了并且整座建筑陷入了黑暗中
· 将你正在修理的东西损坏到了不可修理的地步</t>
  </si>
  <si>
    <t>他将尝试将活体生物的电能利用进设备中</t>
  </si>
  <si>
    <t>猛毒I</t>
  </si>
  <si>
    <t>目标每回合hp-1d6,持续2回合，直到困难医学/极难体质治愈</t>
  </si>
  <si>
    <t>时间限制和对应的指南和部件</t>
  </si>
  <si>
    <t>· 用来发现并对电子设备的故障进行维修
· 允许制作简单的电子设备
· 这是个现代技能—在1920年代则是使用物理学以及电气维修来应对电子设备
· 不像电气维修技能，电子学工作的部件通常是不能临时配备的：它们通过精密的工作被设计出来
· 通常如果没有正确的微晶片或者电路板，技能的使用者就无法进行工作，除非他们可以策划出一些形式的应急方案
· 如果一名调查员有着正确的部件和指导建议，将一台标准的电脑组装起来甚至不应被需要一个技能检定</t>
  </si>
  <si>
    <t>对电脑或者电子设备不严重的损伤进行修理—这类服务可以期待在保修范围内</t>
  </si>
  <si>
    <t>收集废弃部件来临时制作一个追踪设备用于安置在某人的车内</t>
  </si>
  <si>
    <t>· 花费更长的时间来制作或者维修一个设备
· 研究新的或者其他的方法</t>
  </si>
  <si>
    <t>· 烧毁了线路或者其他的易损部件
· 因电击而受伤
· 制作出了与预期目的不同用处的设备</t>
  </si>
  <si>
    <t>他将变得偏执而且疑神疑鬼，深信遭遇的一切事物里都有着窃听装置：电话，电视，电冰箱</t>
  </si>
  <si>
    <t>猛毒II</t>
  </si>
  <si>
    <t>目标每回合hp-1d6,持续4回合，直到困难医学/极难体质治愈</t>
  </si>
  <si>
    <t>· 话术特别限定于言语上的哄骗，欺骗以及误导，例如迷惑一名门卫来让你进入一间俱乐部，让某人在一张他还没有读的文件上签字，误导警察看向另一边，以及诸如此类的
· 这项技能的对立技能为心理学或者话术。经过一段时间的相信期后（通常在使用话术的人离开场景之后），对方会意识到自己被欺骗了
· 话术的效果总是暂时性的，尽管如果达成了更高的难度等级可能会使这个效果更加长一点
· 可以被用来对一件物品或者服务的价格进行砍价
如果成功，卖家会暂时性地觉得这是一场不错得交易。然而，如果买家打算归还或者试图购买别的物品，卖家可能会拒绝继续提供降价，并且甚至可能会提高价格为了补回他们在上一次交易中所造成的损失。</t>
  </si>
  <si>
    <t>· 与目标关系变得更加接近与私人
· 用富有异国风情的口味说话，为了让目标感到困惑
-记住这项技能是话术，所以如果调查员开始选择尝试其他的方法，KP可能会要求使用一个不同的技能
如果进行了威胁，则将要求恐吓技能，或者如果进行了一场较长的讨论，则要使用说服技能。
从一个技能转换到了使用另一个技能来得到第二个检定机会仍然算是进行了一次孤注一掷。</t>
  </si>
  <si>
    <t>造成了严重的不愉快，导致暴力，愤怒，或者犯罪行径的发生</t>
  </si>
  <si>
    <t>他会开始用各种各样不定的骂人言语开始对着人进行谩骂</t>
  </si>
  <si>
    <t>猛毒III</t>
  </si>
  <si>
    <t>目标每回合hp-1d6,持续6回合，直到困难医学/极难体质治愈</t>
  </si>
  <si>
    <t>剧毒I</t>
  </si>
  <si>
    <t>目标每回合hp-1d10,直到极难医学治愈</t>
  </si>
  <si>
    <t>专业化
战斗技能</t>
  </si>
  <si>
    <t>· 格斗技能指的是一名角色在近距离战斗上的技能。
· 你可以花费一定的点数来获得任何的专业化技能。
· 作为类属的“格斗”技能不能够获得。选择对你的调查员的职业以及当时历史合适的专业格斗技能。
· 那些有着50%或者以上的格斗（斗殴）技能的调查员可能会希望选择一种正规的训练，并且作为背景的一部分来对他们的技能程度进行解释。格斗方式存在着各种各样的。
· 武术只是单纯的一种提升一个人战斗技巧的方式。
· 决定角色是如何学习格斗的，是否是从正规的军队训练，武术教室，或者以自己的努力从街头格斗中学会。
· 术语斗殴可能会觉得对于作为一个技能化的武术来说过于粗糙，并且可以被代替（例如用“空手道”），如果玩家是这样希望的话。</t>
  </si>
  <si>
    <t>作为一个战斗技能，这个技能不存在孤注一掷</t>
  </si>
  <si>
    <t>剧毒II</t>
  </si>
  <si>
    <t>目标每回合hp-2d10,直到极难医学治愈</t>
  </si>
  <si>
    <t>格斗的子项
战斗技能</t>
  </si>
  <si>
    <t>· 套索以及鞭子</t>
  </si>
  <si>
    <t>剧毒III</t>
  </si>
  <si>
    <t>目标每回合hp-4d10,直到极难医学治愈</t>
  </si>
  <si>
    <t>· 第一个以汽油为能源，大量生产的链锯出现于1927年
· 然而，也存在着一些早期版本
· 链锯被包括入作为一种武器是因为它在电影中被大量使用，但是玩家必须记住这武器大失败的结果也是一般的两倍，并且它存在杀死使用着的调查员的可能性（或者失去四肢中一条）</t>
  </si>
  <si>
    <t>减速I</t>
  </si>
  <si>
    <t>目标mov-1，追逐轮获得一个惩罚骰。</t>
  </si>
  <si>
    <t>25%</t>
  </si>
  <si>
    <t>· 包括空手格斗以及任何人都可以捡起并使用的基础武器，例如棍棒（例如板球棒或者棒球棍），小刀，以及许多临时武器，例如瓶子以及椅子腿
· 为了决定这些临时武器所造成的伤害，KP应当参考武器表并且挑选那些类似的武器</t>
  </si>
  <si>
    <t>减速II</t>
  </si>
  <si>
    <t>目标mov-2，追逐轮获得一个惩罚骰。</t>
  </si>
  <si>
    <t>· 当使用大型的木斧时使用这个技能
· 短柄小斧则可以用基础的斗殴技能
· 如果投掷出去，使用投掷技能</t>
  </si>
  <si>
    <t>减速III</t>
  </si>
  <si>
    <t>目标mov-3，追逐轮获得一个惩罚骰。</t>
  </si>
  <si>
    <t>· 所有的长度超过两英尺的剑器</t>
  </si>
  <si>
    <t>击倒I</t>
  </si>
  <si>
    <t>目标倒地后无法行动，持续1回合</t>
  </si>
  <si>
    <t>· 任何长度的材料被用于绞死对方
· 需要受害者进行一个战技检定来逃脱，否则就要遭受每轮1D6的伤害</t>
  </si>
  <si>
    <t>击倒II</t>
  </si>
  <si>
    <t>目标倒地后无法行动，持续1d3回合</t>
  </si>
  <si>
    <t>· 索连棍，钉锤，以及相似的中世纪兵器</t>
  </si>
  <si>
    <t>击倒III</t>
  </si>
  <si>
    <t>目标倒地后无法行动，持续1d6回合</t>
  </si>
  <si>
    <t>· 长枪或者投矛
· 如果投掷，使用投掷技能</t>
  </si>
  <si>
    <t>震慑</t>
  </si>
  <si>
    <t>目标行动获得一个惩罚骰，持续1d3回合</t>
  </si>
  <si>
    <t>目标行动获得一个惩罚骰，持续1d6回合</t>
  </si>
  <si>
    <t>射击</t>
  </si>
  <si>
    <t>距离、稳定性</t>
  </si>
  <si>
    <t>· 包括了各种形式的火器，也包括了弓箭和弩
· 你可以花费技能点数来获得任何专业化技能
· 作为属类的“射击”技能不能被获得
· 选择与你调查员的职业与时代历史相契合的专业化技能</t>
  </si>
  <si>
    <t>目标行动获得两个惩罚骰，持续1d6回合</t>
  </si>
  <si>
    <t>射击的子项
战斗技能</t>
  </si>
  <si>
    <t>· 这个技能可以用于射击任何类型的步枪（无论是杠杆作用，手动栓式或者半自动的）或者霰弹枪
· 因为霰弹枪中装填的弹药会以散射的方式发射，所以使用者的命中几率不会因为距离而减少，但是造成的伤害会受到影响
· 当突击步枪进行单次射击时（或者多次进行单次），使用这个技能</t>
  </si>
  <si>
    <t>击晕</t>
  </si>
  <si>
    <t>目标眩晕无法行动，持续1d3回合，被攻击/急救后清醒。</t>
  </si>
  <si>
    <t>· 当用任何自动手枪或者冲锋枪开火时使用这个技能
· 同样也用于突击步枪的全自动模式</t>
  </si>
  <si>
    <t>目标眩晕无法行动，持续1d6回合，被攻击/急救后清醒。</t>
  </si>
  <si>
    <t>用来使用弓以及弩，包括从中世纪的长弓到现代高性能的复合弓</t>
  </si>
  <si>
    <t>目标眩晕无法行动，持续1d10回合，被攻击/急救后清醒。</t>
  </si>
  <si>
    <t>· 喷射出一连串点燃的可燃烧液体或者气体的武器
· 可以被操作者携带或者架设在交通工具上</t>
  </si>
  <si>
    <t>麻痹</t>
  </si>
  <si>
    <t>目标麻痹无法行动，持续1d3回合，成功体质/成功急救后解除</t>
  </si>
  <si>
    <t>· 用两脚架或者三脚架架设的进行连续射击的武器
· 如果两脚架的类型进行单次射击，那么使用步枪技能
· 对于今日来说，突击步枪，冲锋枪以及轻机枪之间的差别已经是十分细微的了</t>
  </si>
  <si>
    <t>目标麻痹无法行动，持续1d6回合，困难体质/困难急救后解除</t>
  </si>
  <si>
    <t>· 用来使用所有的类似于手枪的火器，进行非连续的射击
· 对于现代游戏中的全自动手枪（MAC-11，乌兹手枪，等等），当使用全自动模式时，用冲锋枪的技能进行判定</t>
  </si>
  <si>
    <t>目标麻痹无法行动，持续1d10回合，极难体质/极难急救后解除</t>
  </si>
  <si>
    <t>· 用于使用枪榴弹发射器，反坦克火箭炮等等</t>
  </si>
  <si>
    <t>石化</t>
  </si>
  <si>
    <t>目标完全无法行动，每回合敏捷永久-1d10，持续1d3回合</t>
  </si>
  <si>
    <t>目标完全无法行动，每回合敏捷永久-1d10，持续1d6回合</t>
  </si>
  <si>
    <t>30%</t>
  </si>
  <si>
    <t>对人类进行急救永远是常规难度。如果某人正在对一名并不熟悉对方生理机能的异种生命进行处理，难度等级将会上升</t>
  </si>
  <si>
    <t>· 使用者有能力可以提供紧急的医疗处理
· 这可能包括：对摔断了的腿用夹板进行处理，止血，处理烧伤，对一名溺水的受害者进行复苏处理，包扎以及清理伤口等等
· 急救不能用于治疗疾病（这需要医学技能）
· 急救必须在一小时内进行处理，在这情况下，能回复1生命值的损伤
· 这项技能可以尝试一次，并且后续的尝试将为进行孤注一掷
· 两个人可以合作进行急救，只要其中一人成功便可以得到生命值的回复
· 成功的急救的使用可以将一名昏迷的角色唤醒过来
· 一名角色被限制只能进行一次成功的急救或者医学，直到受到其他伤害
· 当处理一名濒死的角色，成功的急救可以稳定他的状态一小时，并且得到一点临时生命
在一小时结束后，在那之后每经过一小时，那名角色必须进行一次成功的体质（CON）检定来维持伤势的稳定，否则那名角色陷入濒死并且失去临时生命，之后每轮必须进行一次体质检定来避免死亡
如果那名角色存活到下一轮，可以再次尝试对其使用急救（最多可以两人使用）。这个可以不断持续下去（不算是使用孤注一掷）直到伤势被稳定或者其死亡
· 只有急救可以拯救一名濒死角色的生命，在之后他必须接受一个成功的医学检定或者被送往医院</t>
  </si>
  <si>
    <t>· 花费更长的时间来处理病人
· 采用高风险的方法来稳定伤势</t>
  </si>
  <si>
    <t>让事物变得更加糟糕，造成一点额外的伤害</t>
  </si>
  <si>
    <t>· 他将感觉自己不得不“治疗”那人，尽管这可能意味着对其进行截肢或者更糟糕
· 实际上，如果他不被停下，他的尝试将会包括可能会导致谋杀的物理攻击</t>
  </si>
  <si>
    <t>目标完全无法行动，每回合敏捷永久-1d10，持续1d10回合</t>
  </si>
  <si>
    <t>· 让一名调查员能够记住一个国家，城市，区域或者个人及其相关的重要情报
· 一个成功的检定可以用来帮助辨认先祖所熟悉的工具，科技，或者想法，但是对当下的所知甚少</t>
  </si>
  <si>
    <t>回忆起一些相关并且有用的信息</t>
  </si>
  <si>
    <t>了解一些晦涩的，细节的并且有用的信息</t>
  </si>
  <si>
    <t>· 花费更多时间进行检查
· 进行进一步的研究
· 咨询另一位专家
· 雇佣助手来进行仔细的研究，花费数月，以及巨额花费</t>
  </si>
  <si>
    <t>· 这次商讨使你的对手变得警觉，并且意识到了你的意图
· 你得到的真相是错误的，并且引你陷入了危险之中
· 大量的时间和金钱浪费在了无用的研究中</t>
  </si>
  <si>
    <t>· 他将深信他迟早会被以某种方式替换
· 或者可能他开始相信他正生活在某个历史中的时段
· 以古代的方法进行衣装以及对话</t>
  </si>
  <si>
    <t>束缚</t>
  </si>
  <si>
    <t>目标无法反击，闪避和敏捷获得一个惩罚骰，直到成功力量挣脱/解救</t>
  </si>
  <si>
    <t>· 恐吓可以以许多形式使用，包括武力威慑，心理操控，以及威胁
· 这通常被用来使某人害怕，并迫使其进行某种特定的行为
· 恐吓的对抗技能为恐吓或者心理学
· 携带武器或者其他的有力的威胁或诱因来协助恐吓可能可以降低难度等级
· 恐吓可以被用于降低一件物品或者服务的价格
如果成功，卖家可能会降低价格，或者免费交出，但是根据情况，对方可能会将这事情举报给警察或者当地犯罪组织的成员
一个非常需要注意的事情是对恐吓进行孤注一掷意味着将事物推到极限。
这可能包括数日的审讯，或者将一把枪指着对方的脑袋来下达最后通牒。无论是哪一种，孤注一掷的结果为要么为得到了你想要的情报，要么对该场合下造成的结果予以偿还</t>
  </si>
  <si>
    <t>· 对目标或者其重视的某物某人造成实际上的物理伤害，记住这个技能是恐吓
· 如果调查员开始尝试另一种不同的方法，KP可能会要求一个不同的技能使用
· 如果撤回威胁并且调查员开始尝试与目标套近乎，可能会要求取悦技能
· 或者如果进行了一个长时间并且不含威胁的讨论，可能会变成说服技能
从一个技能转换到另一个技能的使用来获得第二次检定机会仍然属于使用了一个孤注一掷检定</t>
  </si>
  <si>
    <t>· 可能对目标进行了远远超过本身意图的恐吓
· 意外地扣下了你正在目标脸前晃悠着用来威胁的枪的扳机
· 目标的思想断弦了
· 造成了暴力或者无意义地喋喋不休，并且无法得到更多的情报
· 目标单纯地开始嘲笑你并且不管你做什么都不停止
· 目标以某种方式扭转形式，并且开始对恐吓者进行恐吓</t>
  </si>
  <si>
    <t>他对目标感到极度地恐惧，并且立刻接受当下的条件</t>
  </si>
  <si>
    <t>目标无法反击，闪避和敏捷获得一个惩罚骰，直到困难力量挣脱/解救</t>
  </si>
  <si>
    <t>· 如果成功，调查员可以在垂直方向上跳起或跳下，或者从一个站立点或起步点水平向外跳
· 当坠落时，跳跃可以被用来降低可能造成的坠落伤害
· 为了分辨哪些算在正常跳跃，困难跳跃以及极难跳跃，必须对判断进行训练
· 作为一个指导：
· 当调查员想要安全地从垂直等同于其自身高度的地方跳下来时，需要一个常规难度的成功，或者水平地从其站立点跳过长度等同于他自身高度的坑，或者助跑后跳过两倍于其自身高度的距离
· 如果要达成两倍距离的跳跃，则需要一个极难难度的成功，尽管应当牢记，最长跳跃的世界纪录为大约29英尺
· 如果从高处摔落下来，一个成功的跳跃检定可以使对坠落有所准备，降低一半的坠落伤害</t>
  </si>
  <si>
    <t>· 安全地从垂直等同于其自身高度的地方跳下
· 水平地从其站立点跳过长度等同于他自身高度的坑
· 助跑后跳过两倍于其自身高度的距离</t>
  </si>
  <si>
    <t>· 按照常规难度的标准，但是距离提高了50%
· 也许尝试从屋顶起跳并且越过小巷然后穿入隔壁建筑的窗户</t>
  </si>
  <si>
    <t>· 延迟或者花费时间来对跳跃进行评估
· 充分利用自己的能力，利用全身的重量和力气进行纵身一跃
· 在某些情况下，是无法进行孤注一掷的
· 如果某人试图跳跃过一道深渊，那么他不能进行第二次尝试
· 然而，如果某人陷在了一个陷阱中，并且试图跳出来逃跑，他可以拥有随意多少次的尝试，但是将被统合为一次孤注一掷的技能检定</t>
  </si>
  <si>
    <t>· 摔落并且遭受到了物理伤害
· 成功进行了跳跃，但是一件有价值的所有物（由KP来选择）在跳跃过程中掉落了</t>
  </si>
  <si>
    <t>他将深信他会飞~</t>
  </si>
  <si>
    <t>目标无法反击，闪避和敏捷获得一个惩罚骰，直到极难力量挣脱/解救</t>
  </si>
  <si>
    <t>外语</t>
  </si>
  <si>
    <t>· 当选择这个技能，必须明确一个具体的语言并且写在技能后面
· 一个人可以了解任何数量的语言
· 这项技能代表使用者可以了解，说，读以及写一门不是他母语的语言的可能性
· 远古或者不知名语言（例如Aklo，Hyperborean这两种神话语言）不能被选择（除非KP同意），但是常见的古语可以被选择
如果遇见了用那门语言的古式的演讲或者写作，KP可以提高难度等级
· 单次的其他语言技能检定的成功通常允许对整本书的理解
· 进行有着使对话清晰的停顿的正常交流（当与一名对这语言并不流畅的外国人）对于一个熟练的人来说并不需要进行检定
·在一门语言上5%的技能将能够正确地辨认出这门语言而不需要检定。
·在一门语言上10%的技能可以交流简单的想法
·在一门语言上30%的技能可以对社交上的需求进行理解
·在一门语言上50%的技能可以进行流畅的交流。
·在一门语言上75%的技能可以将一门外国语言说得像是本地人一样。
·辨认一门当下在使用的人类语言（调查员所不清楚的），使用知识检定。
·辨认一门已消逝的人类语言，使用考古学或者历史检定。
·辨认一门外星语言，使用克苏鲁神话，或者也许神秘学检定</t>
  </si>
  <si>
    <t>· 交流（也许是较快语速的）
· 写作材料中包括了一些学术性的或者非常用的术语</t>
  </si>
  <si>
    <t>· 大量非常用的学术性术语
· 历史上的古式的短语
· 说话者有着罕见的方言</t>
  </si>
  <si>
    <t>· 花费更长的时间来思考你想要说的词语
· 在长停顿后回答你被告知的内容
· 查阅其他的书来进行翻译</t>
  </si>
  <si>
    <t>· 过大或者过响的调查员与第三者之间的讨论让敌对集团对调查员的意图开始警觉
· 一个词语或者短句被错误地理解了（也许意思颠倒了）
· 听者感到自己被一个无意的模糊发言冒犯了，并且用他的拳头予以回应，或者联合周围的人一起来反对你</t>
  </si>
  <si>
    <t>他开始将不为人知的话，或者想象他正在使用以诺语（一种神秘学语言）</t>
  </si>
  <si>
    <t>捆绑</t>
  </si>
  <si>
    <t>目标无法行动，无法自行解开，直到队友花费1回合解救</t>
  </si>
  <si>
    <t>EDU%</t>
  </si>
  <si>
    <t>· 当选择这项技能时，必须明确一门具体的语言并且写在技能的后面
· 在婴儿期或者童年早期，大多数人使用单一一门语言
· 玩家所选择作为母语的语言自动地以等同于调查员教育（EDU）属性为起始
· 此后，调查员以那个百分比或者更高的来进行理解，说，读以及写（如果更多的技能点数在调查员创作时加了上去）
· 对于母语来说，通常并不需要技能检定。
· 即使当学术性的、古式的或者深奥的术语被使用，如果同类里的人对其他人都很友好并且有足够的时间来进行交流，那么大多数的事情将不需要一个骰子检定
· 如果一份文件是极其难以阅读或者以一种古式的方言来写，那么KP可能会要求一个检定</t>
  </si>
  <si>
    <t>目标无法行动，无法自行解开，直到队友花费2回合解救</t>
  </si>
  <si>
    <t>· 代表你对相关法律、早期事件、法庭辩术或者法院程序了解的可能性
· 一个在法律实务上的专家可能会获得巨大的奖励以及政治事务所，但是这可能需要长达几年的认真申请—— 一个较高的信用评级在这关系上也十分重要。
· 在美国，一个州的州法庭（StateBar）必须批准某人的法律实务。
· 当到一个外国国家时，使用这项技能的难度等级可能会上升，除非这名角色花费数月的时间来学习这个国家的法律系统</t>
  </si>
  <si>
    <t>理解和使用相关法律或者法律流程的细节</t>
  </si>
  <si>
    <t>记住或者理解一个不清楚的法律流程，或者反审讯一名有着强烈敌意的证人</t>
  </si>
  <si>
    <t>· 推迟来对你的辩论言论进行思考
· 对事例/处境的细微差别进行极其详细的解释
· 用重要的时间进行调查研究
· 曲解法律的字面意思来使你的言论变得合理</t>
  </si>
  <si>
    <t>· 误解了一条法律或者超出了可接受的法律程序的行为使你触犯了法律，并且吸引了警察的注意
· 浪费了宝贵的时间和金钱在调查以及法律费用上
· 你蔑视法庭，并且被丢进了牢房-至少24小时</t>
  </si>
  <si>
    <t>他会相信他此刻凌驾于法律之上</t>
  </si>
  <si>
    <t>目标无法行动，无法自行解开，直到队友花费3回合解救</t>
  </si>
  <si>
    <t>· 图书馆使用使一名调查员能在图书馆找到一些信息，例如特定的一本书，新闻或者参考书，搜集文件或者资料库，假设需要的东西确实在那里的话。
· 使用这个技能需要数小时的连续的调查
· 这项技能可以定位寻找一件隐藏的案例或者一本特殊收藏的稀有书籍，但是可能会需要说服，话术，取悦，恐吓，信用评级，或者特殊的证明书来获得阅读这书或者信息的许可</t>
  </si>
  <si>
    <t>· 迫请图书管理员来获得更广的援助
· 花费更长的时间在一排排书架中进行系统的工作</t>
  </si>
  <si>
    <t>· 找到了一本相似的书籍，包含着有误导性的内容，并可能导致调查员陷入危险之中
· 与对手有所牵连—也许他们会因你的调查以及反抗他们的行动而有所警觉，或者他们检查了你们所搜索的书本（或者单纯地撕去了有内容的页子）
· 与图书管理员陷入了争吵之中，导致你图书馆会员的身份被撤销</t>
  </si>
  <si>
    <t>· 他开始收集书，将页子撕下来并且钉在他卧室的墙上，写了大量离奇内容的笔记，将页子用棉线和别针串在一起
· 或者，调查员沉迷于寻找正确的书本或者一段信息，花费了所有的时间在偷窃以及审阅书本上</t>
  </si>
  <si>
    <t>目标意志获得一个惩罚骰，持续1d3回合</t>
  </si>
  <si>
    <t>与潜行对抗时，对方的潜行技能等级</t>
  </si>
  <si>
    <t>· 此技能是衡量一名调查员理解声音的能力，包括偶然听到的对话，一扇关着的门后的轻声嘀咕，以及咖啡厅里的私语
· KP可以用这来决定一场即将发生的遭遇的形式：比如你注意到了被踩碎的树枝的声音而警觉到可能遇到什么人
· 此外，一个较高的聆听技能可以理解为一名角色有着较高的警觉能力
· 当某人正在悄悄接近你时，聆听的对抗技能为潜行</t>
  </si>
  <si>
    <t>· 听见某物（潜行技能低于50）正在接近你
· 偷听一场在你附近发生的谈话</t>
  </si>
  <si>
    <t>· 听见某物（潜行技能从50至89）悄悄接近你的声音
· 偷听一场低声的谈话</t>
  </si>
  <si>
    <t>· 保持静止不动并且进行聆听
· 接近声音源（e.g.将耳朵贴在车轨或者门上）
· 让每个人都安静下来（自己制造一个噪音）然后进行聆听</t>
  </si>
  <si>
    <t>· “那个东西”在你没有意识到的时候抓住了你（你感到惊讶）
· 你错听了对话的内容，并且将内容混在了一起
· 你在偷听的行为被人捉住了，并且发现自己正在一个非常尴尬的困境之中</t>
  </si>
  <si>
    <t>他将会变得对所有声音过度敏感，并且无法在没有耳塞或者相似物体的情况下控制自己</t>
  </si>
  <si>
    <t>目标意志获得一个惩罚骰，持续1d6回合</t>
  </si>
  <si>
    <t>· 锁匠技能可以打开车门，短路电线来发动汽车，用铁撬撬开图书馆的窗子，解决中国机关箱，以及穿过常规的商用警报系统
· 使用者可能学会过修锁、配钥匙，或者使用万能钥匙、特殊工具打开锁
· 打开一个特别困难的锁可能会需要一个更高的难度等级</t>
  </si>
  <si>
    <t>打开或者修复一般的锁</t>
  </si>
  <si>
    <t>打开一个高安全性能的锁</t>
  </si>
  <si>
    <t>· 完全地将锁拆卸下来
· 花费更长时间
· 用力量强行撬开机械装置</t>
  </si>
  <si>
    <t>· 锁被破坏到了不可修复的程度（也许你的开锁工具折断在了锁里）
· 你破坏了机关箱（也许现在只有打碎它才能开启箱子）
· 你触发了警报，或者造成了足够响的噪音让某人或者某物过来查看发生了什么</t>
  </si>
  <si>
    <t>他放弃了眼前要解决的锁，并且意识到他更高的目的是解放他自己的思想
他们的双眼不再被迷雾所遮蔽，并且他开始以新的方式开始看待这个对他来说完全合理的世界，但是对于其他任何有着健全心智的人来说是完全不合理的</t>
  </si>
  <si>
    <t>目标意志获得两个惩罚骰，持续1d6回合</t>
  </si>
  <si>
    <t>· 这项技能允许调查员修理或制造一个机器
· 这项技能可以完成木工和管道工的大部分工作内容，比如滑轮组或者蒸汽泵之类的
· 在使用技能中可能会需要特殊的工具或者零件
· 这项技能可以打开普通的锁，但是专业的锁则需要使用锁匠技能
· 机械维修和电气维修是一个经常同时使用的技能，他们共同用于维修某种复杂的机械，例如汽车或者某些飞行器</t>
  </si>
  <si>
    <t>· 修理或者制作一件简单的设备
· 打开一个基础锁</t>
  </si>
  <si>
    <t>· 将设备完全的拆开
· 花费更长的时间
· 危险地使用过度的暴力来“敲”设备来使其运行（e.g.击打某物直至其运行）</t>
  </si>
  <si>
    <t>· 你将设备破坏至无法修理的程度
· 当你在对着设备进行工作时弄伤了自己（也许切到了自己的手，等等）
· 你沉浸于处理这个设备中，并且发现自己花费了一整天一整晚来处理它</t>
  </si>
  <si>
    <t>他密密麻麻将草写的设计写满了一本电话号码簿大小的便条本，以致甚至会创造使用生体物质以及家用电器为材料的离奇设备</t>
  </si>
  <si>
    <t>控制</t>
  </si>
  <si>
    <t>目标无法选择行动，持续1d6回合，直到成功意志检定。</t>
  </si>
  <si>
    <t>· 使用者可以诊断并治疗事故，创伤，疾病，毒药等，并且可以提供公共健康建议
· 医学技能可以理解大部分药物的功效、副作用、制造工艺、用药禁忌等
· 用医学技能来进行治疗最少要花费1小时时间，并且可以在受到了伤害后的任何时间进行处理，但是如果没有在受伤的同一天内进行治疗，难度等级将会上升（需要一个困难难度的成功）
· 一名角色如果被成功地用医学技能进行治疗，他将恢复1D3的生命值（此效果和急救不冲突），除非是在一名角色濒死的情况，他必须先接受一个成功的急救技能检定来稳定伤势，然后才能接受一个医学检定
· 一名角色只能接受一次成功的急救和医学的治疗，直到遭受了进一步的伤害（除了在角色濒死的情况可能需要多次的急救检定来稳定伤势）
· 成功的医学技能的使用可以将一名昏迷的角色从昏迷中唤醒
· 当处理重伤时，成功的医学技能可以让病人在每周的恢复检定上增加一个奖励骰
· 如果一个时代还没有对某种疾病的有效疗法，那么这项技能的效果是有限的，不确定的，或者无效的
· 如果是在一个当代设备完善的医院中，KP可能准许医学治疗自动成功</t>
  </si>
  <si>
    <t>诊断并治疗普通的医学疾病，并且拥有可以使用的装备（至少得有药物和工具）以及一个合适的环境</t>
  </si>
  <si>
    <t>在一个脏乱并且不安全的环境中进行诊断与治疗，并且只有最低限度的装备</t>
  </si>
  <si>
    <t>· 咨询同僚
· 进行进一步的研究
· 尝试实验性的或者更加危险的事物
· 表现得有某种形式的临床经验</t>
  </si>
  <si>
    <t>· 你误诊了疾病并且使病人的状况变得更糟（甚至可能会杀死他）
· 你良好的信誉遭到了质疑，并且因治疗不当而受到了调查
· 在有临死角色的场合下，如果医学的孤注一掷的检定失败，病人则会就死亡</t>
  </si>
  <si>
    <t>· 他陷入了极度的烦恼之中
· 他会将动物的残肢或其他部分嫁接到病人的身上</t>
  </si>
  <si>
    <t>目标无法选择行动，持续1d6回合，直到困难意志检定。</t>
  </si>
  <si>
    <t>· 这项技能最开始是指对在自然环境中的植物以及动物生命的研究
· 直到19世纪，这门学科被分开到一系列的专业学术学科（生物学、植物学等）
· 博物学其实是一种非科学的知识，可能包括渔民、农夫、业余者的经验、或者只是因为个人爱好而观察到的知识
· 它可以对一般的物种、栖息地进行辨认，并且可以辨认踪迹、足迹以及叫声，也可以用某种线索或迹象对特定物种进行重要的推测
· 如果想对事物进行科学的理解分析，则应该使用生物学，植物学以及动物学的技能
· 博物学可能准确也可能不准确：这只是对某种事物的猜测、评估、民间知识，或者是对这种食物非常感兴趣而获得的知识
· 使用博物学可以判断市场的肉是否新鲜，或者查看蝴蝶标本是本身就很棒还是只是很棒的排列了起来</t>
  </si>
  <si>
    <t>· 辨认一种特定的物种（比如辨认蚂蚁的种类）
· 记住一些普通的学问
· 知道最佳捕鱼点</t>
  </si>
  <si>
    <t>· 辨认一种罕见的样品
· 定位找到一种动物或者植物的稀有物种（比如巨大的甲虫）
· 记住一些非常晦涩的事实或者一部分的学问</t>
  </si>
  <si>
    <t>· 花费更长的时间（忘却了时间）来仔细检查栖息地
· 得知一种不出名的蘑菇或植物的种类与作用
· 询问当地老人关于附近野生生物的知识</t>
  </si>
  <si>
    <t>· 你花费了很长的几个小时着迷地仔细看着书来辨认物种
· 你得到了错误的知识，并且正在攻击你的蜜蜂没有被你身上的泥土植物混合物所赶走
· 你吃了毒蘑菇，几小时后发现你正全裸的走向一名警察</t>
  </si>
  <si>
    <t>他在森林中迷失了方向只能等待救援</t>
  </si>
  <si>
    <t>目标无法选择行动，持续1d6回合，直到极难意志检定。</t>
  </si>
  <si>
    <t>· 允许使用者在任何时间与任何天气中辨认行进的方向
· 拥有高导航技能的人会非常熟练的使用天文图标工具、定位工具、GPS设备
· 这项技能可以用来测绘某个区域的地图（制图学），判断一个区域或一个岛屿的面积，如果拥有现代工具可以降低难度等级或取消检定
· KP可以暗骰这个技能的检定
· 如果他非常熟悉这个地区，那么可以在检定中增加一个奖励骰</t>
  </si>
  <si>
    <t>· 没有任何疑惑的走在一条路上
· 使用太阳与星辰来确定方位
· 绘制一小块地区的地形图</t>
  </si>
  <si>
    <t>· 没有明确的路或地标时，仍向着正确的方向前进
· 测绘一块又大又复杂的区域</t>
  </si>
  <si>
    <t>· 花费比较多的时间在地图上来尝试辨认出你在哪里
· 回到你的起点并重新尝试走一遍</t>
  </si>
  <si>
    <t>· 你迷路了，并且发现你自己被一头熊盯上或伏击了
· 你不断地绕着圈，并且掉队了
· 你认错了北极星，并且最终回到了邪教的隐藏根据地（失败的逃跑）</t>
  </si>
  <si>
    <t>他扔掉了设备并且凭着直觉行走，但是他的直觉一点都不准。</t>
  </si>
  <si>
    <t>混乱</t>
  </si>
  <si>
    <t>目标行为失控，持续1d6回合，成功幸运/意志决定攻击目标是否一致。</t>
  </si>
  <si>
    <t>· 使用者可以识别出神秘学道具，用语和概念，以及民间传统，并且可以辨认魔法书以及神秘学记号
· 神秘学家对于代代相传的各类神秘知识十分熟悉，包 括从埃及和苏美尔，从中世纪和文艺复兴时期的西方，以及也许从亚洲或者非洲
· 理解特定的书籍可能可以增加神秘学技能的百分比。这项技能不能运用于与克苏鲁神话相关的咒术， 书本，以及魔法，尽管旧日支配者的崇拜者对于神秘学有着很高的接受能力
· 由KP决定在这场游戏中非神话魔法是真实存在的 或者是虚构的</t>
  </si>
  <si>
    <t>· 从民间传说或者神秘学理论中回忆起了有用的知识
· 理解一张占卜卡的含义或者其他的占卦技巧</t>
  </si>
  <si>
    <t>· 辨认出稀少或者独特的神秘学书籍
· 想起秘密神秘学执行以及仪式的详细细节</t>
  </si>
  <si>
    <t>· 花费更多的时间来研究地址和物品
· 进行进一步的调查
· 咨询另一位专家
· 在仪式前提前净化自身，并且做好万全的个人准备</t>
  </si>
  <si>
    <t>· 误记了信息，以错误的方式进行了仪式，并且造成了极坏的结果（也许房子被烧成了平地）
· 在准备保护的圆圈时，你使用了错误的材料，并且你并没有挡开灵魂，而是真正地召唤出了具有邪恶心灵的事物
· 你在调查中发现了一个迄今为止都不知道的神话链接，并且你在那认识到的东西粉碎了你的思想（失去SAN）。</t>
  </si>
  <si>
    <t>很可能表现为某种形式的着魔现象：
也许调查员在自己的脸和手掌上纹上了神秘学的符号，或者在没有用占卜水晶进行占卜未来前无法进行行动</t>
  </si>
  <si>
    <t>目标行为失控，持续1d6回合，困难幸运/困难意志决定攻击目标是否一致。</t>
  </si>
  <si>
    <t>· 当驾驶以及操纵一辆坦克，反铲挖土机，蒸汽挖土机或者其他巨型建造机械时需要这个技能
· 对于种 类非常不同的机械，KP可以决定提高难度等级，如果遇到的问题是极大程度上不熟悉的
· 例如，过去常常开推土机的某人，不会立刻能够掌握对船的引擎舱中的蒸汽涡轮机的使用</t>
  </si>
  <si>
    <t>操作起重机或挖掘机</t>
  </si>
  <si>
    <t>操作机械来完成熟练的或者独特的任务，例如用机械的挖掘机熟练地挖掘出恐龙蛋而不破坏它。</t>
  </si>
  <si>
    <t>· 在操作指南的帮助下一步步进行操作
· 花费时间来进行练习
· 寻找一名老师</t>
  </si>
  <si>
    <t>你正在驾驶推土机，但是在过度自信下，失去了对机械的控制，因此它调转方向撞向了一面砖头墙（这面墙倒向了你，或许更糟）</t>
  </si>
  <si>
    <t>他可能会相信他被派去挖掘或者建造一座旧日支配者的神庙</t>
  </si>
  <si>
    <t>目标行为失控，持续1d6回合，成功极难幸运/极难意志决定攻击目标是否一致。</t>
  </si>
  <si>
    <t>· 使用说服来通过一场有理有据的论述、争辩以及讨论让目标相信一个确切的想法，概念，或者信仰
· 说服并不一定需要涉及真实的内容
· 成功的说服技能的运用将花费不少的时间：至少半小时。如果你想快速地说服某人，你应该使用话术技能
· 取决于玩家表述的目标，如果调查员花费了足够的时间，说服造成的影响可能一直持续下去，并且无意识地影响着别人
· 可能会持续好几年，直到某件事件或者另一次得说服改变了目标的想法
· 说服可以被用于讨价还价，以此来削低某样物品或者服务的价格
· 如果成功，卖家将会完全地相信自己做了一场好买卖</t>
  </si>
  <si>
    <t>· 接近目标，与目标变得更加亲密，以此来增强你的论述的说服力，或者对目标拒绝的理由进行反驳
· 通过详细地展现有逻辑的理由和例子
· 使用提前仔细准备好的建议技巧（也许是传递潜意识信息）来使你的观点为众人所重视
· 记住这项技能是说服，如果调查员开始尝试一种不同的方法，KP可能会要求使用一个不一样的技能。
如果进行了威胁，那么这项技能可能会变为恐吓；或者如果调查员依赖于亲近目标，这项技能可能会变成取悦。
技能间的转换来获得第二次检定机会仍旧视为使用了一次孤注一掷检定。</t>
  </si>
  <si>
    <t>· 目标感到极度的不悦，并且拒绝与你进行更多的交流
· 你的贿赂起效了，并且目标签署了文件—然而在一天清晨，他们突然觉得被欺骗了，并且雇佣了一名私家侦探来找出你准备干什么，或者对你进行起诉
· 对象并不喜欢你的长篇大论，并且从某处拿起一把餐刀扔向了你
· 你说服了保安对你的偷盗睁一只眼闭一只眼—然而对方却因此失去了他的工作，并且内心因自责而受损，最终导致了自杀行径（这整一个由于你的行动而带来的结果冲击了你，并且你因造成了一名无辜者的死亡而失 去SAN）。</t>
  </si>
  <si>
    <t>他可能会在之后被发现在一条街角上试图说服路人来相信他的言论或者离奇的观点</t>
  </si>
  <si>
    <t>幻觉</t>
  </si>
  <si>
    <t>目标无法辨认敌我，持续1d6回合，成功智力/成功侦查确定命中目标。</t>
  </si>
  <si>
    <t>驾驶（飞行器）：
理解以及足以操作飞行器类的载具。
当进行任何的降落时，即使是在最好的环境下，也必须进行一个驾驶检定。失败的结果将取决于具体的情况。
如果在一个平整的，有着绿草覆盖的地方进行降落，且是一个风平浪静的夏季日子，那么在飞机降落上检定的失败也许只是意味着导致了一次颠簸不稳的降落，可能会让一些心灵脆弱的乘客不敢次乘坐飞机。
在极端情况下，在一个暴风雨的天气里在冰川上进行降落的失败检定可能会导致飞机的坠毁并且里面所有人都受伤或者死亡。
失败的检定通常意味着对飞行器造成了损伤，并且在下次起飞前必须先进行修复。
如果检定的结果为100，那么将会导致一起令人难忘的灾难性事件。
每种不同的飞行器的技能都需要独立计算，并且分开罗列，或者依照KP觉得合适的方式来做。
1920年代：仅有驾驶热气球/飞船/民用螺旋桨飞机。现代：驾驶民用螺旋桨飞机，驾驶民用喷气飞机，驾驶客机，驾驶喷气战斗机，驾驶直升飞机。
对于一件飞行器的驾驶技能可以被转而用于一个别的形式的飞行器，但是难度等级可能会提升。
驾驶（船）：
理解在风，暴风雨以及潮流下操纵小型摩托艇以及轮船的机理，并且可以读懂潮流以及风的流向，以此来得到暗礁以及将要逼近的暴风雨的情报。
初学的水手将会发现到在大风中停靠一艘小船是多么困难。</t>
  </si>
  <si>
    <t>目标无法辨认敌我，持续1d6回合，困难智力/困难侦查确定命中目标。</t>
  </si>
  <si>
    <t>· 这项技能指的是广泛的情感上的治疗，不单是弗洛伊德的疗法。在1890年代，正规的心理治疗仍处于发展的初期阶段，尽管一些疗法有着人类存在般悠久的历史
· 一些时候，这看上去像是一门欺诈性的研究，即使是在1920年代
· 在之后用来称呼那些精神病医师或者对情绪障碍进行研究的学者的通用术语为精神病学家
· 在现代，心理治疗的各种方面都有了很大的发展，并且这项技能已经不能仅仅用精神病治疗来命名了
· 短期强化的精神分析可以恢复一名调查员患者的理智值
· 进行心理治疗时，游戏时间每月一次，精神病医师或医生进行一次精神分析技能检定。如果成功了，病人恢复1D3的理智值。如果检定失败了，没任何恢复
· 如果检定为大失败，那么病人失去1d6的理智值，并且由心理医师进行的治疗到此结束
可能在心理治疗中发生了一些严重的事变或者戏剧性的阻碍，并且在病人与治疗专家之间的关系破损到了难以修复的地步
· 在游戏中，单独的精神分析并不能加速不定时疯狂的恢复，恢复需要1D6个月的系统全面（或者相似的）的照顾，而精神疗法只是构成了其中的一部分 
· 成功使用这项技能将允许角色在短期内克服恐惧症状，或者看穿幻觉。在游戏中，这允许一名疯狂的调查员在短期内免受恐惧症或者躁狂症的影响，例如允许一名幽闭恐惧症患者躲藏在扫把柜中十分钟
· 同样的，一名角色可以进行一个精神分析检定来帮助一名处于妄想中的调查员在短期内看破幻觉不受影响
· 由一名心理治疗专家进行的治疗可以在不定性疯狂期间内回复理智值</t>
  </si>
  <si>
    <t>在医院中进行标准的心理治疗。</t>
  </si>
  <si>
    <t>在长期内进行着断断续续的治疗。</t>
  </si>
  <si>
    <t>· 这项技能可以多月进行反复的尝试而不需要孤注一掷检定
· 然而，如果在某个月中对技能的检定失败了，那么也许可以选择在接下来的单个疗程中进行孤注一掷检定，通过某些形式的更加激进的治疗方法（如果需要一个快速的成效的话）
· 例如，强迫病人去面对他们的恐惧，通过主动强迫他们面对现实
· 让病人的亲友以及亲近的同事来积极地参与到心理治疗之中</t>
  </si>
  <si>
    <t>为了治疗病人对蜘蛛的恐惧而把他关进满是狼蛛的房间里，并造成了反效果而使病人变得狂暴（也许对他自己或者他人造成了伤害）并且开始相信自己是“蜘蛛之王”
（病人现在有了一个新的躁狂症状并且将失去额外的理智值—心理治疗专家也需要进行一个理智检定，因为是他们的所作所为导致了这个结果！）</t>
  </si>
  <si>
    <t>很像是由盲人引导盲人，由一名疯狂的角色来进行精神分析是有可能的。
一名在孤注一掷上失败的疯狂角色可能会成为一名邪教领袖，而他/她的病人将会被招募为教众。</t>
  </si>
  <si>
    <t>目标无法辨认敌我，持续1d6回合，极难智力/极难侦查确定命中目标。</t>
  </si>
  <si>
    <t>· 心理学可以与其他所有形式的社交行为检定进行对抗：恐吓、话术、说服以及取悦
· 这项技能也同样可以被用于看破某人的隐瞒（例如对方使用乔装技能时）</t>
  </si>
  <si>
    <t>· 对所有人来说都很通用的察觉方面的技能，允许使用者研究个人并且形成对于其他某人动机和人格的了解
· KP可以选择替代玩家暗骰心理学技能，根据检定结果，向玩家声明真或假的信息（不告知玩家检定成功与否以及信息的真伪）</t>
  </si>
  <si>
    <t>· 不再旁敲侧击，而是非常直接地询问一些高度私人的或者直截了当的问题
· 将自己沉浸于有关特定目标（你想要研究的目标）的信息之中，以此来让自己如同对方一样思考，并且理解对方的动机</t>
  </si>
  <si>
    <t>· 你在某种程度上反而把自己的动机与意图展现给了你的目标
· 目标觉得被你刺探性质的问题或者好奇的目光冒犯了，并且拒绝 进一步与你进行交谈，或者直接用行为来反抗你（也许是暴力行为或者打电话叫了警察）
· 你并不知道， 但是你的目标与你的对手有着联系，并且你无意中将自己接下来的计划透露给了对方
· 花费整周的时间将你自己锁在自己的房间里来构建对方的轮廓，但是对你造成了生理或者心理上的损害（直到你恢复前，所有的检定都要受到一个惩罚骰）。</t>
  </si>
  <si>
    <t>他将相信他能听见目标的邪恶思想，并且对对方展开了物 理性上的攻击</t>
  </si>
  <si>
    <t>幻听</t>
  </si>
  <si>
    <t>目标听力异常，持续1d3回合，侦查/闪避获得一个惩罚骰。</t>
  </si>
  <si>
    <t>基础的动物操纵或者对坐骑以步行速度进行骑乘并不需要一个骑术检定</t>
  </si>
  <si>
    <t>· 这项技能被用于给坐在鞍上驾驭马，驴子或者骡子，以及获得对这些骑乘动物、骑乘工具的基础照料知识，以及如何在疾驰中或困难地形上操纵坐骑
· 当坐骑出乎意外地抬起身子或失足时，骑手保持自己在坐骑上不摔落的几率等同于他的骑术技能
· 偏坐在马鞍上进行骑乘将会提高一个等级的难度等级
· 对于不熟悉的坐骑（例如骆驼）也可以成功地骑乘，但是可能会需要更高的难度等级
· 如果一名调查员从坐骑上摔落下来，可能是因为坐骑垮了，摔落了或者是死了（或者因为骑术的孤注一掷检定失败），这次意外将造成至少1D6生命值的损失—尽管跳跃检定可以抵消这个损失</t>
  </si>
  <si>
    <t>· 高速骑乘
· 稳住一匹受到惊吓的坐骑</t>
  </si>
  <si>
    <t>在天气状况不佳的情况下骑乘坐骑在不平稳且不熟悉的地形上飞奔（比如：在夜晚并下着倾盆大雨的有着繁茂树木的森林之中）。</t>
  </si>
  <si>
    <t>· 激进地鞭打或者强迫坐骑——也许强迫一匹马跳过深谷或者高的沟壑
· 当麻烦逼近时，承担继续操纵你的坐骑的风险而不是坐骑背上跳走逃跑</t>
  </si>
  <si>
    <t>骑师被从坐骑背上甩了出去，并且受到了坠落伤害
坐骑受伤了
骑师的脚与缰绳缠在了一起，并且被坐骑拖了一段距离</t>
  </si>
  <si>
    <t>他将变得对动物万分着迷</t>
  </si>
  <si>
    <t>目标听力异常，持续1d6回合，侦查/闪避获得两个惩罚骰。</t>
  </si>
  <si>
    <t>目标听力异常，持续1d10回合，侦查/闪避自动失败。</t>
  </si>
  <si>
    <t>科学</t>
  </si>
  <si>
    <t>· 科学专业上的理论和实践的能力，拥有这个技能的人接受过一定程度的正式的教育或者训练，尽管一名博览群书的业余科学家也是可能存在的
· 对于知识的理解和认识受到游戏时代的限制
· 你可以花费点数来获得任何你想要的专业化技能
· 作为属类的“科学” 技能不能被获得
· 每个专业化技能包括了一门专门的学科，并且列表所给出的并不是全部
· 许多专业跨越了不同的知识领域，并且有所重叠，例如数学和密码学，植物学和生物学，化学和药学
· 当一名角色没有完全对应的专业学科技能，他可以用一个相似的技能进行检定，但是由KP来判断是否要增加难度等级（或者一个惩罚骰）</t>
  </si>
  <si>
    <t>· 进行一场实验
· 想起你所擅长的专业领域中的现代科学理论
· 在有着合适的设备下进行工作</t>
  </si>
  <si>
    <t>· 进行一场极度苛刻的实验
· 解读无序 的/残缺的科学记录
· 在临时设备下进行工作</t>
  </si>
  <si>
    <t>· 花费更多的时间来进行研究；
· 进行进一步的研究调查（也许去一个有着更加优良设备的实验室）
· 咨询请教其他的专家
· 冒着一定风险进行实验。</t>
  </si>
  <si>
    <t>· 实验的进展方向完全地偏离了，并造成了意料之外的伤害（爆炸，着火，电击，被驱逐进了六维空间，等等）
· 你错误地准备 了魔法粉末的配方，并导致了灾难性的结果</t>
  </si>
  <si>
    <t>他开始对他专业中某种古怪的科学进行探索。
这可能最终导致与那些活魔人（Crawford Tillinghast）相似的发展结果（来自于爱手艺的故事From Beyond）。</t>
  </si>
  <si>
    <t>视线模糊</t>
  </si>
  <si>
    <t>目标视线受损，持续1d3回合，射击/侦查获得一个惩罚骰。</t>
  </si>
  <si>
    <t>地质学</t>
  </si>
  <si>
    <t>科学的子项</t>
  </si>
  <si>
    <t>· 用来决定大致的岩层年龄，辨认出化石的类型
· 区分矿物和水晶，确定合理的采矿和挖掘地址，评估土地，预测火山活动、地震、雪崩以及其他类似的现象</t>
  </si>
  <si>
    <t>目标视线受损，持续1d6回合，射击/侦查获得两个惩罚骰。</t>
  </si>
  <si>
    <t>化学</t>
  </si>
  <si>
    <t>· 有关物质组成，温度的影响，能量，以及作用于其上的压力的研究，也包括物质如何互相影响
· 在化学的帮助下，某人可以创造或者提取复杂的化学复合物，包括简单的炸药，毒药，气体以及酸液，需要至少一天以上并且在合适的设备以及化学药剂的帮助
· 使用者也可以对一种不明的物质进行分析，如果有这合适的设备以及试剂</t>
  </si>
  <si>
    <t>目标视线受损，持续1d10回合，射击/侦查自动失败。</t>
  </si>
  <si>
    <t>生物学</t>
  </si>
  <si>
    <t>· 关于生命和存活的有机物的学科，包括细胞学、生态学、基因学、组织学、微观生物学、生理学等等。
· 在这项技能的帮助下，一个人可能能够研究出能够对抗可怕的克苏鲁神话细菌的疫苗，将自己从能够令人产生幻觉的丛林植物下隔离开来，或者对鲜血以及/或者有机物质进行分析</t>
  </si>
  <si>
    <t>致盲</t>
  </si>
  <si>
    <t>目标完全失去视力，持续1d3回合，所有瞄准自动失败，所有行动获得惩罚骰。</t>
  </si>
  <si>
    <t>数学</t>
  </si>
  <si>
    <t>· 对于数字和逻辑的研究，包括数学理论、应用以及理论上的解决方法设计和推演发展
· 这项技能可能允许使用者辨认非欧几里得几何，解决困难的公式，以及破译复杂的图样或者暗码（专业的暗码的研究见密码学）</t>
  </si>
  <si>
    <t>目标完全失去视力，持续1d6回合，所有瞄准自动失败，所有行动获得惩罚骰。</t>
  </si>
  <si>
    <t>天文学</t>
  </si>
  <si>
    <t>· 使用者可以知道在某个特定的日子或者一天早晚某个时间时哪颗恒星或者行星位于正上方，何时彗星和流星雨会出现，以及重要的恒星的名字
· 这项技能同样会提供有关其他世界的生命，银河的存在和结构，以及类似的知识的现代概念
· 一名学者可能能够计算轨道，判断恒星生命周期，以及（在现代）有关红外天文学或者超长基线干涉测量的相关知识</t>
  </si>
  <si>
    <t>目标完全失去视力，持续1d10回合，所有瞄准自动失败，所有行动获得惩罚骰。</t>
  </si>
  <si>
    <t>物理学</t>
  </si>
  <si>
    <t>· 使使用者能够理论上了解压力、 材料、运动、磁力、电力、光学、辐射和相关的现象，以及给予一定的能力来构建实验器材来验证想法
· 对于知识的了解程度取决于所在的年代
· 实际运用的装置，例如汽车，并不是物理学家的范围，然而实验设备可能会是，也许要结合电气维修或者机械维修。</t>
  </si>
  <si>
    <t>神话蛊惑</t>
  </si>
  <si>
    <t>目标无法自主行动，每回合理智-1，持续1d6回合。</t>
  </si>
  <si>
    <t>药学</t>
  </si>
  <si>
    <t>· 关于化学复合物以及它们的在有机生命体上的效果的研究
· 传统上来说，这包括药物的配方、创造以及施用（不管是一名巫医进行药草组合或者是现代的药剂师在实验室里进行操作）
· 这个技能的应用在与确认药物被安全以及有效地使用，包括人工合成原料，毒素的检定，以及有可能产生的副作用的相关知识。</t>
  </si>
  <si>
    <t>目标无法自主行动，每回合理智-2，持续1d6回合。</t>
  </si>
  <si>
    <t>植物学</t>
  </si>
  <si>
    <t>· 关于植物生命的研究，包括物种分类，结构，生长，繁殖，化学特性，进化原理，疾病，以及显微研究
· 植物学的分支学科包括农学，森林学，园艺和古植物学
· 在这项技能的帮助下，某人可以辨认出某种特定植物的特性（例如是否有毒性，是否可食用，或者具有精神治疗作用）以及它的具体用处</t>
  </si>
  <si>
    <t>目标无法自主行动，每回合理智-3，持续1d6回合。</t>
  </si>
  <si>
    <t>动物学</t>
  </si>
  <si>
    <t>· 对专门联系到动物王国的生物学的研究，包括仍存在以及灭绝动物的生态结构，进化，分类，行为习性，以及分布
· 使用这项技能来从动物与环境的互动（脚印，兽粪，痕迹等等），行为举止，以及区域特点上辨认出其物种</t>
  </si>
  <si>
    <t>沉默</t>
  </si>
  <si>
    <t xml:space="preserve">目标无法交流信息，法术释放自动失败，持续1d3回合 </t>
  </si>
  <si>
    <t>密码学</t>
  </si>
  <si>
    <t>· 关于由其他人发展出来的用于隐藏对话或者信息内容用的暗码或者密语的研究
· 一种数学的专业分支，这项技能使使用者能够辨认，创造或破译暗码
· 暗码通常上来说是写下来的，但也可能通过其他的形式，例如隐藏在乐曲、画作或者电脑编码下的信息
· 破译一个暗码可能会是一个漫长的工作，通常需要很长时间的调查研究以及大量的演算处理</t>
  </si>
  <si>
    <t xml:space="preserve">目标无法交流信息，法术释放自动失败，持续1d6回合 </t>
  </si>
  <si>
    <t>工程学</t>
  </si>
  <si>
    <t>· 尽管严格上来说这并不是科学，但是为了方便归到了这里
· 科学是与辨认特定的现象相关（通过观察和记录）
· 然而工程学将这些发现利用起来进行实际利用，例如机器，结构，以及材料</t>
  </si>
  <si>
    <t xml:space="preserve">目标无法交流信息，法术释放自动失败，持续1d10回合 </t>
  </si>
  <si>
    <t>气象学</t>
  </si>
  <si>
    <t>· 这是门关于大气的科学研究，包括天气系统和形态，以及大气现象
· 使用这项技能可以判断长期的天气形态以及对其影响进行预报，例如雨、雪以及雾</t>
  </si>
  <si>
    <t>流血</t>
  </si>
  <si>
    <t>目标每回合hp-1,持续1d6回合，直到急救/医疗治愈。</t>
  </si>
  <si>
    <t>司法科学</t>
  </si>
  <si>
    <t>· 对于证据的分析和检定的研究
· 通常与犯罪现场调查（检验指纹、DNA、头发以及体液）和实验室工作相联系，以此来确定真相以及为法庭争论提供专业的证人和证据</t>
  </si>
  <si>
    <t>目标每回合hp-2,持续1d6回合，直到困难急救/困难医疗治愈。</t>
  </si>
  <si>
    <t>目标每回合hp-4,持续1d6回合，直到极难急救/极难医疗治愈。</t>
  </si>
  <si>
    <t>· 妙手通常来说与侦查相对抗
· 根据目标物品的体积来调整难度等级
· 如果是将一个小物品（可以放入口袋中或者袖套中）盖于掌中或者藏匿起来，那么并不需要任何的调整
· 如果物品更加大，那么可能需要增加难度等级。</t>
  </si>
  <si>
    <t>· 允许对物体进行视觉上的遮住，藏匿，或者掩盖，也许通过残害，衣服或者其他的干涉或促成错觉的材料，也许通过使用一个秘密的嵌板或者隔间
· 任何种类的巨大物件应当增加藏匿的难度
· 妙手包括偷窃，卡牌魔术，以及秘密使用手机</t>
  </si>
  <si>
    <t>对有着低于50%侦查技能的对象进行偷盗。</t>
  </si>
  <si>
    <t>对有着位于50%至89%之间的侦查技能的对象进行偷盗</t>
  </si>
  <si>
    <t>· 花费更多的时间来对目标以及其行为来进行研究
· 物理性上触碰或者冲撞目标
· 在某人的夹克里设置机关来藏匿卡片或者灌铅骰子
· 分散某人的注意力</t>
  </si>
  <si>
    <t>· 你感觉到警察把他的手搭到了你的肩上
· 尽管没有人可以证明你偷走了无价的钻石，但是某些人在怀疑你并且你开始注意到你从上周起就被一个神秘的黑影追踪着
· 你被抓了个现行并且对方对于你这个小偷毫无仁慈，你被带走并且被一对棒球棍猛揍了一通。</t>
  </si>
  <si>
    <t>他将会表现地像是一名有偷窃癖的人</t>
  </si>
  <si>
    <t>献祭</t>
  </si>
  <si>
    <t>目标每轮hp-1，最终伤害+1，持续1d6回合。</t>
  </si>
  <si>
    <t>当对一名躲藏起来的角色进行搜索时，这项技能将根据对抗者的潜行技能来决定检定的难度</t>
  </si>
  <si>
    <t>· 这项技能允许使用者发现密门或者秘密隔间，注意到隐藏的闯入者，发现并不明显的线索，发现重新涂过漆的汽车，意识到埋伏，注意到鼓出的口袋，或者任何类似的事情
· 对于调查员来说，这是一个很重要的技能。
· 如果一名角色仅有很短的时间来进行侦查，例如飞奔经过对方时，KP可能会提升难度等级
· 如果一名角色正在进行一场完整的调查，那么KP也许会允许一个自动成功
· 这项技能的难度等级同样也会环境的情况来调整，在一个杂乱的房间中进行侦查将会更加困难</t>
  </si>
  <si>
    <t>对一间房间进行搜索来寻找线索</t>
  </si>
  <si>
    <t>搜索被刻意隐藏起来的某物</t>
  </si>
  <si>
    <t>· 花费更多的时间来观察区域
· 将地区划分开来
· 将家具拆开并且打碎瓷像</t>
  </si>
  <si>
    <t>· 在你搜查的时候疏忽大意地把你自己的东西掉了，这样东西清楚地显示出了你在那里过（调查员可能并不会当场意识到掉了）
· 你并没有成功认出泥里的爪印并且受到了红着眼睛从树上向你跳下来的野兽的惊吓
· 当你尝试发现 一些线索时，你并没有意识到邪教徒正好到家了</t>
  </si>
  <si>
    <t>他开始相信有些什么东西存在着并且躲藏在壁纸的后面，水泥墙中，或者地板之下。</t>
  </si>
  <si>
    <t>目标每轮hp-2，最终伤害+2，持续1d6回合。</t>
  </si>
  <si>
    <t>· 当尝试进行躲藏，这项技能的对抗技能为侦查或者聆听技能，以此决定这项技能检定的难度等级
· 这项技能的难度等级同样也受到环境的影响</t>
  </si>
  <si>
    <t>· 安静地移动以及/或者躲藏的技巧，不惊扰到那些可能在听或者看的人们
· 当尝试躲避探查，玩家应当进行一个潜行的技能检定
· 与这项技能相关的能力意味着要么角色能够安静地移动（轻声轻足）以及/或者在伪装技巧上有所训练
· 这项技能也同样意味着角色可以在长时间维持一定程度的谨慎心态以及冷静的头脑来使自己保持静止和隐秘</t>
  </si>
  <si>
    <t>在房子里安静地移动并避免被普通人发现（那些侦查、聆听技能低于50%的人）。</t>
  </si>
  <si>
    <t>· 悄然无声地从一条忠于职守的守卫狗身边经过
· 仅有几秒钟时间来让你寻找隐藏地点</t>
  </si>
  <si>
    <t>· 花费更多的时间来调查这个区域
· 脱掉你的鞋子
· 分散对方的注意力
· 一直潜伏着直到危机过去</t>
  </si>
  <si>
    <t>· 虽然你并不知道，对方虽然没有直接接近你，但是已经发现了你，然后邪教徒决定召唤“某些东西”来解决你
· 你所躲藏的地方的橱柜门被锁上了然后被钉死了</t>
  </si>
  <si>
    <t>他可能会相信他是隐形的，尽管实际上每个人都能看见他</t>
  </si>
  <si>
    <t>目标每轮hp-4，最终伤害+4，持续1d6回合。</t>
  </si>
  <si>
    <t>根据所处的环境或者情况可能会有所调整，或者当一名角色没有对应该环境的专业化技能时。</t>
  </si>
  <si>
    <t>· 提供专业的如何在极端环境下生存的知识和技巧，例如在沙漠中或者极地环境，也包括海洋上或者荒野
· 内容包括狩猎的知识，搭建住所，可能遇到的危险的知识（例如如何避开有毒性的植物）等等，取决于所处的环境
· 你可以花费技能点来获得任何的专业化技能
· 作为属类的“生存”技能本身不能被获得。
· 专业环境的生存技巧应当在技能选择时就决定下来，例如：生存（沙漠），（海洋），（极地），等等。
· 当一名角色没有明显对应的生存专业技能，他可以使用相似的专业进行检定，但是将会提升难度等级（或者惩罚骰），取决于KP的判断</t>
  </si>
  <si>
    <t>· 寻找/制作居所
· 定位并寻找到水资源与食物资源</t>
  </si>
  <si>
    <t>在你收到了严重伤势或者极端的天气环境下进行上面的行动。</t>
  </si>
  <si>
    <t>· 尝试一些有风险的行为：
直接饮用没有经过净化的水
食用没有辨明过的浆果
· 使用某人所有的衣物来加固一所住所
· 燃烧所有的持有物来制造一个标志火焰</t>
  </si>
  <si>
    <t>· 你所找到的洞穴实际上是一头极度饥饿的熊的住所
· 你燃烧了所有的衣物来制造一个标志火焰，然而却将你的位置泄露给了你的追踪者—搭救你的人会在你的追踪者找到你前到达吗？</t>
  </si>
  <si>
    <t>如果一个疯狂的调查员在孤注一掷上失败，他将相信自己是不受物质影响的，并且能够直接从大气中获得营养（breatharian—不需要食物和水也能存活）</t>
  </si>
  <si>
    <t>窒息</t>
  </si>
  <si>
    <t>目标每轮hp-1d6，持续1d3回合，直到意志成功。</t>
  </si>
  <si>
    <t>根据环境或者所处的情况而有所变动。
在游泳池长度的地方游泳：不需要检定。</t>
  </si>
  <si>
    <t>· 有能力在水或者其他液体中漂浮以及移动
· 只有在遭遇危险的时候需要进行游泳技能检定，或者当KP认为合适的时候
· 当进行游泳的孤注一掷失败时，可能会导致生命值的损失
· 也可能会导致人物被顺着水流向下冲走，被水流半淹或者完全淹没</t>
  </si>
  <si>
    <t>在急流中游泳</t>
  </si>
  <si>
    <t>穿着全套的衣服抗着急流游泳；不利的天气状况。</t>
  </si>
  <si>
    <t>· 进行一次深呼吸然后用尽你所有剩余的力气来行动
· 将你自己的体能推至极限</t>
  </si>
  <si>
    <t>· 水流将你吞没并且你失去了意识，醒来后发现自己在一个不知名的海滩上
· 你被水流冲了下去并且因为撞到了水中的岩石而受伤
· 你努力抓住救生艇，但是当你刚刚成功时，你感觉到有某些冰冷而且粘滑的东西抓住了你的脚踝</t>
  </si>
  <si>
    <t>· 他将不断地继续游泳，并且可能因为某些理由觉得干燥的地面对他来说是很危险的</t>
  </si>
  <si>
    <t>目标每轮hp-1d6，持续1d6回合，直到困难意志成功。</t>
  </si>
  <si>
    <t>· 根据投掷的物品的重量，或者是一个非常轻的物体，是否顺风可能会调整检定的难度</t>
  </si>
  <si>
    <t>· 当需要用物体击中目标或者用物件的正确部分击中目标（例如小刀或者短柄小斧的刃）时，使用投掷技能
· 一件有着合理平衡构架的可以藏于手中大小的物品可以被投掷至多等同于STR码距离
· 如果投掷技能检定失败，投掷物将会掉落在距离目标随机距离的地方
· KP应当将骰子检定数与最高的能够达成成功的数值相比较，然后判断投掷物落在目标和投资者之间合适的距离的地方
· 投掷技能被用于在战斗中投掷小刀，石头，投矛 或者回力标时</t>
  </si>
  <si>
    <t>将篮球投入框内</t>
  </si>
  <si>
    <t>· 在有一定距离的情况下准确地投射中目标
· 从中场将篮球射入框中</t>
  </si>
  <si>
    <t>· 花费更多的时间来评估距离或者等待最佳的时机与情况
· 将全身心与每一分力气都灌注到投掷上
· 接连投出一连串的东西，希望其中某一件能够命中目标
· 借助助跑并且借助能够使你飞跃峡谷一样的势头</t>
  </si>
  <si>
    <t>· 你将物体投掷给你的同伴时不慎失足坠落，并且一块带棱角的岩石砸中了你的脑袋
· 你投掷时用力过猛，因此物品飞过了高大的教堂墙壁，进入了墓地中
· 炸药管从你手中滑落—你只能徒劳地看着它落地，并且闻到了导火线点燃的味道</t>
  </si>
  <si>
    <t>他将拒绝将应当扔出去的东西扔出</t>
  </si>
  <si>
    <t>目标每轮hp-1d6，持续1d10回合，直到极难意志成功。</t>
  </si>
  <si>
    <t>· 如果追踪某个试图逃开你的人，对抗潜行
· 天气或者地形将会影响难度等级</t>
  </si>
  <si>
    <t>· 调查员可以使用追踪技能来辨认土壤上的脚印、穿过植被时留下的痕迹之类的来追踪人、动物、或交通工具
· 时间的经过、雨水的冲刷、以及土地的质感都可能会影响追踪的难度等级</t>
  </si>
  <si>
    <t>在正常的环境下追踪一个动物或者人</t>
  </si>
  <si>
    <t>追踪数天前留下的踪迹</t>
  </si>
  <si>
    <t>· 原路返回并且花费更多的时间来研究这片区域
· 进行螺旋式搜索来寻找踪迹（花费更长的时间，也可能会造成更多的动静，甚至可能会被发现）</t>
  </si>
  <si>
    <t>· 你所追踪的踪迹将你直接导向了一头饥饿的熊/狮子/食人族
· 你发现你自己只是在原地绕圈，并且在你注意到自己迷路前，夜晚就已经降临了
· 你跟着踪迹，这踪迹却把你引向了一个陷阱，最终你被伏击或者被抓了起来</t>
  </si>
  <si>
    <t>他将会极度着迷地跟随着任何踪迹（相信自己是正确的）直到他被物理上限制住了或者被转而相信其他的某些东西</t>
  </si>
  <si>
    <t>月华</t>
  </si>
  <si>
    <t>目标在夜晚力量/斗殴+10%，伤害+1d4</t>
  </si>
  <si>
    <t>非常规</t>
  </si>
  <si>
    <t>· 命令以及训练已驯化动物去完成一些简单任务的技能。
· 这个技能最常用于狗上，但也包括鸟、猫、猴子以及其他（取决于 KP 的判断）。
· 至于对动物的骑乘，例如马或者骆驼，则要用骑术技能来进行行动以及操控这些坐骑。</t>
  </si>
  <si>
    <t>命令经过训练的狗坐下，将东西拿过来或者攻击别人。</t>
  </si>
  <si>
    <t>命令没有经过训练或者不熟悉的狗执行任务。</t>
  </si>
  <si>
    <t>采取更大个人风险的行为，特别是更加接近或者直接触摸动物。</t>
  </si>
  <si>
    <t>· 动物攻击训练者或者附近的人，通常会造成伤害
· 动物逃跑了</t>
  </si>
  <si>
    <t>他可能被发现他的表现举止变得就像他尝试要去操控的动物一样</t>
  </si>
  <si>
    <t>目标在夜晚力量/斗殴+20%，伤害+1d6</t>
  </si>
  <si>
    <t>· 使用者接受过在深海游泳的使用以及维持潜水设备的训练，水下导航，合适的下潜配重，以及应对紧急情况的方法。
· 在1942年的水肺[潜水氧气筒]发明前，严格的潜水套装是装备着能从水面输送空气的连接管道。
· 在现代，一名水肺潜水员将会熟悉当呼吸增压氧气时发生的潜水时的物理现象，气压，以及生理学的过程。</t>
  </si>
  <si>
    <t>使用正确以及良好维护的设备的常规潜水。</t>
  </si>
  <si>
    <t>在危险的环境下潜水，或者只凭借着不良维护的设备。</t>
  </si>
  <si>
    <t>· 一直进行到设备极限的程度
· 有条理地对设备进行复核
· 得到专业人士的帮助</t>
  </si>
  <si>
    <t>· 被困在水下
· 被海洋生物攻击
· 遭受了水中的暗流</t>
  </si>
  <si>
    <t>· 他开始能理解鲸歌（类似鲸鱼的语言）
· 你所能做的所有只是遵从它们的指令。</t>
  </si>
  <si>
    <t>目标在夜晚力量/斗殴+30%，伤害+2d6</t>
  </si>
  <si>
    <t>· 在这项技能的帮助下，使用者将熟练于安全使用爆破，包括设置以及拆除炸药、地雷以及相似的设备被设计得容易设置（不需要检定）但是相对较为困难地进行除去或拆除。
· 这项技能也包含军用等级的爆炸物（反人类地雷，塑料炸弹，等）。
· 给予足够的时间和资源，这些专家可以装设炸药来摧毁一幢建筑，清除一个被堵住的隧道，以及赋予炸药不同用处（例如构造微量炸药，诡雷，以及其他）。</t>
  </si>
  <si>
    <t>· 拆除一个爆炸设备
· 用来了解当摧毁一座大桥或者建筑时，哪里放置炸药会有最好的效果</t>
  </si>
  <si>
    <t>在限时内拆除一个爆炸设备</t>
  </si>
  <si>
    <t>· 一直尝试直到最后一秒解除了炸弹
· 亲自对线路/联结进行双重检验</t>
  </si>
  <si>
    <t>· 如果是在移去或者拆除一个爆炸设备，孤注一掷失败的结果是很明显的—它爆炸了！
· 如果使用爆炸技能来设置炸药，孤注一掷失败的结果可能是没能在正确的时间引爆（或者根本没能引爆），或者爆炸并没有造成预期的效果（可能是太强也可能是太弱）</t>
  </si>
  <si>
    <t>他使用最离奇的方法来运送爆炸物，例如将爆炸物绑在猫上或者是他们自己身上</t>
  </si>
  <si>
    <t>日华</t>
  </si>
  <si>
    <t>目标在白天力量/斗殴+10%，伤害+1d4</t>
  </si>
  <si>
    <t>读唇通常来说不存在对抗。如果对一名想要对一名保持在隐藏中或者没有察觉到的目标进行读唇，这项技能也许要和目标的潜行进行对抗</t>
  </si>
  <si>
    <t>· 这项技能允许好奇的调查员听懂一段交谈对话， 而不需要听见对方说了什么
· 能看到对方的视线是必须的，并且如果只能看到其中一名说话者的唇（另一名可能只能看到背），那么只能辨认出一半的对话
· 读唇也可以用于与另一个人进行无声的交流（如 果双方都是专家），允许相对更加复杂的短语以及含义</t>
  </si>
  <si>
    <t>了解在有着清楚视距并且相对较近位置的人所进行的谈话。</t>
  </si>
  <si>
    <t>对时不时性被掩住嘴的人进行读唇，或在一个较远的距离。比如在拥挤的人群中</t>
  </si>
  <si>
    <t>· 你自己来到一个显眼的位置并且毫不掩饰地盯着目标
· 将目标拍摄下来（并且因此很可能被发现你在拍摄对方）</t>
  </si>
  <si>
    <t>· 目标意识到你正专注地盯着他看，然后动怒了并且要与你对质
· 酒吧另一边的醉汉错误地认为你正在看着他，并且十分生气，然后揍了你
· 你太过于专注地盯着目标，以至于你忽视了发生在你身边得事情（某人偷走了你的箱子，或者你撞到了灯柱上）</t>
  </si>
  <si>
    <t>他开始大量幻想各种奇怪的行为以及有人在述说着离奇的内容</t>
  </si>
  <si>
    <t>目标在白天力量/斗殴+20%，伤害+1d6</t>
  </si>
  <si>
    <t>对于一个非自愿目标，催眠将与心理学或者意志（POW）进行对抗</t>
  </si>
  <si>
    <t>· 使用者可以在一名自愿并经历过高度暗示、放松的目标身上引出出神似的状态，并且可能回忆起忘却的记忆
· 对于催眠的限制应当由KP根据适应自己游戏的情况来制定
· 这可能是只有自愿的目标可以被催眠，或者KP可能会允许这项技能以一种更加富有侵略性的方式被用在非自愿的目标身上
· 对那些遭受了精神创伤的人，这项技能可以当做催眠疗法来使用，减轻一名病人的恐惧或者躁狂
（成功的使用这个技能意味着这名病人在该场合克服了恐惧或者躁狂）
· 为了完全治愈某人的恐惧，可能会需要一系列成功的催眠疗法疗程
（最少1D6疗程，由KP决定）</t>
  </si>
  <si>
    <t>· 通过获得对方专心一致的注意来增加你对目标的影响
· 用令人混乱的光照或者其他道具来使目标在感觉上感到难受
· 用药物来使目标更容易受暗示影响</t>
  </si>
  <si>
    <t>· 一些过去的记忆或者创伤将被带到表面，造成目标1D6的理智损失
· 目标沉浸入了出神状态，造成他在之后不知不觉走到了公共汽车的前方
· 目标的思想（或者调查员的思想）暂时性地变得一片空白，允许被邪恶的存在所占有</t>
  </si>
  <si>
    <t>他的思想将退化到婴儿般的状况直到获得治疗</t>
  </si>
  <si>
    <t>目标在白天力量/斗殴+30%，伤害+2d6</t>
  </si>
  <si>
    <t>非常规
战斗技能</t>
  </si>
  <si>
    <t>· 这项技能呈现出对一些形式的军事训练和经历
· 使用者具有在战争中操作战地武器的经验：可以在一个工作队或“派遣队”中工作，进行对超过个人武器射击距离的武器的操作
· 这些武器通常过于巨大 以至于无法单人进行操作，并且个人无法再没有工作队支援的情况下使用这武器，或者应当提高难度等级（取决于KP的判断，也取决于使用的武器类型）
· 存在着许多不同的专业化武器，取决于游戏设定 的时期，包括加农炮、榴弹炮、迫击炮以及火箭发射器。</t>
  </si>
  <si>
    <t>如果炮击武器维护良好并且在有利的环境下使用。</t>
  </si>
  <si>
    <t>如果炮击武器维护不良，或者在奔跑中使用以及/或在火力覆盖下使用。</t>
  </si>
  <si>
    <t>非常规
专业化</t>
  </si>
  <si>
    <t>· 这项技能代表一名觉得对一个超出人类常规知识范畴的事物的专业理解。
· 学识的专业化应该具体并且不同寻常，例如：
    ·梦学识
    ·死灵之书学识（e.g.历史的）
    ·UFO学识
    ·吸血鬼学识
    ·狼人学识
    ·亚狄斯星人学识
· 当KP想要测试某位调查员归属于于这些领域学识其中之一的某物的知识时，但是调查员缺少相关的专业学识，KP可以允许一个其他的（更加通用的）技能的使用，但是需要一个更高难度等级的成功
例如，
如果KP测试一名现代调查员对于1980年代外星人诱拐的知识，他可以要求一个常规难度的UFO学识的成功检定，或者一个困难难度的历史技能的成功检定。
· 对于KP来说，学识技能也可以用作对表示一个非玩家角色知识量的简单记录。
· 在主流中，知识由教育属性（EDU）以及专门的技能来表示，例如历史或者克苏鲁神话
· KP应当决定何时应当将学识技能放入游戏中—通常只有当一块特殊领域的专业知识成为整场游戏核心的时候</t>
  </si>
  <si>
    <t>日本秘史</t>
  </si>
  <si>
    <t>· 这项技能的难度等级同样也受到环境的影响
· 技能水平会直接影响作品质量，初学者很难诞生杰出的作品</t>
  </si>
  <si>
    <t>· 手工艺的目标是制造出一件充满了简素、内敛、与高度精雕细琢的美的传统朴素作品。
· 掌握75%以上的技能会反映在努力的成果上:它是一种特殊艺术的完美范例，也是映照出作者内心深处的独特镜子。
· 掌握的技能值接近65%时，老师将会教那些忠诚与专注的学生秘密技巧。
· 掌握技能值80%以上，调查员可能会选择尝试组建自己的学校并面对所有它带来的障碍。
· 各种家族掌系统掌管着日本传统的艺术和手工艺机构，为了正确的学习手工艺，必须找到一名大师或一个擅长教育的老师。
· 自我训练是根本做不到的。</t>
  </si>
  <si>
    <t>汉医</t>
  </si>
  <si>
    <t>飞行器</t>
  </si>
  <si>
    <t>资产表</t>
  </si>
  <si>
    <t>船</t>
  </si>
  <si>
    <t>飞艇</t>
  </si>
  <si>
    <t>美元 1920/现代</t>
  </si>
  <si>
    <t>信用成功率</t>
  </si>
  <si>
    <t>年代分流</t>
  </si>
  <si>
    <t>热气球</t>
  </si>
  <si>
    <t>滑翔翼</t>
  </si>
  <si>
    <t>·『稽古』能取代普通社交技能。
· 这项技能的难度等级同样也受到环境的影响。
· 粗劣的模仿者很难精通此技能。</t>
  </si>
  <si>
    <t>·作为武士道的道德观延伸，期待自已的技能能透过角色的逐渐练习而能圆满。
·这种精链与文化提纯通过学习被称为『稽古』的传统艺术而流传至今。
·除去让旁观者开心之外，这些艺术都很难诞生有形的作品。学习传统艺术和技艺是一种被公司与机构鼓勵的文化修养。
·寻求透过『稽古』得到提升的人经常去教艺术的商业学校，但在这个如此俗套的环境中有所掌握是不可能的。
·以制做艺术或工艺品为目的的『稽古』永远无法超过 65%
·希望融入社会的日本人至少要接受一些审美训练与一定的【礼仪作法】的知识。
·两者可以叠加在一起，以反映一个人在日本人眼里的优雅和阶级。</t>
  </si>
  <si>
    <t>· 进行一场成功的传统艺术表演
· 模仿古代名人的表演和艺术作品
· 体现自身古典艺术修养和学识</t>
  </si>
  <si>
    <t>更加严苛的艺术表演标准
追求更完美的姿态
对古典技艺的融会贯通提高作品质量</t>
  </si>
  <si>
    <t>· 从头开始创作，力求完美
· 进行进一步的研究调查
· 向专业人士学习或者深入研究</t>
  </si>
  <si>
    <t>· 大量的时间与金钱被浪费在创造一个失败的作品上
· 观众或者顾客由于你的工作的某方面而感到被严重冒犯或者侮辱
· 你的行为被评论家抨击，并且没人会再想要你的服务</t>
  </si>
  <si>
    <t>他创造了一个有犯罪倾向的作品，颓废或者抽象行为很少有人可以欣赏</t>
  </si>
  <si>
    <t>直升机</t>
  </si>
  <si>
    <t>战斗机</t>
  </si>
  <si>
    <t>武道</t>
  </si>
  <si>
    <t>· 必须在双手双脚能自由行动的情况下使用。
· 与普通徒手攻击的检定同时成功时，伤害加倍。具体的攻击方式见各项技能的说明。
· 武道的攻击只能用徒手招架，但“空手道”除外。
· 武道不仅可以招架徒手攻击，也可以招架匕首和小型棍棒的攻击。具体来说，是招架敌人的手腕或用身法避开，决不是用徒手去招架刀刃。
· 武道不需要在一轮开始时指定要招架的对象，可以在被攻击的瞬间声明自己要用“武道”招架。这种招架在该轮只能进行1次，且不可在同一轮中既使用这种招架，又去招架武器。当然，也不可在同一轮中同时进行招架和闪避。</t>
  </si>
  <si>
    <t>枪</t>
  </si>
  <si>
    <t>货币单位：</t>
  </si>
  <si>
    <t>磁浮列车</t>
  </si>
  <si>
    <t>时代：</t>
  </si>
  <si>
    <t>蒸汽机车</t>
  </si>
  <si>
    <t>根据时代选择的货币</t>
  </si>
  <si>
    <t>针术</t>
  </si>
  <si>
    <t>有轨电车</t>
  </si>
  <si>
    <t>灸术</t>
  </si>
  <si>
    <t>太空船</t>
  </si>
  <si>
    <t>指压</t>
  </si>
  <si>
    <t>战列舰</t>
  </si>
  <si>
    <t>汉方</t>
  </si>
  <si>
    <t>政治学</t>
  </si>
  <si>
    <t>潜艇</t>
  </si>
  <si>
    <t>过万</t>
  </si>
  <si>
    <t>正骨</t>
  </si>
  <si>
    <t>经济学</t>
  </si>
  <si>
    <t>航母</t>
  </si>
  <si>
    <t>是否过万</t>
  </si>
  <si>
    <t>藏医</t>
  </si>
  <si>
    <t>社会学</t>
  </si>
  <si>
    <t>坦克</t>
  </si>
  <si>
    <t>苗医</t>
  </si>
  <si>
    <t>教育学</t>
  </si>
  <si>
    <t>装甲车</t>
  </si>
  <si>
    <t>过亿</t>
  </si>
  <si>
    <t>巫医</t>
  </si>
  <si>
    <t>环境学</t>
  </si>
  <si>
    <t>机甲</t>
  </si>
  <si>
    <t>道医</t>
  </si>
  <si>
    <t>超科学</t>
  </si>
  <si>
    <t>歼星舰</t>
  </si>
  <si>
    <t>维度学</t>
  </si>
  <si>
    <t>轨道站</t>
  </si>
  <si>
    <t>最终出目</t>
  </si>
  <si>
    <t>茶道</t>
  </si>
  <si>
    <t>古典技艺</t>
  </si>
  <si>
    <t>材料学</t>
  </si>
  <si>
    <t>空间站</t>
  </si>
  <si>
    <t>书道</t>
  </si>
  <si>
    <t>农林学</t>
  </si>
  <si>
    <t>殖民船</t>
  </si>
  <si>
    <t>花道</t>
  </si>
  <si>
    <t>军事学</t>
  </si>
  <si>
    <t>主流货币换算</t>
  </si>
  <si>
    <t>古筝</t>
  </si>
  <si>
    <t>机械学</t>
  </si>
  <si>
    <t>三味线</t>
  </si>
  <si>
    <t>仿生学</t>
  </si>
  <si>
    <t>美元</t>
  </si>
  <si>
    <t>尺八</t>
  </si>
  <si>
    <t>建筑学</t>
  </si>
  <si>
    <t>★亚洲————</t>
  </si>
  <si>
    <t>亚洲————</t>
  </si>
  <si>
    <t>太鼓</t>
  </si>
  <si>
    <t>粉刷与油漆</t>
  </si>
  <si>
    <t>基因学</t>
  </si>
  <si>
    <t>人民币</t>
  </si>
  <si>
    <t>能剧</t>
  </si>
  <si>
    <t>信息学</t>
  </si>
  <si>
    <t>港币</t>
  </si>
  <si>
    <t>歌舞伎</t>
  </si>
  <si>
    <t>狩猎</t>
  </si>
  <si>
    <t>新台币</t>
  </si>
  <si>
    <t>木偶戏</t>
  </si>
  <si>
    <t>戏法</t>
  </si>
  <si>
    <t>盆踊</t>
  </si>
  <si>
    <t>钓鱼</t>
  </si>
  <si>
    <t>韩元</t>
  </si>
  <si>
    <t>艺妓</t>
  </si>
  <si>
    <t>赌博</t>
  </si>
  <si>
    <t>冥想法</t>
  </si>
  <si>
    <t>泰铢</t>
  </si>
  <si>
    <t>俳句</t>
  </si>
  <si>
    <t>电子竞技</t>
  </si>
  <si>
    <t>新加坡元</t>
  </si>
  <si>
    <t>水墨画</t>
  </si>
  <si>
    <t>坐禅</t>
  </si>
  <si>
    <t>暴走族</t>
  </si>
  <si>
    <t>漆器</t>
  </si>
  <si>
    <t>★欧洲————</t>
  </si>
  <si>
    <t>欧洲————</t>
  </si>
  <si>
    <t>浮世绘</t>
  </si>
  <si>
    <t>经行</t>
  </si>
  <si>
    <t>部落民</t>
  </si>
  <si>
    <t>欧元</t>
  </si>
  <si>
    <t>将棋</t>
  </si>
  <si>
    <t>净身</t>
  </si>
  <si>
    <t>俱乐部</t>
  </si>
  <si>
    <t>瓷器</t>
  </si>
  <si>
    <t>英镑</t>
  </si>
  <si>
    <t>邦乐</t>
  </si>
  <si>
    <t>瑜伽</t>
  </si>
  <si>
    <t>不良少年</t>
  </si>
  <si>
    <t>人形</t>
  </si>
  <si>
    <t>卢布</t>
  </si>
  <si>
    <t>香道</t>
  </si>
  <si>
    <t>隐修</t>
  </si>
  <si>
    <t>外来之人</t>
  </si>
  <si>
    <t>和服</t>
  </si>
  <si>
    <t>★美洲————</t>
  </si>
  <si>
    <t>美洲————</t>
  </si>
  <si>
    <t>方略</t>
  </si>
  <si>
    <t>受难</t>
  </si>
  <si>
    <t>御宅族</t>
  </si>
  <si>
    <t>织物</t>
  </si>
  <si>
    <t>加元</t>
  </si>
  <si>
    <t>舍身</t>
  </si>
  <si>
    <t>女高中生</t>
  </si>
  <si>
    <t>和纸</t>
  </si>
  <si>
    <t>墨西哥元</t>
  </si>
  <si>
    <t>戒持</t>
  </si>
  <si>
    <t>J-Pop</t>
  </si>
  <si>
    <t>手鞠球</t>
  </si>
  <si>
    <t>雷亚尔</t>
  </si>
  <si>
    <t>行善</t>
  </si>
  <si>
    <t>辣妹</t>
  </si>
  <si>
    <t>寄木细工</t>
  </si>
  <si>
    <t>★其他————</t>
  </si>
  <si>
    <t>其他————</t>
  </si>
  <si>
    <t>浪人</t>
  </si>
  <si>
    <t>越前打刃</t>
  </si>
  <si>
    <t>澳元</t>
  </si>
  <si>
    <t>昆达里尼</t>
  </si>
  <si>
    <t>艺伎</t>
  </si>
  <si>
    <t>学生</t>
  </si>
  <si>
    <t>达摩绘</t>
  </si>
  <si>
    <t>南非兰特</t>
  </si>
  <si>
    <t>密宗</t>
  </si>
  <si>
    <t>和歌</t>
  </si>
  <si>
    <t>黄毛</t>
  </si>
  <si>
    <t>琉璃切子</t>
  </si>
  <si>
    <t>极道</t>
  </si>
  <si>
    <t>木偶</t>
  </si>
  <si>
    <t>业读</t>
  </si>
  <si>
    <t>刺绣</t>
  </si>
  <si>
    <t>团扇</t>
  </si>
  <si>
    <t>宝石细工</t>
  </si>
  <si>
    <t>竹细工</t>
  </si>
  <si>
    <t>次文化族</t>
  </si>
  <si>
    <t>制墨</t>
  </si>
  <si>
    <t>神乐舞</t>
  </si>
  <si>
    <t>染色</t>
  </si>
  <si>
    <t>强化△</t>
  </si>
  <si>
    <t>损坏的</t>
  </si>
  <si>
    <t>魔力</t>
  </si>
  <si>
    <t>目标</t>
  </si>
  <si>
    <t>接触</t>
  </si>
  <si>
    <t>雕刻</t>
  </si>
  <si>
    <t>强化○</t>
  </si>
  <si>
    <t>腐朽的</t>
  </si>
  <si>
    <t>强化</t>
  </si>
  <si>
    <t>生命</t>
  </si>
  <si>
    <t>恢复</t>
  </si>
  <si>
    <t>自己</t>
  </si>
  <si>
    <t>每次</t>
  </si>
  <si>
    <t>制弓</t>
  </si>
  <si>
    <t>强化◎</t>
  </si>
  <si>
    <t>破败的</t>
  </si>
  <si>
    <t>改良</t>
  </si>
  <si>
    <t>增加</t>
  </si>
  <si>
    <t>敌方</t>
  </si>
  <si>
    <t>每轮</t>
  </si>
  <si>
    <t>制符</t>
  </si>
  <si>
    <t>粗糙的</t>
  </si>
  <si>
    <t>制式</t>
  </si>
  <si>
    <t>减少</t>
  </si>
  <si>
    <t>友方</t>
  </si>
  <si>
    <t>首次</t>
  </si>
  <si>
    <t>附魔</t>
  </si>
  <si>
    <t>范围</t>
  </si>
  <si>
    <t>累计</t>
  </si>
  <si>
    <t>精良的</t>
  </si>
  <si>
    <t>精工</t>
  </si>
  <si>
    <t>惩罚骰</t>
  </si>
  <si>
    <t>全体</t>
  </si>
  <si>
    <t>每时</t>
  </si>
  <si>
    <t>优秀的</t>
  </si>
  <si>
    <t>祝福</t>
  </si>
  <si>
    <t>奖励骰</t>
  </si>
  <si>
    <t>祭品</t>
  </si>
  <si>
    <t>每日</t>
  </si>
  <si>
    <t>杰出的</t>
  </si>
  <si>
    <t>加护</t>
  </si>
  <si>
    <t>损失</t>
  </si>
  <si>
    <t>怪物</t>
  </si>
  <si>
    <t>每月</t>
  </si>
  <si>
    <t>完美的</t>
  </si>
  <si>
    <t>符文</t>
  </si>
  <si>
    <t>治疗</t>
  </si>
  <si>
    <t>每年</t>
  </si>
  <si>
    <t>英勇的</t>
  </si>
  <si>
    <t>坚固</t>
  </si>
  <si>
    <t>传奇的</t>
  </si>
  <si>
    <t>不朽</t>
  </si>
  <si>
    <t>旧日的</t>
  </si>
  <si>
    <t>随机</t>
  </si>
  <si>
    <t>神造的</t>
  </si>
  <si>
    <t>神话</t>
  </si>
  <si>
    <t>可变</t>
  </si>
  <si>
    <t>日本手工艺</t>
  </si>
  <si>
    <t>原初的</t>
  </si>
  <si>
    <t>临时</t>
  </si>
  <si>
    <t>恩赐</t>
  </si>
  <si>
    <t>双体</t>
  </si>
  <si>
    <t>立即</t>
  </si>
  <si>
    <t>诅咒</t>
  </si>
  <si>
    <t>特殊</t>
  </si>
  <si>
    <t>永久</t>
  </si>
  <si>
    <t>噩梦</t>
  </si>
  <si>
    <t>全部</t>
  </si>
  <si>
    <t>上限</t>
  </si>
  <si>
    <t>美梦</t>
  </si>
  <si>
    <t>下限</t>
  </si>
  <si>
    <t>厄运</t>
  </si>
  <si>
    <t>睡眠</t>
  </si>
  <si>
    <t>学识</t>
  </si>
  <si>
    <t>语言</t>
  </si>
  <si>
    <t>远古</t>
  </si>
  <si>
    <t>检定</t>
  </si>
  <si>
    <t>遗迹</t>
  </si>
  <si>
    <t>柔道</t>
  </si>
  <si>
    <t>基督教</t>
  </si>
  <si>
    <t>自然</t>
  </si>
  <si>
    <t>英语</t>
  </si>
  <si>
    <t>原型</t>
  </si>
  <si>
    <t>合气道</t>
  </si>
  <si>
    <t>念流</t>
  </si>
  <si>
    <t>天主教</t>
  </si>
  <si>
    <t>废墟</t>
  </si>
  <si>
    <t>法语</t>
  </si>
  <si>
    <t>科技</t>
  </si>
  <si>
    <t>巴西柔术</t>
  </si>
  <si>
    <t>神道流</t>
  </si>
  <si>
    <t>伊斯兰教</t>
  </si>
  <si>
    <t>海洋</t>
  </si>
  <si>
    <t>俄语</t>
  </si>
  <si>
    <t>科幻</t>
  </si>
  <si>
    <t>桑博</t>
  </si>
  <si>
    <t>阴流</t>
  </si>
  <si>
    <t>印度教</t>
  </si>
  <si>
    <t>沙漠</t>
  </si>
  <si>
    <t>汉语</t>
  </si>
  <si>
    <t>机械</t>
  </si>
  <si>
    <t>摔角</t>
  </si>
  <si>
    <t>新当流</t>
  </si>
  <si>
    <t>佛教</t>
  </si>
  <si>
    <t>西班牙语</t>
  </si>
  <si>
    <t>灵能</t>
  </si>
  <si>
    <t>相扑</t>
  </si>
  <si>
    <t>新阴流</t>
  </si>
  <si>
    <t>道教</t>
  </si>
  <si>
    <t>极地</t>
  </si>
  <si>
    <t>阿拉伯语</t>
  </si>
  <si>
    <t>昆虫、</t>
  </si>
  <si>
    <t>魔术</t>
  </si>
  <si>
    <t>博克</t>
  </si>
  <si>
    <t>心影流</t>
  </si>
  <si>
    <t>神道教</t>
  </si>
  <si>
    <t>山岳</t>
  </si>
  <si>
    <t>拉丁语</t>
  </si>
  <si>
    <t>金属、液体、气体、晶体、活的机器、植物、几何</t>
  </si>
  <si>
    <t>古董</t>
  </si>
  <si>
    <t>竹筋细工</t>
  </si>
  <si>
    <t>空手道</t>
  </si>
  <si>
    <t>二天一流</t>
  </si>
  <si>
    <t>民俗</t>
  </si>
  <si>
    <t>森林</t>
  </si>
  <si>
    <t>希腊语</t>
  </si>
  <si>
    <t>何形状、无定形存在、磷光、火焰、哺乳动物、</t>
  </si>
  <si>
    <t>文物</t>
  </si>
  <si>
    <t>拳击</t>
  </si>
  <si>
    <t>一刀流</t>
  </si>
  <si>
    <t>怪谈</t>
  </si>
  <si>
    <t>沼泽</t>
  </si>
  <si>
    <t>瑞典语</t>
  </si>
  <si>
    <t>声波、色彩</t>
  </si>
  <si>
    <t>传承</t>
  </si>
  <si>
    <t>泰拳</t>
  </si>
  <si>
    <t>无敌流</t>
  </si>
  <si>
    <t>先祖</t>
  </si>
  <si>
    <t>洞穴</t>
  </si>
  <si>
    <t>埃及语</t>
  </si>
  <si>
    <t>遗物</t>
  </si>
  <si>
    <t>跆拳道</t>
  </si>
  <si>
    <t>神剑流</t>
  </si>
  <si>
    <t>猫语</t>
  </si>
  <si>
    <t>荒野</t>
  </si>
  <si>
    <t>埃及象形字</t>
  </si>
  <si>
    <t>圣物</t>
  </si>
  <si>
    <t>卡波耶拉</t>
  </si>
  <si>
    <t>竹内流</t>
  </si>
  <si>
    <t>UMA</t>
  </si>
  <si>
    <t>城市</t>
  </si>
  <si>
    <t>意大利语</t>
  </si>
  <si>
    <t>萨瓦特</t>
  </si>
  <si>
    <t>天神流</t>
  </si>
  <si>
    <t>UFO</t>
  </si>
  <si>
    <t>天灾</t>
  </si>
  <si>
    <t>瓦霍语</t>
  </si>
  <si>
    <t>杀戮</t>
  </si>
  <si>
    <t>中国功夫</t>
  </si>
  <si>
    <t>无念流</t>
  </si>
  <si>
    <t>巫师符文</t>
  </si>
  <si>
    <t>入侵</t>
  </si>
  <si>
    <t>日语</t>
  </si>
  <si>
    <t>仁慈</t>
  </si>
  <si>
    <t>日本武道</t>
  </si>
  <si>
    <t>源自古典柔术</t>
  </si>
  <si>
    <t xml:space="preserve">　　■擒抱的伤害加倍（2d6+db）。
　　■特殊攻击：投技
　　　可将对方摔飞，技能值必须在60%以上。当遭到敌人（只限人类，动物或超自然存在不可使用）的近战攻击时，一旦用“柔道”或“合气道”技能招架成功，就可立即发动反击，抓住对方的衣服或手臂，将其摔飞，造成1d4+db伤害（如守秘人认为地面足够坚硬，可加至1d6+db），同时须进行[体质值×5]的击倒检定。如果从高处被摔下，伤害还会增加。投技（亦即招架）只能进行1次，使用者对第二次及之后的攻击会毫无防备。
　　　投技是攻击的一种，使用投技之后，该轮不可再进行攻击。在已经进行攻击的情况下，也不可再使用投技，但可以在招架成功的时候声明“我已经抓住了对方”，维持随时可以将对方摔出的状态。成功的“柔道”或“合气道”技能检定可以阻止投技（注意，任何人都有1%的基础技能）。这只能阻止投技，而不能将对方反摔出去。除这种情况外，如果防御方成功地用“柔道”或“合气道”进行了招架，也可以使投技无效。
■可将&lt;擒抱&gt;、&lt;头顶&gt;(有时也代表身体冲撞)的伤害变为两倍(2D6+db / 2D4+db)。
■【特殊攻击：锁脖摔】
 擒住对手并将其摔出的攻击。当&lt;武道&gt;为60%以上时可以使用。
 当对对手(指人类。对动物或超自然存在是否有效由KP自行判断。)成功进行&lt;武道:擒技系&gt;+&lt;擒抱&gt;攻击时当即抓住对方的衣服或手腕等部位将对手摔出去。这个攻击只有使用&lt;武道:擒技系&gt;才可以化解(需要注意的是不论谁都拥有1%的本技能)，&lt;武道:立技系&gt;无法防御该攻击。
 被摔出的对象将承受1D6+db的伤害后倒在地面上之后进行[CON×5]的检定，若失败则进入眩晕状态。当被摔出者被从高处摔落时还将承受对应的摔落伤害。无法仅以击晕为目的而进行锁脖摔。
■【特殊攻击：突进】
 对对手进行强力的身体冲撞&lt;头顶&gt;攻击。当&lt;武道&gt;为60%以上时可以使用。
 &lt;头顶&gt;与&lt;武道:擒技系&gt;同时检定成功时对对手造成1D4+db的伤害后将对手向后方撞飞3米(击倒)。遭到击倒攻击的对象若[DEX×5]的检定失败则摔倒在地面上，随后进行[CON×5]的检定若失败则同时进入昏迷状态。若被撞飞的对象身后3米以内有坚硬的墙壁或家具等障碍物时，头或背部会撞到这类物品在原本的伤害基础上额外+1D4点伤害，当被撞飞从高处摔落时还将承受对应的摔落伤害。无法仅以击晕为目的而进行突进。
 对手的SIZ为90以下时(人类体型时)才会产生击倒效果。 </t>
  </si>
  <si>
    <t>军用格斗</t>
  </si>
  <si>
    <t>理心流</t>
  </si>
  <si>
    <t>死灵之书</t>
  </si>
  <si>
    <t>末日</t>
  </si>
  <si>
    <t>德语</t>
  </si>
  <si>
    <t>外星</t>
  </si>
  <si>
    <t>梦想流</t>
  </si>
  <si>
    <t>血族知识</t>
  </si>
  <si>
    <t>战争</t>
  </si>
  <si>
    <t>荷兰语</t>
  </si>
  <si>
    <t>宇宙</t>
  </si>
  <si>
    <t xml:space="preserve">■可将&lt;擒抱&gt;、&lt;头顶&gt;(有时也代表身体冲撞)的伤害变为两倍(2D6+db / 2D4+db)。
■【特殊攻击：锁脖摔】
 擒住对手并将其摔出的攻击。当&lt;武道&gt;为60%以上时可以使用。
 当对对手(指人类。对动物或超自然存在是否有效由KP自行判断。)成功进行&lt;武道:擒技系&gt;+&lt;擒抱&gt;攻击时当即抓住对方的衣服或手腕等部位将对手摔出去。这个攻击只有使用&lt;武道:擒技系&gt;才可以化解(需要注意的是不论谁都拥有1%的本技能)，&lt;武道:立技系&gt;无法防御该攻击。
 被摔出的对象将承受1D6+db的伤害后倒在地面上之后进行[CON×5]的检定，若失败则进入眩晕状态。当被摔出者被从高处摔落时还将承受对应的摔落伤害。无法仅以击晕为目的而进行锁脖摔。
■【特殊攻击：突进】
 对对手进行强力的身体冲撞&lt;头顶&gt;攻击。当&lt;武道&gt;为60%以上时可以使用。
 &lt;头顶&gt;与&lt;武道:擒技系&gt;同时检定成功时对对手造成1D4+db的伤害后将对手向后方撞飞3米(击倒)。遭到击倒攻击的对象若[DEX×5]的检定失败则摔倒在地面上，随后进行[CON×5]的检定若失败则同时进入昏迷状态。若被撞飞的对象身后3米以内有坚硬的墙壁或家具等障碍物时，头或背部会撞到这类物品在原本的伤害基础上额外+1D4点伤害，当被撞飞从高处摔落时还将承受对应的摔落伤害。无法仅以击晕为目的而进行突进。
 对手的SIZ为90以下时(人类体型时)才会产生击倒效果。 </t>
  </si>
  <si>
    <t>一心流</t>
  </si>
  <si>
    <t>狼人知识</t>
  </si>
  <si>
    <t>捷克语</t>
  </si>
  <si>
    <t>神秘</t>
  </si>
  <si>
    <t>贯心流</t>
  </si>
  <si>
    <t>亡灵知识</t>
  </si>
  <si>
    <t>波兰语</t>
  </si>
  <si>
    <t>黑暗</t>
  </si>
  <si>
    <t>无双流</t>
  </si>
  <si>
    <t>外星语言</t>
  </si>
  <si>
    <t>异界</t>
  </si>
  <si>
    <t>斯瓦西里语</t>
  </si>
  <si>
    <t>光明</t>
  </si>
  <si>
    <t>弓道</t>
  </si>
  <si>
    <t xml:space="preserve">　　自古相传的神前竞技。不仅包括大相扑和学生相扑，而且也是与平民最接近的格斗技，在城镇、乡村里会不时召开相扑大会。
　　■擒抱、头锤的伤害加倍（2d6+db、2d4+db）。
　　■特殊攻击：大撞（ぶちかまし）
　　　向对方进行猛烈的冲撞（头锤），技能值必须在60%以上。与普通头锤的检定同时成功时，造成1d4+db伤害，并把对方击退3米（3码）。被击退的敌人必须成功进行[敏捷值×5]的检定才不会倒下，同时还须进行[体质值×5]的击倒检定。如果在被击退的敌人身后3米内有坚固的墙或家具，造成的伤害追加1d4，如果从高处被撞下，伤害还会增加。对方的体形值高于18时无法使用本攻击。
■可将&lt;擒抱&gt;、&lt;头顶&gt;(有时也代表身体冲撞)的伤害变为两倍(2D6+db / 2D4+db)。
■【特殊攻击：锁脖摔】
 擒住对手并将其摔出的攻击。当&lt;武道&gt;为60%以上时可以使用。
 当对对手(指人类。对动物或超自然存在是否有效由KP自行判断。)成功进行&lt;武道:擒技系&gt;+&lt;擒抱&gt;攻击时当即抓住对方的衣服或手腕等部位将对手摔出去。这个攻击只有使用&lt;武道:擒技系&gt;才可以化解(需要注意的是不论谁都拥有1%的本技能)，&lt;武道:立技系&gt;无法防御该攻击。
 被摔出的对象将承受1D6+db的伤害后倒在地面上之后进行[CON×5]的检定，若失败则进入眩晕状态。当被摔出者被从高处摔落时还将承受对应的摔落伤害。无法仅以击晕为目的而进行锁脖摔。
■【特殊攻击：突进】
 对对手进行强力的身体冲撞&lt;头顶&gt;攻击。当&lt;武道&gt;为60%以上时可以使用。
 &lt;头顶&gt;与&lt;武道:擒技系&gt;同时检定成功时对对手造成1D4+db的伤害后将对手向后方撞飞3米(击倒)。遭到击倒攻击的对象若[DEX×5]的检定失败则摔倒在地面上，随后进行[CON×5]的检定若失败则同时进入昏迷状态。若被撞飞的对象身后3米以内有坚硬的墙壁或家具等障碍物时，头或背部会撞到这类物品在原本的伤害基础上额外+1D4点伤害，当被撞飞从高处摔落时还将承受对应的摔落伤害。无法仅以击晕为目的而进行突进。
 对手的SIZ为90以下时(人类体型时)才会产生击倒效果。 </t>
  </si>
  <si>
    <t>天道流</t>
  </si>
  <si>
    <t>食尸鬼语</t>
  </si>
  <si>
    <t>异星</t>
  </si>
  <si>
    <t>祖鲁语</t>
  </si>
  <si>
    <t>宗教</t>
  </si>
  <si>
    <t>心眼流</t>
  </si>
  <si>
    <t>拉莱耶语</t>
  </si>
  <si>
    <t>约鲁巴语</t>
  </si>
  <si>
    <t>勇者</t>
  </si>
  <si>
    <t>忍术</t>
  </si>
  <si>
    <t>　　源自琉球，原本叫“唐手”，普及得比柔道晚，但公认在实战中很强。
　　■拳击、踢击、头锤的伤害加倍（2d3+db、2d6+db、2d4+db）。
　　■特殊攻击：铁拳
　　　将自己的全身变成凶器，技能值必须在60%以上。如果“空手道”技能的检定成功，徒手攻击就将被视为武器攻击，不可用通常的徒手技能或武器技能招架，而只能用“空手道”技能招架。（当然还是可以闪避的）。
　　　同时，“空手道”技能可以招架任何近战武器的攻击。若招架成功，敌人的徒手、匕首、小型棍棒的攻击会完全无效，但其它武器还可造成一半伤害（小数点后进位）。动物或超自然存在的攻击，以及火器等射击武器的攻击不可用“空手道”技能招架。
■可将&lt;拳击&gt;、&lt;脚踢&gt;、&lt;头顶&gt;的伤害变为两倍(2D3+db / 2D6+db / 2D4+db)。
■【特殊攻击：快拳】
 对对手(指人类。不可以为其他的生物。)进行猛烈的快拳攻击。当&lt;武道&gt;为60%以上时可以使用。
 当以&lt;武道:立技系&gt;成功攻击对手的瞬间可宣言使用[快拳]。这会使对手因为激痛而暂时无法行动(眩晕状态)，在此期间对手将承受攻击者的猛烈攻击。攻击者在同一轮的最后可以追加一次由&lt;武道:立技系&gt;+&lt;拳击&gt;或是&lt;脚踢&gt;的攻击。这次追加攻击可以使用&lt;武道&gt;来招架。无法仅以击晕为目的而进行快拳。另外佯攻无法与快拳同时使用。
■【特殊攻击：佯攻】
 快速对对手使用两次&lt;拳击&gt;或重复两次&lt;脚踢&gt;。当&lt;武道&gt;为60%以上时可以使用。
 第一次的攻击会必定击空，但是对手会因此而自动使用招架(或是回避)来躲避这次攻击(若敌人已经使用过招架或回避是，第一次攻击将视为无效)。随后的第二次攻击对手将不能招架或回避。但是当对手使用武道招架[佯攻]成功时，将被视为对手看破了攻击者的假动作，第二回的攻击将自动无效。无法仅以击晕为目的而进行佯攻。另外佯攻无法与快拳同时使用。
 当攻击者进行佯攻之后在同一轮内可以继续使用一次招架(与通常规则相同)。</t>
  </si>
  <si>
    <t>荒木流</t>
  </si>
  <si>
    <t>诡秘暗语</t>
  </si>
  <si>
    <t>梵语</t>
  </si>
  <si>
    <t>怨灵</t>
  </si>
  <si>
    <t>　　拳斗。从明治时代开始为日本人所知，以1921年日本拳斗俱乐部的成立为契机，拳斗部瞬间在日本全国的大学普及开来。日本从1928年开始参加奥运会的拳击比赛。
　　■拳击的伤害加倍（2d3+db）。
　　■特殊攻击：猛击（フェイント）
　　技能值必须在60%以上。对敌人进行非常迅速的两次拳击，第一次攻击是假动作，一定会被敌人招架（若敌人该轮已经进行了招架，则不会有第一次攻击），而第二次攻击敌人无法招架。但是，在发动猛击的一轮中，攻击方也无法进行任何招架。</t>
  </si>
  <si>
    <t>示现流</t>
  </si>
  <si>
    <t>阿克洛语</t>
  </si>
  <si>
    <t>印度语</t>
  </si>
  <si>
    <t>死灵</t>
  </si>
  <si>
    <t>■可将&lt;拳击&gt;、&lt;脚踢&gt;、&lt;头顶&gt;的伤害变为两倍(2D3+db / 2D6+db / 2D4+db)。
■【特殊攻击：快拳】
 对对手(指人类。不可以为其他的生物。)进行猛烈的快拳攻击。当&lt;武道&gt;为60%以上时可以使用。
 当以&lt;武道:立技系&gt;成功攻击对手的瞬间可宣言使用[快拳]。这会使对手因为激痛而暂时无法行动(眩晕状态)，在此期间对手将承受攻击者的猛烈攻击。攻击者在同一轮的最后可以追加一次由&lt;武道:立技系&gt;+&lt;拳击&gt;或是&lt;脚踢&gt;的攻击。这次追加攻击可以使用&lt;武道&gt;来招架。无法仅以击晕为目的而进行快拳。另外佯攻无法与快拳同时使用。
■【特殊攻击：佯攻】
 快速对对手使用两次&lt;拳击&gt;或重复两次&lt;脚踢&gt;。当&lt;武道&gt;为60%以上时可以使用。
 第一次的攻击会必定击空，但是对手会因此而自动使用招架(或是回避)来躲避这次攻击(若敌人已经使用过招架或回避是，第一次攻击将视为无效)。随后的第二次攻击对手将不能招架或回避。但是当对手使用武道招架[佯攻]成功时，将被视为对手看破了攻击者的假动作，第二回的攻击将自动无效。无法仅以击晕为目的而进行佯攻。另外佯攻无法与快拳同时使用。
 当攻击者进行佯攻之后在同一轮内可以继续使用一次招架(与通常规则相同)。</t>
  </si>
  <si>
    <t>许珀耳玻瑞亚语</t>
  </si>
  <si>
    <t>印尼语</t>
  </si>
  <si>
    <t>幻想</t>
  </si>
  <si>
    <t>　　以“跆跟”为代表的各流派，是现代跆拳道的原型。可视为用脚进行的拳击。
　　■踢击的伤害加倍（2d6+db）。
　　■特殊攻击：猛击（フェイント）
　　技能值必须在60%以上。与拳斗相同，只是把拳击换成踢击。</t>
  </si>
  <si>
    <t>克苏鲁语</t>
  </si>
  <si>
    <t>古巴比伦语</t>
  </si>
  <si>
    <t>奇迹</t>
  </si>
  <si>
    <t>楔形文字</t>
  </si>
  <si>
    <t>古埃及语</t>
  </si>
  <si>
    <t>希望</t>
  </si>
  <si>
    <t>象形文字</t>
  </si>
  <si>
    <t>苏美尔语</t>
  </si>
  <si>
    <t>渣滓</t>
  </si>
  <si>
    <t>古武术</t>
  </si>
  <si>
    <r>
      <rPr>
        <sz val="10"/>
        <color rgb="FF000000"/>
        <rFont val="微软雅黑"/>
        <charset val="134"/>
      </rPr>
      <t xml:space="preserve">　　无数中国武术的总称。可从上述技能中选择一种，效果相同。也可由守秘人自由创造。
</t>
    </r>
    <r>
      <rPr>
        <b/>
        <sz val="10"/>
        <color rgb="FF000000"/>
        <rFont val="微软雅黑"/>
        <charset val="134"/>
      </rPr>
      <t>■可将&lt;拳击&gt;、&lt;脚踢&gt;、&lt;头顶&gt;的伤害变为两倍(2D3+db / 2D6+db / 2D4+db)。
■【特殊攻击：快拳】
 对对手(指人类。不可以为其他的生物。)进行猛烈的快拳攻击。当&lt;武道&gt;为60%以上时可以使用。
 当以&lt;武道:立技系&gt;成功攻击对手的瞬间可宣言使用[快拳]。这会使对手因为激痛而暂时无法行动(眩晕状态)，在此期间对手将承受攻击者的猛烈攻击。攻击者在同一轮的最后可以追加一次由&lt;武道:立技系&gt;+&lt;拳击&gt;或是&lt;脚踢&gt;的攻击。这次追加攻击可以使用&lt;武道&gt;来招架。无法仅以击晕为目的而进行快拳。另外佯攻无法与快拳同时使用。
■【特殊攻击：佯攻】
 快速对对手使用两次&lt;拳击&gt;或重复两次&lt;脚踢&gt;。当&lt;武道&gt;为60%以上时可以使用。
 第一次的攻击会必定击空，但是对手会因此而自动使用招架(或是回避)来躲避这次攻击(若敌人已经使用过招架或回避是，第一次攻击将视为无效)。随后的第二次攻击对手将不能招架或回避。但是当对手使用武道招架[佯攻]成功时，将被视为对手看破了攻击者的假动作，第二回的攻击将自动无效。无法仅以击晕为目的而进行佯攻。另外佯攻无法与快拳同时使用。
 当攻击者进行佯攻之后在同一轮内可以继续使用一次招架(与通常规则相同)。</t>
    </r>
  </si>
  <si>
    <t>姆大陆语</t>
  </si>
  <si>
    <t>土耳其语</t>
  </si>
  <si>
    <t>虚壳</t>
  </si>
  <si>
    <t>　　■日本刀、中国刀、西洋佩刀/长剑技能可以互相替代，技能值-10%。日本刀和“与木刀相似的”棍棒技能可以互相替代，技能值-10%。
　　■日本刀可以用刀背进行击倒攻击。
　　■日本刀和竹刀都必须双手使用，单手使用时技能值-10%。</t>
  </si>
  <si>
    <t>卢恩符文</t>
  </si>
  <si>
    <t>澳大利亚语</t>
  </si>
  <si>
    <t>虚卵</t>
  </si>
  <si>
    <t>1d6+db</t>
  </si>
  <si>
    <t>纳卡尔语</t>
  </si>
  <si>
    <t>瑞士语</t>
  </si>
  <si>
    <t>虚胎</t>
  </si>
  <si>
    <t>1d4+db</t>
  </si>
  <si>
    <t>纳斯语</t>
  </si>
  <si>
    <t>塞尔维亚语</t>
  </si>
  <si>
    <t>原罪</t>
  </si>
  <si>
    <t>预言</t>
  </si>
  <si>
    <t>击剑</t>
  </si>
  <si>
    <t xml:space="preserve"> 使用花剑、佩剑、锐剑、军刀等西洋剑战斗的技能。使用这类武器可以进行攻击与招架。对于青龙刀、日本刀、长剑等武器虽然都各自有着对应技能，但是也可以将&lt;击剑&gt;的成功率加值-10%来使用上述类型的武器。</t>
  </si>
  <si>
    <t>灾祸</t>
  </si>
  <si>
    <t xml:space="preserve"> 使用重剑、长剑等宽刃西洋剑战斗的技能。使用这类武器可以进行攻击与招架。对于青龙刀、日本刀等武器虽然都各自有着对应技能，但是也可以将&lt;重剑&gt;的成功率加值-10%来使用上述类型的武器。</t>
  </si>
  <si>
    <t>结晶</t>
  </si>
  <si>
    <t xml:space="preserve"> 使用匕首、菜刀等刀刃长度低于30cm的刀具战斗的技能。使用这类武器可以进行攻击，虽然也可以用于招架，但是仅限于带有护手(剑靻)的武器(战斗匕首、匕首等)才可以使用。如菜刀、短刀等武器无法使用招架。</t>
  </si>
  <si>
    <t>侵蚀</t>
  </si>
  <si>
    <t xml:space="preserve"> 使用日本刀、脇差、木刀、竹刀等武器战斗的技能。使用这类武器可以进行攻击与招架。与木刀形状相似的木棒也可以将&lt;日本刀&gt;的成功率加值-10%来使用。当在攻击之前宣言使用[刀背斩]时也可用日本刀击晕对手。
 日本刀、竹刀等虽然本来是双手使用的武器，但是也可以将&lt;日本刀&gt;的成功率加值-10%来单手使用。</t>
  </si>
  <si>
    <t>黯淡</t>
  </si>
  <si>
    <t xml:space="preserve"> 使用中国的刀剑战斗的技能。使用这类武器可以进行攻击与招架。日本刀、重剑等武器虽然都各自有着对应技能，但是也可以将&lt;青龙刀&gt;的成功率加值-10%来使用上述类型的武器。</t>
  </si>
  <si>
    <t>时间</t>
  </si>
  <si>
    <t xml:space="preserve"> 使用戟战斗的技能。使用这种武器或等同于该武器的其他长柄武器(矛、枪、长柄战斧等) 可以进行攻击与招架。</t>
  </si>
  <si>
    <t>空间</t>
  </si>
  <si>
    <t>使用薙刀战斗的技能。使用这种武器或等同于该武器的其他长柄武器(矛、枪、长柄战斧等) 可以进行攻击与招架。</t>
  </si>
  <si>
    <t>咒令</t>
  </si>
  <si>
    <t xml:space="preserve"> 使用锁镰战斗的技能。使用这种武器可以进行攻击与招架。但是使用锁镰进行招架是十分困难的事情，在进行招架时只能使用技能成功率的1/2(四舍五入)进行检定。
■【特殊攻击：缠绕】
 当在攻击之前宣言使用[缠绕]时，可以用锁链缠绕对手手中的武器(或是四肢等)但是不会造成通常伤害。
 对武器进行[缠绕]成功时，立即进行STR对抗，成功的话则可缴械对方的武器。
 对四肢等进行[缠绕]成功时，立即进行STR对抗，成功的话则可将对方击倒在地，失败时则需要在自己摔倒与放开锁镰之间进行选择。
 与对抗成功失败无关，在对抗结束之后缠绕效果当即解除。
 当对手是动物或超自然存在时，KP请自行衡量是否可以使用[缠绕]。</t>
  </si>
  <si>
    <t>法则</t>
  </si>
  <si>
    <t xml:space="preserve"> 使用双截棍、三节棍战斗的技能。使用这类武器可以进行攻击与招架。但是使用多节棍进行招架是十分困难的事情，在进行招架时只能使用技能成功率的1/2(四舍五入)进行检定。多节棍无法使用[缠绕]攻击。</t>
  </si>
  <si>
    <t>箴言</t>
  </si>
  <si>
    <t>鞭</t>
  </si>
  <si>
    <t xml:space="preserve"> 使用鞭战斗的技能。但是鞭的构造并不善于招架，在进行招架时只能使用技能成功率的1/2(四舍五入)进行检定。
 鞭可以使用[缠绕]攻击，详细请参照锁镰的【特殊攻击】部分。</t>
  </si>
  <si>
    <t>仆从</t>
  </si>
  <si>
    <t xml:space="preserve"> 特殊的战斗技能。当佩戴有日本刀或肋差或是上述武器在伸手可及的范围内时可以使用该技能。学习该技能的前提为掌握&lt;日本刀&gt;技能。当被敌人奇袭时，可以从纳刀的状态(如行走在街上，或正坐在室内等情况)直接拔刀并顺接下列行动中的其中一种。
■拔刀后再同一轮内可进行一次攻击(虽然基本规则中没有记载，但是通常拔刀等武器准备回消耗一轮动作)。这一次攻击的成功率以&lt;拔刀术&gt;的成功率进行检定。下一轮开始恢复为通常的&lt;日本刀&gt;技能进行检定。
■拔刀后即时可宣言进行招架并开始检定。通过&lt;拔刀术&gt;使用的招架与普通招架共用使用次数。这一次的招架的成功率以&lt;拔刀术&gt;的成功率进行检定。下一轮开始恢复为通常的&lt;日本刀&gt;技能进行检定。
■拔刀后可使用刀柄击晕对手。击晕的成功率以&lt;拔刀术&gt;的成功率进行检定。关于击晕判定请参照基本规则。
■若在伸手可及的范围内，可以使用从自己以外的任何人(包括敌人)腰间佩戴的刀来进行上述任何行动之一。</t>
  </si>
  <si>
    <t>后裔</t>
  </si>
  <si>
    <t xml:space="preserve"> 使用杖、棍棒战斗的技能。使用[大棍棒]与[小棍棒]可以进行攻击与招架。这类武器可以击晕对手。</t>
  </si>
  <si>
    <t>眷属</t>
  </si>
  <si>
    <t>短弓</t>
  </si>
  <si>
    <t>使用上述弓类武器战斗的技能。也可以将该技能的成功率加值-9%来使用其他类型的弓。但是不能使用机械式类弓(弩等)。使用这类武器只可以进行攻击，无法进行招架。</t>
  </si>
  <si>
    <t>日本武艺</t>
  </si>
  <si>
    <t>日本武士必须常年佩刀，刀不离身，故在所有的古武术门类中，剑术是武士必须掌握、流传也最为普及的武艺技法之一。</t>
  </si>
  <si>
    <t>血脉</t>
  </si>
  <si>
    <t>使用上述弓类武器战斗的技能。也可以将该技能的成功率加值-10%来使用其他类型的弓。但是不能使用机械式类弓(弩等)。使用这类武器只可以进行攻击，无法进行招架。</t>
  </si>
  <si>
    <t>强弓精箭，曾是渔猎为生的古代日本人最具杀伤力的兵器。“一射，一生也”传统弓也可切换成长枪近战。</t>
  </si>
  <si>
    <t>长枪</t>
  </si>
  <si>
    <t>使用长枪战斗的技能。使用这种武器或等同于该武器的其他长柄武器(矛、枪、长柄战斧等) 可以进行攻击与招架。</t>
  </si>
  <si>
    <t>柔道是一种能最有效地使用身心力量获得最大效用的日本武道。以柔克刚、刚柔相济。</t>
  </si>
  <si>
    <t>独特</t>
  </si>
  <si>
    <t>十手</t>
  </si>
  <si>
    <t>缴械效果，十手是日本江户时代捕快所使用的一种短兵器，用来生擒捕获对手的武器。</t>
  </si>
  <si>
    <t>只扑不打，更不许踢脚，以将对方扳倒为胜。</t>
  </si>
  <si>
    <t>次元</t>
  </si>
  <si>
    <t>手里剑</t>
  </si>
  <si>
    <t>投掷效果，日本的手里剑类似于中国传统武术中飞镖、飞刀一类的暗器，靠手劲及腕力投掷伤敌。</t>
  </si>
  <si>
    <t>枪术</t>
  </si>
  <si>
    <t>又称铳剑术，是日本古武术之一，流派大多失传。</t>
  </si>
  <si>
    <t>伪神</t>
  </si>
  <si>
    <t>含针</t>
  </si>
  <si>
    <t>即口内含针，可乘对方不觉喷吐而出杀伤敌人的技巧。</t>
  </si>
  <si>
    <t>骑射</t>
  </si>
  <si>
    <t>日本骑射术流传至今，骑射三物是在马上的弓术,是“流镝马”、“犬追物”、“笠悬”的总称。</t>
  </si>
  <si>
    <t>统治</t>
  </si>
  <si>
    <t>捕手术</t>
  </si>
  <si>
    <t>捕手术除了徒手擒捕技术之外，还包括使用绳索捆绑活捉对方的捕绳术。</t>
  </si>
  <si>
    <t>铳术</t>
  </si>
  <si>
    <t>日本战场上施放火枪、火铳、火炮的专项技术，又称炮术，还有与之相关的各种火术、火器术等。</t>
  </si>
  <si>
    <t>权威</t>
  </si>
  <si>
    <t>日本传统的隐藏刺探与情报获取技术，也包括体术和其他技巧，各类兵器</t>
  </si>
  <si>
    <t>复制</t>
  </si>
  <si>
    <t>武术流派</t>
  </si>
  <si>
    <t>自成一派的战斗方式。我流格斗武术是在原有的格斗流派上因为多次进行格斗所领悟出来的全新的一种格斗流派，包含着个人的经验和见识，难以防备。</t>
  </si>
  <si>
    <t>用经验压制对手，获得战斗奖励骰</t>
  </si>
  <si>
    <t>对手无法闪避攻击，极难时近战必定造成最大伤害</t>
  </si>
  <si>
    <t>阴阳术</t>
  </si>
  <si>
    <t>日本传统的阴阳道，括日本本土的式神，阴阳五行说，日本的鬼族文化。操控戏法和傀儡。</t>
  </si>
  <si>
    <t>赝造</t>
  </si>
  <si>
    <t>兵法三大源流，以静制动，后发制人。</t>
  </si>
  <si>
    <t>后手反击获得奖励骰</t>
  </si>
  <si>
    <t>闪避获得奖励骰，极难时反击必定拦截攻击伤害无效</t>
  </si>
  <si>
    <t>神道术</t>
  </si>
  <si>
    <t>日本传统神道教中祝福仪式，祭祀和法术，以及相关的神秘力量</t>
  </si>
  <si>
    <t>虚假</t>
  </si>
  <si>
    <t>兵法三大源流，香取、鹿岛流传下的剑术，香取神道流是综合古流武术，是包括剑术（太刀、小太刀、二刀流）、居合术、棒术、长刀（薙刀）术、枪术、手里剑术、柔术、气合术等</t>
  </si>
  <si>
    <t>压制对手无法进行反击</t>
  </si>
  <si>
    <t>击飞对方手持的武器，极难近战必定造成最大伤害</t>
  </si>
  <si>
    <t>般若术</t>
  </si>
  <si>
    <t>日本传统佛教传授的经文和法力，消灾度厄，净化死者。</t>
  </si>
  <si>
    <t>真实</t>
  </si>
  <si>
    <t>兵法三大源流，睹蜘蛛之变幻而得悟剑之极意，猿飞之术修行极为苛刻，乱世求生杀人之术</t>
  </si>
  <si>
    <t>先手攻击必定贯穿</t>
  </si>
  <si>
    <t>先手攻击时无法被闪避和反击，极难近战必定造成濒死效果</t>
  </si>
  <si>
    <t>拔刀术</t>
  </si>
  <si>
    <t>又称居合斩，居合二字象征对峙双方，而居合道最讲求的就是一击必杀。更适合对单。</t>
  </si>
  <si>
    <t>拟态</t>
  </si>
  <si>
    <t>鹿岛新当流创始冢原卜传是日本战国时代的剑圣，“生涯无败”，一击必杀，对刀剑产生绝对压制效果。</t>
  </si>
  <si>
    <t>以一敌多时获得奖励骰</t>
  </si>
  <si>
    <t>寡不敌众时只受到最小伤害，极难贯穿造成最大伤害。</t>
  </si>
  <si>
    <t>空手道主要是以空手和赤足进行搏击格斗，其基本原则是将自己的身体磨炼成有效武器</t>
  </si>
  <si>
    <t>拟人</t>
  </si>
  <si>
    <t>新阴流的真髓在于“无刀取”，即以空手制住对手。不杀人，以不被杀为胜。</t>
  </si>
  <si>
    <t>检定失败依旧造成伤害</t>
  </si>
  <si>
    <t>夺取对手的武器变成徒手斗殴，极难免疫近战伤害</t>
  </si>
  <si>
    <t>合气道是一种利用攻击者动能、操控能量、偏向于技巧性控制的防御反击性武术，主要特点是在“以柔克刚”、“防守反击”、“借劲使力”、“不主动攻击”</t>
  </si>
  <si>
    <t>精神</t>
  </si>
  <si>
    <t>与人比试从来不尽全力，汇集众家剑术于一身。心胆的磨练，强调使用厚重之剑。</t>
  </si>
  <si>
    <t>压制对手造成击晕倒地效果</t>
  </si>
  <si>
    <t>攻击不会致命，极难造成濒死效果。</t>
  </si>
  <si>
    <t>战舞</t>
  </si>
  <si>
    <t>卡波拉耶，一种看似花哨但威力惊人的武术。</t>
  </si>
  <si>
    <t>二刀流</t>
  </si>
  <si>
    <t>二天一流，统一左右两手手上大小二刀的动作，由此达到战胜对手这一目的。</t>
  </si>
  <si>
    <t>允许双持近战武器，产生二次伤害</t>
  </si>
  <si>
    <t>重伤流血效果，极难成功时必定截肢</t>
  </si>
  <si>
    <t>泰国的一种古老的拳术，杀伤力大。主要运用人体的双拳、双腿、双肘、双膝这四肢八体作为八种武器进行攻击，又叫八臂拳术</t>
  </si>
  <si>
    <t>封印</t>
  </si>
  <si>
    <t>古流，攻击的要点讲究“切落”，一击必杀。</t>
  </si>
  <si>
    <t>沉重的攻击造成击倒效果</t>
  </si>
  <si>
    <t>最大化伤害，极难时切开 对方武器和铠甲</t>
  </si>
  <si>
    <t>古武道</t>
  </si>
  <si>
    <t>诸武皆通的传统流派，包括剑道、枪术、柔术、相扑、唐手等力量的运用</t>
  </si>
  <si>
    <t>解封</t>
  </si>
  <si>
    <t>古流，以无敌的信念和躯体，以弱胜强，不轻易倒下的流派。</t>
  </si>
  <si>
    <t>劣势对抗获得奖励骰</t>
  </si>
  <si>
    <t>重伤或濒死获得体质奖励骰，极难时近战不产生惩罚骰</t>
  </si>
  <si>
    <t>投技</t>
  </si>
  <si>
    <t>主要在近身状态下抓住对手，并将其摔倒或扔出。捕获目标并将其带入自己的动作中的攻击招式，往往带有一定的控制效果。</t>
  </si>
  <si>
    <t>虚界</t>
  </si>
  <si>
    <t>古流，以神兵利器讨伐对手，讲究人剑合一，以人养剑</t>
  </si>
  <si>
    <t>剑术获得奖励骰</t>
  </si>
  <si>
    <t>近战武器获得奖励骰，极难时攻击造成双倍伤害</t>
  </si>
  <si>
    <t>缴械</t>
  </si>
  <si>
    <t>包括冷兵器和枪械的缴械术，抢夺或者卸下目标武器的手法，具有很强的实用性</t>
  </si>
  <si>
    <t>梦境</t>
  </si>
  <si>
    <t>包含短刀术、柔术、 棒术、剑术、拔刀术、薙刀、锁鎌等技能，是一门“总合武道”</t>
  </si>
  <si>
    <t>短刀匕首造成双倍伤害</t>
  </si>
  <si>
    <t>近战武器获得奖励骰，极难时造成最大伤害。</t>
  </si>
  <si>
    <t>击倒</t>
  </si>
  <si>
    <t>在实战中,利用各种技法将对方击倒在地的手法，能够让对方失去行动力</t>
  </si>
  <si>
    <t>里界</t>
  </si>
  <si>
    <t>雾幻天神流忍术、空手道、风格严谨的搏击技巧。名技裂空迅风杀。</t>
  </si>
  <si>
    <t>擒拿</t>
  </si>
  <si>
    <t>也称为固技，利用人体关节的活动规律和要害部位的弱点，制服对方的技巧</t>
  </si>
  <si>
    <t>深渊</t>
  </si>
  <si>
    <t>神道无念流更注重格斗时的实用性和压倒对方的气势与力量。</t>
  </si>
  <si>
    <t>军体拳</t>
  </si>
  <si>
    <t>‌‌军体拳是‌传统武术中的一种拳术，由拳打、‌脚踢、‌摔打、‌夺刀、‌夺枪等格斗动作组合而成</t>
  </si>
  <si>
    <t>地狱</t>
  </si>
  <si>
    <t>天然理心流包括了剑术、棒术、柔术、气合术等的综合武术。临机应变，对敌人的动作采取自然而然的反应。</t>
  </si>
  <si>
    <t>搏击</t>
  </si>
  <si>
    <t>也称拳击，不限定固定套路，鼓励根据战况灵活运用技术和策略，可以攻击对方大部分身体部位，包括头部等要害。</t>
  </si>
  <si>
    <t>恶魔</t>
  </si>
  <si>
    <t>古流，包括拔刀术、杖术、枪术、‌薙刀、剑术、居合等技巧。讲究攻防一体。</t>
  </si>
  <si>
    <t>散打</t>
  </si>
  <si>
    <t>遵循“远踢、近打、贴身摔”的技术原则，技法包含踢、打、摔三种基本形式。并不致命的攻击方式。</t>
  </si>
  <si>
    <t>天使</t>
  </si>
  <si>
    <t>古流，强调的心无旁骛、全神贯注的战斗状态。通过刻苦的训练，以达到身心合一的境界。</t>
  </si>
  <si>
    <t>踢拳道</t>
  </si>
  <si>
    <t>是在空手道、柔道、拳击等基础上创立的一种日本新武技。</t>
  </si>
  <si>
    <t>精灵</t>
  </si>
  <si>
    <t>古流，专精薙刀术、剑术、拔刀术</t>
  </si>
  <si>
    <t>薙刀术</t>
  </si>
  <si>
    <t>剃刀又称长刀，长柄，宽刀身，刀尖向上翘起，以斩、剃、劈、砍为主的武器</t>
  </si>
  <si>
    <t>野兽</t>
  </si>
  <si>
    <t>英信流</t>
  </si>
  <si>
    <t>古流，无双直传英信流，居合斩鼻祖，技巧压制</t>
  </si>
  <si>
    <t>体术</t>
  </si>
  <si>
    <t>躰道，地躺拳，灵活击打，贴身短打，空手搏击的技巧</t>
  </si>
  <si>
    <t>兽人</t>
  </si>
  <si>
    <t>古流，以剑术为中心，包括薙刀术、锁镰术、杖术、小刀术、二刀术、短刀术。特点是乱。</t>
  </si>
  <si>
    <t>杖道</t>
  </si>
  <si>
    <t>日本古流武术中，杖是介于六尺长棒与三尺半棒之间的棍棒类武器。</t>
  </si>
  <si>
    <t>妖精</t>
  </si>
  <si>
    <t>古流，心眼流的特点是招数攻击频繁，强调“必中”，即每次攻击都必须命中目标。</t>
  </si>
  <si>
    <t>棒术</t>
  </si>
  <si>
    <t>即使用棍棒刺、打格斗的武术技法</t>
  </si>
  <si>
    <t>妖怪</t>
  </si>
  <si>
    <t>古流，复仇剑术，吸收各派精华绝学</t>
  </si>
  <si>
    <t>对手流派无效化</t>
  </si>
  <si>
    <t>模仿对手流派效果，极难时伤害无视护甲防御</t>
  </si>
  <si>
    <t>短刀术</t>
  </si>
  <si>
    <t>短刀又称怀剑，是一种没有刀盘护手的短刀</t>
  </si>
  <si>
    <t>古流，萨摩示现流，将剑高举至右肩上方，然后以雷霆万钧之势向左下方猛然劈下，对敌人的攻击全然不顾。</t>
  </si>
  <si>
    <t>用力量压制对手获得奖励骰</t>
  </si>
  <si>
    <t>劈开武器和躯体，极难时一刀两断</t>
  </si>
  <si>
    <t>太气拳</t>
  </si>
  <si>
    <t>太气拳是日本武术界盛行的一种拳法，擅长以柔克刚。</t>
  </si>
  <si>
    <t>天心流</t>
  </si>
  <si>
    <t>古流，集剑术、拔刀术、枪术、十字枪术、薙刀术、锁链术、柔术于一体。</t>
  </si>
  <si>
    <t>水泳术</t>
  </si>
  <si>
    <t>水泳术，又称水术、水法、泳法，即泅水游泳之术，是古代武士的军事技能之一</t>
  </si>
  <si>
    <t>污染</t>
  </si>
  <si>
    <t>心剑流</t>
  </si>
  <si>
    <t>古流，无住心剑流，或者同归于尽，或者胜利，在两者中二选一，绝没有失败一途。</t>
  </si>
  <si>
    <t>对抗失败时造成伤害</t>
  </si>
  <si>
    <t>无法被闪避，极难时造成最大伤害。</t>
  </si>
  <si>
    <t>十手术</t>
  </si>
  <si>
    <t>十手是日本江户时代捕快所使用的一种短兵器，用来生擒捕获对手的武器。</t>
  </si>
  <si>
    <t>绑定</t>
  </si>
  <si>
    <t>北辰流</t>
  </si>
  <si>
    <t>北辰一刀流，又名北辰梦想流，专精剑术与薙刀，千叶周作创始。瞬息心气力一致。</t>
  </si>
  <si>
    <t>日本的手里剑类似于中国传统武术中飞镖、飞刀一类的暗器，靠手劲及腕力投掷伤敌。</t>
  </si>
  <si>
    <t>契约</t>
  </si>
  <si>
    <t>活心流</t>
  </si>
  <si>
    <t>神谷活心流，以夺取对手武器为目标。</t>
  </si>
  <si>
    <t>刃止从侧面弹开兵器</t>
  </si>
  <si>
    <t>刃取夺走对手武器，极难时最大伤害</t>
  </si>
  <si>
    <t>含针术</t>
  </si>
  <si>
    <t>共生</t>
  </si>
  <si>
    <t>神速流</t>
  </si>
  <si>
    <t>神速流，是一种以“神速”著称的拔刀术。甚至可以制造真空。</t>
  </si>
  <si>
    <t>无法被闪避</t>
  </si>
  <si>
    <t>无视护甲，极难时贯穿双倍伤害</t>
  </si>
  <si>
    <t>活化</t>
  </si>
  <si>
    <t>刚柔流</t>
  </si>
  <si>
    <t>刚柔流空手道的创始人是宫城长顺。刚柔并济，注重“气”、“息”、“体”</t>
  </si>
  <si>
    <t>锁镰术</t>
  </si>
  <si>
    <t>锁镰是日本古武术中独特的奇门兵器，长短互配，软硬合一，攻击范围兼顾远近距离</t>
  </si>
  <si>
    <t>熔炉</t>
  </si>
  <si>
    <t>极真流</t>
  </si>
  <si>
    <t>极真空手道融合了摔跤、柔术（合气道·柔道)、武器术（剑道)、中国武术 、拳击。提倡不收力的击打。</t>
  </si>
  <si>
    <t>辉煌</t>
  </si>
  <si>
    <t>伊贺流</t>
  </si>
  <si>
    <t>伊贺忍者强调的是个人作战能力，修行忍者五道。</t>
  </si>
  <si>
    <t>闪耀</t>
  </si>
  <si>
    <t>甲贺流</t>
  </si>
  <si>
    <t>甲贺流忍者尤其擅长药物的使用，强调的是集体作战能力。</t>
  </si>
  <si>
    <t>短弓/土耳其短弓</t>
  </si>
  <si>
    <t>1D6</t>
  </si>
  <si>
    <t>荣誉</t>
  </si>
  <si>
    <t>御剑流</t>
  </si>
  <si>
    <t>飞天御剑流，古流拔刀术，代表人物绯村剑心。重心越低速度越快。</t>
  </si>
  <si>
    <t>普攻双倍伤害</t>
  </si>
  <si>
    <t>无视护甲弱点穿透，极难必定截肢断刀</t>
  </si>
  <si>
    <t>传统长弓/英式长弓</t>
  </si>
  <si>
    <t>最难精准</t>
  </si>
  <si>
    <t>1D8</t>
  </si>
  <si>
    <t>和弓/长弓</t>
  </si>
  <si>
    <t>1D8+2</t>
  </si>
  <si>
    <t>贪婪</t>
  </si>
  <si>
    <t>日置流</t>
  </si>
  <si>
    <t>弓术流派</t>
  </si>
  <si>
    <t>战弓/重弓</t>
  </si>
  <si>
    <t>超过100磅以上的硬弓</t>
  </si>
  <si>
    <t>1D8+DB</t>
  </si>
  <si>
    <t>嫉妒</t>
  </si>
  <si>
    <t>印西流</t>
  </si>
  <si>
    <t>清弓/满弓</t>
  </si>
  <si>
    <t>1D8+半DB</t>
  </si>
  <si>
    <t>20磅+1</t>
  </si>
  <si>
    <t>懒惰</t>
  </si>
  <si>
    <t>竹林流</t>
  </si>
  <si>
    <t>勇敢</t>
  </si>
  <si>
    <t>雪荷流</t>
  </si>
  <si>
    <t>精准</t>
  </si>
  <si>
    <t>美式猎弓</t>
  </si>
  <si>
    <t>20世纪现代弓，有弓窗，适合持握，反曲弓的雏形</t>
  </si>
  <si>
    <t>40磅+2</t>
  </si>
  <si>
    <t>谦卑</t>
  </si>
  <si>
    <t>大藏流</t>
  </si>
  <si>
    <t>吝啬</t>
  </si>
  <si>
    <t>大进流</t>
  </si>
  <si>
    <t>精准+</t>
  </si>
  <si>
    <t>光弓</t>
  </si>
  <si>
    <t>无辅助装置的反曲弓，配重杆，手内瞄具，容易打脸</t>
  </si>
  <si>
    <t>1D8+1</t>
  </si>
  <si>
    <t>60磅+3</t>
  </si>
  <si>
    <t>欲望</t>
  </si>
  <si>
    <t>大和流</t>
  </si>
  <si>
    <t>色孽</t>
  </si>
  <si>
    <t>寿徳流</t>
  </si>
  <si>
    <t>80磅+1D4</t>
  </si>
  <si>
    <t>忠贞</t>
  </si>
  <si>
    <t>集斋流</t>
  </si>
  <si>
    <t>姿势响片</t>
  </si>
  <si>
    <t>固定竞技</t>
  </si>
  <si>
    <t>反曲弓</t>
  </si>
  <si>
    <t>上手难度大，容易受伤，自虐，精神状态堪忧</t>
  </si>
  <si>
    <t>1D8+1D4</t>
  </si>
  <si>
    <t>纯洁</t>
  </si>
  <si>
    <t>尾崎流</t>
  </si>
  <si>
    <t>精准max</t>
  </si>
  <si>
    <t>复合弓</t>
  </si>
  <si>
    <t>沉重7kg，配件多,最精准，60磅限制，省力</t>
  </si>
  <si>
    <t>120磅+1D6</t>
  </si>
  <si>
    <t>友善</t>
  </si>
  <si>
    <t>片冈流</t>
  </si>
  <si>
    <t>两用复合弓</t>
  </si>
  <si>
    <t>大号弹弓，什么都射</t>
  </si>
  <si>
    <t>双发近战</t>
  </si>
  <si>
    <t>1D8/1D6</t>
  </si>
  <si>
    <t>傲慢</t>
  </si>
  <si>
    <t>矢泽流</t>
  </si>
  <si>
    <t>定制复合弓</t>
  </si>
  <si>
    <t>超过120磅，54kg，操作难度大</t>
  </si>
  <si>
    <t>1D10+1D6</t>
  </si>
  <si>
    <t>火弓流</t>
  </si>
  <si>
    <t>支配</t>
  </si>
  <si>
    <t>亵渎</t>
  </si>
  <si>
    <t>御当流</t>
  </si>
  <si>
    <t>骑术流派</t>
  </si>
  <si>
    <t>牺牲</t>
  </si>
  <si>
    <t>大坪流</t>
  </si>
  <si>
    <t>疯狂</t>
  </si>
  <si>
    <t>八条流</t>
  </si>
  <si>
    <t>背叛</t>
  </si>
  <si>
    <t>八丈流</t>
  </si>
  <si>
    <t>誓言</t>
  </si>
  <si>
    <t>高丽流</t>
  </si>
  <si>
    <t>吞噬</t>
  </si>
  <si>
    <t>心强流</t>
  </si>
  <si>
    <t>吸收</t>
  </si>
  <si>
    <t>常心流</t>
  </si>
  <si>
    <t>灵魂</t>
  </si>
  <si>
    <t>素鞍流</t>
  </si>
  <si>
    <t>胜鞍流</t>
  </si>
  <si>
    <t>亡者</t>
  </si>
  <si>
    <t>恶马新当流</t>
  </si>
  <si>
    <t>不死</t>
  </si>
  <si>
    <t>神妙流</t>
  </si>
  <si>
    <t>小笠原流</t>
  </si>
  <si>
    <t>无敌</t>
  </si>
  <si>
    <t>一全流</t>
  </si>
  <si>
    <t>重生</t>
  </si>
  <si>
    <t>武田流</t>
  </si>
  <si>
    <t>穿透</t>
  </si>
  <si>
    <t>吉良流</t>
  </si>
  <si>
    <t>破甲</t>
  </si>
  <si>
    <t>调息流</t>
  </si>
  <si>
    <t>永生</t>
  </si>
  <si>
    <t>宝藏院流</t>
  </si>
  <si>
    <t>枪术流派</t>
  </si>
  <si>
    <t>宝藏院流枪术的镰枪不但可以刺，更可以使出卷落、斩落、打落、擦入、叩落等立体和平面的技巧</t>
  </si>
  <si>
    <t>佐分利流</t>
  </si>
  <si>
    <t>正智流</t>
  </si>
  <si>
    <t>观通流</t>
  </si>
  <si>
    <t>楠流</t>
  </si>
  <si>
    <t>贯流</t>
  </si>
  <si>
    <t>当流</t>
  </si>
  <si>
    <t>本心镜智流</t>
  </si>
  <si>
    <t>武功离相流</t>
  </si>
  <si>
    <t>无边流</t>
  </si>
  <si>
    <t>中条流</t>
  </si>
  <si>
    <t>尽心流</t>
  </si>
  <si>
    <t>清坚流</t>
  </si>
  <si>
    <t>天真正流</t>
  </si>
  <si>
    <t>一空流</t>
  </si>
  <si>
    <t>风传流</t>
  </si>
  <si>
    <t>龟甲流</t>
  </si>
  <si>
    <t>真当流</t>
  </si>
  <si>
    <t>福泽流</t>
  </si>
  <si>
    <t>正二刀流</t>
  </si>
  <si>
    <t>剑术流派</t>
  </si>
  <si>
    <t>逆二刀流</t>
  </si>
  <si>
    <t>大太刀流</t>
  </si>
  <si>
    <t>二太刀流</t>
  </si>
  <si>
    <t>柳生新阴流</t>
  </si>
  <si>
    <t>小野一刀流</t>
  </si>
  <si>
    <t>北辰一刀流</t>
  </si>
  <si>
    <t>马庭念流</t>
  </si>
  <si>
    <t>鹿岛新当流</t>
  </si>
  <si>
    <t>东军流</t>
  </si>
  <si>
    <t>真影流</t>
  </si>
  <si>
    <t>直心影流</t>
  </si>
  <si>
    <t>神道无念流</t>
  </si>
  <si>
    <t>心形刀流</t>
  </si>
  <si>
    <t>柳刚流</t>
  </si>
  <si>
    <t>铁人实手流</t>
  </si>
  <si>
    <t>天流兵法</t>
  </si>
  <si>
    <t>玄流</t>
  </si>
  <si>
    <t>关流</t>
  </si>
  <si>
    <t>澄心流</t>
  </si>
  <si>
    <t>菅原本流</t>
  </si>
  <si>
    <t>柏木流</t>
  </si>
  <si>
    <t>宝山流</t>
  </si>
  <si>
    <t>神传流</t>
  </si>
  <si>
    <t>林崎流</t>
  </si>
  <si>
    <t>居合流派</t>
  </si>
  <si>
    <t>沟口流</t>
  </si>
  <si>
    <t>关口流</t>
  </si>
  <si>
    <t>田宫流</t>
  </si>
  <si>
    <t>影山流</t>
  </si>
  <si>
    <t>片山伯耆流</t>
  </si>
  <si>
    <t>无双直传英信流</t>
  </si>
  <si>
    <t>大森流</t>
  </si>
  <si>
    <t>近理三教流</t>
  </si>
  <si>
    <t>泷流</t>
  </si>
  <si>
    <t>双流</t>
  </si>
  <si>
    <t>无形流</t>
  </si>
  <si>
    <t>兴神流</t>
  </si>
  <si>
    <t>道坤多宫流</t>
  </si>
  <si>
    <t>圆心流</t>
  </si>
  <si>
    <t>鹿岛神道流</t>
  </si>
  <si>
    <t>柳生制刚流</t>
  </si>
  <si>
    <t>钟卷流</t>
  </si>
  <si>
    <t>转心流</t>
  </si>
  <si>
    <t>初实剑理方一流</t>
  </si>
  <si>
    <t>长顺流</t>
  </si>
  <si>
    <t>水泳流派</t>
  </si>
  <si>
    <t>小崛流</t>
  </si>
  <si>
    <t>八幡流</t>
  </si>
  <si>
    <t>冯夷流</t>
  </si>
  <si>
    <t>胜重流</t>
  </si>
  <si>
    <t>行辉流</t>
  </si>
  <si>
    <t>一的流</t>
  </si>
  <si>
    <t>函永流</t>
  </si>
  <si>
    <t>清记流</t>
  </si>
  <si>
    <t>向井流</t>
  </si>
  <si>
    <t>水府流</t>
  </si>
  <si>
    <t>观海流</t>
  </si>
  <si>
    <t>高松御当所流</t>
  </si>
  <si>
    <t>涉川流</t>
  </si>
  <si>
    <t>十手流派</t>
  </si>
  <si>
    <t>一角流</t>
  </si>
  <si>
    <t>柳生流</t>
  </si>
  <si>
    <t>无二流</t>
  </si>
  <si>
    <t>涩川流</t>
  </si>
  <si>
    <t>石尊真石流</t>
  </si>
  <si>
    <t>圣天一至流</t>
  </si>
  <si>
    <t>四心多久间见日流</t>
  </si>
  <si>
    <t>愿立流</t>
  </si>
  <si>
    <t>手里剑派</t>
  </si>
  <si>
    <t>根岸流</t>
  </si>
  <si>
    <t>八角流</t>
  </si>
  <si>
    <t>明府真影流</t>
  </si>
  <si>
    <t>水户传</t>
  </si>
  <si>
    <t>知新流</t>
  </si>
  <si>
    <t>止心流</t>
  </si>
  <si>
    <t>日下流</t>
  </si>
  <si>
    <t>平集流</t>
  </si>
  <si>
    <t>神道精武流</t>
  </si>
  <si>
    <t>讲武实用流</t>
  </si>
  <si>
    <t>薙刀流派</t>
  </si>
  <si>
    <t>杨心流</t>
  </si>
  <si>
    <t>常山流</t>
  </si>
  <si>
    <t>天流</t>
  </si>
  <si>
    <t>圆流</t>
  </si>
  <si>
    <t>静流</t>
  </si>
  <si>
    <t>寂影流</t>
  </si>
  <si>
    <t>心镜流</t>
  </si>
  <si>
    <t>香取流</t>
  </si>
  <si>
    <t>随变流</t>
  </si>
  <si>
    <t>先意流</t>
  </si>
  <si>
    <t>应心流</t>
  </si>
  <si>
    <t>户田派武甲流</t>
  </si>
  <si>
    <t>义经流</t>
  </si>
  <si>
    <t>肥后古流</t>
  </si>
  <si>
    <t>上田流</t>
  </si>
  <si>
    <t>月山流</t>
  </si>
  <si>
    <t>火铳铁炮</t>
  </si>
  <si>
    <t>阳流</t>
  </si>
  <si>
    <t>森重流</t>
  </si>
  <si>
    <t>武卫流</t>
  </si>
  <si>
    <t>一元流</t>
  </si>
  <si>
    <t>一贯流</t>
  </si>
  <si>
    <t>大成流</t>
  </si>
  <si>
    <t>太玄流</t>
  </si>
  <si>
    <t>西洋流</t>
  </si>
  <si>
    <t>长短反求流</t>
  </si>
  <si>
    <t>统一流</t>
  </si>
  <si>
    <t>不动流</t>
  </si>
  <si>
    <t>三国传东条流</t>
  </si>
  <si>
    <t>西洋神器流</t>
  </si>
  <si>
    <t>南蛮坚批流</t>
  </si>
  <si>
    <t>威远流</t>
  </si>
  <si>
    <t>极奇流</t>
  </si>
  <si>
    <t>新格流</t>
  </si>
  <si>
    <t>石桥流</t>
  </si>
  <si>
    <t>工我流</t>
  </si>
  <si>
    <t>云沉流</t>
  </si>
  <si>
    <t>唯心流</t>
  </si>
  <si>
    <t>上川流</t>
  </si>
  <si>
    <t>真田流</t>
  </si>
  <si>
    <t>智彻流</t>
  </si>
  <si>
    <t>高畑流</t>
  </si>
  <si>
    <t>中和流</t>
  </si>
  <si>
    <t>捕手搏缚</t>
  </si>
  <si>
    <t>户田流</t>
  </si>
  <si>
    <t>青柳流</t>
  </si>
  <si>
    <t>芝山流</t>
  </si>
  <si>
    <t>一传流</t>
  </si>
  <si>
    <t>至心流</t>
  </si>
  <si>
    <t>应变流</t>
  </si>
  <si>
    <t>不动梦想流</t>
  </si>
  <si>
    <t>禅家明传流</t>
  </si>
  <si>
    <t>竹之节流</t>
  </si>
  <si>
    <t>大东流</t>
  </si>
  <si>
    <t>寝技体术</t>
  </si>
  <si>
    <t>本体杨心流</t>
  </si>
  <si>
    <t>气乐流</t>
  </si>
  <si>
    <t>觉缘流</t>
  </si>
  <si>
    <t>柳心介胄流</t>
  </si>
  <si>
    <t>起倒流</t>
  </si>
  <si>
    <t>为势自得天真流</t>
  </si>
  <si>
    <t>真神道流</t>
  </si>
  <si>
    <t>天神真杨流</t>
  </si>
  <si>
    <t>神野心当流</t>
  </si>
  <si>
    <t>堤宝山流</t>
  </si>
  <si>
    <t>西方院武安流</t>
  </si>
  <si>
    <t>带刀流</t>
  </si>
  <si>
    <t>制刚流</t>
  </si>
  <si>
    <t>无想流</t>
  </si>
  <si>
    <t>心明活杀流</t>
  </si>
  <si>
    <t>日下真流</t>
  </si>
  <si>
    <t>为我流</t>
  </si>
  <si>
    <t>三和无敌流</t>
  </si>
  <si>
    <t>浅山一传流</t>
  </si>
  <si>
    <t>南蛮流</t>
  </si>
  <si>
    <t>川崎流</t>
  </si>
  <si>
    <t>万流</t>
  </si>
  <si>
    <t>诸赏流</t>
  </si>
  <si>
    <t>本觉克己流</t>
  </si>
  <si>
    <t>柳生心眼流</t>
  </si>
  <si>
    <t>扱心流</t>
  </si>
  <si>
    <t>大云流</t>
  </si>
  <si>
    <t>本体馗神澄水流</t>
  </si>
  <si>
    <t>九鬼神传</t>
  </si>
  <si>
    <t>心极流</t>
  </si>
  <si>
    <t>神道天真流</t>
  </si>
  <si>
    <t>天心古流</t>
  </si>
  <si>
    <t>一条不二流</t>
  </si>
  <si>
    <t>一至流</t>
  </si>
  <si>
    <t>柏宗流</t>
  </si>
  <si>
    <t>清刚玉心流</t>
  </si>
  <si>
    <t>柴田流</t>
  </si>
  <si>
    <t>四津井流</t>
  </si>
  <si>
    <t>诚玉小栗流</t>
  </si>
  <si>
    <t>条参流</t>
  </si>
  <si>
    <t>竹生岛流</t>
  </si>
  <si>
    <t>棒术长柄</t>
  </si>
  <si>
    <t>勘当流</t>
  </si>
  <si>
    <t>未明流</t>
  </si>
  <si>
    <t>强波流</t>
  </si>
  <si>
    <t>自神流</t>
  </si>
  <si>
    <t>神冈流</t>
  </si>
  <si>
    <t>户田金刚流</t>
  </si>
  <si>
    <t>正身流</t>
  </si>
  <si>
    <t>中飞流</t>
  </si>
  <si>
    <t>高轮名清流</t>
  </si>
  <si>
    <t>伊势流</t>
  </si>
  <si>
    <t>川上流</t>
  </si>
  <si>
    <t>白井流</t>
  </si>
  <si>
    <t>一直流</t>
  </si>
  <si>
    <t>神道梦想流</t>
  </si>
  <si>
    <t>杖术短棍</t>
  </si>
  <si>
    <t>鞍马神传随性流</t>
  </si>
  <si>
    <t>无比无敌流</t>
  </si>
  <si>
    <t>卜传流</t>
  </si>
  <si>
    <t>锁镰流派</t>
  </si>
  <si>
    <t>正木流</t>
  </si>
  <si>
    <t>山冈流</t>
  </si>
  <si>
    <t>大草流</t>
  </si>
  <si>
    <t>无极心流</t>
  </si>
  <si>
    <t>直犹心流</t>
  </si>
  <si>
    <t>心刀流</t>
  </si>
  <si>
    <t>二刀神影流</t>
  </si>
  <si>
    <t>名字</t>
  </si>
  <si>
    <t>宠物</t>
  </si>
  <si>
    <t>伙伴类型</t>
  </si>
  <si>
    <t>狗/家养</t>
  </si>
  <si>
    <t>驯兽类型</t>
  </si>
  <si>
    <t>信誉10</t>
  </si>
  <si>
    <t>小型*1</t>
  </si>
  <si>
    <t>攻击方式</t>
  </si>
  <si>
    <t>攻击频次</t>
  </si>
  <si>
    <t>次每回合</t>
  </si>
  <si>
    <t>成长次数</t>
  </si>
  <si>
    <t>信誉30</t>
  </si>
  <si>
    <t>中型*1，小型*1</t>
  </si>
  <si>
    <t>伤害+DB</t>
  </si>
  <si>
    <t>道具1</t>
  </si>
  <si>
    <t>信誉50</t>
  </si>
  <si>
    <t>中型*1，小型*3</t>
  </si>
  <si>
    <t>道具2</t>
  </si>
  <si>
    <t>信誉80</t>
  </si>
  <si>
    <t>大型*1，中型*3</t>
  </si>
  <si>
    <t>生命HP</t>
  </si>
  <si>
    <t>魔力MP</t>
  </si>
  <si>
    <t>道具3</t>
  </si>
  <si>
    <t>信誉90</t>
  </si>
  <si>
    <t>大型*2，中型*3</t>
  </si>
  <si>
    <t>理智san</t>
  </si>
  <si>
    <t>道具4</t>
  </si>
  <si>
    <t>当前信誉</t>
  </si>
  <si>
    <t>宠物栏</t>
  </si>
  <si>
    <t>成长记录</t>
  </si>
  <si>
    <t>例如：力量+0体质+0</t>
  </si>
  <si>
    <t>基础</t>
  </si>
  <si>
    <t>成长值</t>
  </si>
  <si>
    <t>成功</t>
  </si>
  <si>
    <t>困难</t>
  </si>
  <si>
    <t>极难</t>
  </si>
  <si>
    <t>成长上限</t>
  </si>
  <si>
    <t>突破极限</t>
  </si>
  <si>
    <t>基础闪避</t>
  </si>
  <si>
    <t>战技</t>
  </si>
  <si>
    <t>驯兽/召唤物性格</t>
  </si>
  <si>
    <t>默认反击</t>
  </si>
  <si>
    <t>虐杀</t>
  </si>
  <si>
    <t>优先选择杀死目标，拒绝非攻击指令</t>
  </si>
  <si>
    <t>嗜血</t>
  </si>
  <si>
    <t>优先攻击受伤的目标，拒绝非攻击指令</t>
  </si>
  <si>
    <t>追猎</t>
  </si>
  <si>
    <t>优先攻击远程和逃跑目标，闪避获得奖励骰</t>
  </si>
  <si>
    <t>简化导入</t>
  </si>
  <si>
    <t>自信</t>
  </si>
  <si>
    <t>优先攻击近战和高威胁目标，战斗获得奖励骰</t>
  </si>
  <si>
    <t>默认闪避</t>
  </si>
  <si>
    <t>冷静</t>
  </si>
  <si>
    <t>优先攻击低威胁目标，闪避获得奖励骰</t>
  </si>
  <si>
    <t>沮丧</t>
  </si>
  <si>
    <t>沮丧消极，攻击获得惩罚骰</t>
  </si>
  <si>
    <t>胆怯</t>
  </si>
  <si>
    <t>胆怯避战，闪避获得惩罚骰</t>
  </si>
  <si>
    <t>善良</t>
  </si>
  <si>
    <t>拒绝所有极端指令</t>
  </si>
  <si>
    <t>默认潜行</t>
  </si>
  <si>
    <t>所有非战斗技能获得奖励骰</t>
  </si>
  <si>
    <t>伏击</t>
  </si>
  <si>
    <t>必定先手，突袭获得奖励骰</t>
  </si>
  <si>
    <t>驯兽指挥大型动物时，默认获得一个惩罚骰</t>
  </si>
  <si>
    <t>驯兽指挥智力低于1/5驯兽的，获得一个惩罚骰</t>
  </si>
  <si>
    <t>动物的智力高于驯兽技能的，驯兽难度+1</t>
  </si>
  <si>
    <t>即使不使用驯兽指令，积极/消极的宠物依旧会凭借本能行动</t>
  </si>
  <si>
    <t>驯兽进行复杂的指令时，可能需要宠物智力对抗</t>
  </si>
  <si>
    <t>遇到神话生物/恐怖怪物，智力成功时，会丧失斗志甚至逃跑</t>
  </si>
  <si>
    <t>遇到神话生物/恐怖怪物，意志对抗抵挡特殊的法术效果</t>
  </si>
  <si>
    <t>任意技能成功/属性对抗成功时，幕间结团获得成长</t>
  </si>
  <si>
    <t>任意技能/属性出现大成功时，困难智力决定是否突破极限</t>
  </si>
  <si>
    <t>突破极限在【突破极限】+1d10</t>
  </si>
  <si>
    <t>宠物同样过体质决定受伤和濒死</t>
  </si>
  <si>
    <t>宠物受到过量伤害时，过幸运看是否有救，成功造成肢体残缺</t>
  </si>
  <si>
    <t>冷血动物大失败时会反咬一口 其他动物有的会叛变。</t>
  </si>
  <si>
    <t>完成冒险后，和调查员一样获得技能成长。</t>
  </si>
  <si>
    <t>属性对抗成功后，属性获得成长</t>
  </si>
  <si>
    <t>幕间或者冒险完成后，可以重新投掷性格</t>
  </si>
  <si>
    <t>濒死并体质成功后，可以重新投掷性格</t>
  </si>
  <si>
    <t>宠物死亡造成1d3理智损失，惨死于神话生物造成1d6理智损失。</t>
  </si>
  <si>
    <t>携带宠物时，结团幕间驯兽技能额外获得一次成长机会。</t>
  </si>
  <si>
    <t>携带大中型宠物时，信誉检定获得惩罚骰。</t>
  </si>
  <si>
    <t>携带大型宠物时，每日进行信誉检定，失败则忘记喂食。</t>
  </si>
  <si>
    <t>宠物饥饿时，食草动物会选择游荡觅食，食肉动物会变得嗜血。</t>
  </si>
  <si>
    <t>会计师</t>
  </si>
  <si>
    <t>杂技演员</t>
  </si>
  <si>
    <t>演员-戏剧演员</t>
  </si>
  <si>
    <t>演员-电影演员</t>
  </si>
  <si>
    <t>事务所侦探</t>
  </si>
  <si>
    <t>精神病医生（古典）</t>
  </si>
  <si>
    <t>动物训练师</t>
  </si>
  <si>
    <t>文物学家（原作向）</t>
  </si>
  <si>
    <t>古董商</t>
  </si>
  <si>
    <t>考古学家（原作向）</t>
  </si>
  <si>
    <t>建筑师</t>
  </si>
  <si>
    <t>艺术家</t>
  </si>
  <si>
    <t>精神病院看护</t>
  </si>
  <si>
    <t>运动员</t>
  </si>
  <si>
    <t>作家（原作向）</t>
  </si>
  <si>
    <t>酒保</t>
  </si>
  <si>
    <t>猎人</t>
  </si>
  <si>
    <t>书商</t>
  </si>
  <si>
    <t>赏金猎人</t>
  </si>
  <si>
    <t>拳击手、摔跤手</t>
  </si>
  <si>
    <t>管家、男仆、女仆</t>
  </si>
  <si>
    <t>神职人员</t>
  </si>
  <si>
    <t>程序员、电子工程师（现代）</t>
  </si>
  <si>
    <t>黑客/骇客（现代）</t>
  </si>
  <si>
    <t>牛仔</t>
  </si>
  <si>
    <t>工匠</t>
  </si>
  <si>
    <t>罪犯-刺客</t>
  </si>
  <si>
    <t>罪犯-银行劫匪</t>
  </si>
  <si>
    <t>罪犯-打手、暴徒</t>
  </si>
  <si>
    <t>罪犯-窃贼</t>
  </si>
  <si>
    <t>罪犯-欺诈师</t>
  </si>
  <si>
    <t>罪犯-独行罪犯</t>
  </si>
  <si>
    <t>罪犯-女飞贼（古典）</t>
  </si>
  <si>
    <t>罪犯-赃物贩子</t>
  </si>
  <si>
    <t>罪犯-赝造者</t>
  </si>
  <si>
    <t>罪犯-走私者</t>
  </si>
  <si>
    <t>罪犯-混混</t>
  </si>
  <si>
    <t>教团首领</t>
  </si>
  <si>
    <t>除魅师（现代）</t>
  </si>
  <si>
    <t>设计师</t>
  </si>
  <si>
    <t>业余艺术爱好者（原作向）</t>
  </si>
  <si>
    <t>潜水员</t>
  </si>
  <si>
    <t>医生（原作向）</t>
  </si>
  <si>
    <t>流浪者</t>
  </si>
  <si>
    <t>司机-私人司机</t>
  </si>
  <si>
    <t>司机-司机</t>
  </si>
  <si>
    <t>司机-出租车司机</t>
  </si>
  <si>
    <t>编辑</t>
  </si>
  <si>
    <t>政府官员</t>
  </si>
  <si>
    <t>工程师</t>
  </si>
  <si>
    <t>艺人</t>
  </si>
  <si>
    <t>探险家（古典）</t>
  </si>
  <si>
    <t>农民</t>
  </si>
  <si>
    <t>联邦探员</t>
  </si>
  <si>
    <t>消防员</t>
  </si>
  <si>
    <t>驻外记者</t>
  </si>
  <si>
    <t>法医</t>
  </si>
  <si>
    <t>赌徒</t>
  </si>
  <si>
    <t>黑帮-黑帮老大</t>
  </si>
  <si>
    <t>黑帮-马仔</t>
  </si>
  <si>
    <t>绅士、淑女</t>
  </si>
  <si>
    <t>游民</t>
  </si>
  <si>
    <t>勤杂护工</t>
  </si>
  <si>
    <t>记者(原作向)-调查记者</t>
  </si>
  <si>
    <t>记者(原作向)-通讯记者</t>
  </si>
  <si>
    <t>法官</t>
  </si>
  <si>
    <t>实验室助理</t>
  </si>
  <si>
    <t>非熟练工人</t>
  </si>
  <si>
    <t>工人-伐木工</t>
  </si>
  <si>
    <t>工人-矿工</t>
  </si>
  <si>
    <t>律师</t>
  </si>
  <si>
    <t>图书馆管理员（原作向）</t>
  </si>
  <si>
    <t>技师</t>
  </si>
  <si>
    <t>军官</t>
  </si>
  <si>
    <t>传教士</t>
  </si>
  <si>
    <t>登山家</t>
  </si>
  <si>
    <t>博物馆管理员</t>
  </si>
  <si>
    <t>音乐家</t>
  </si>
  <si>
    <t>护士</t>
  </si>
  <si>
    <t>神秘学家</t>
  </si>
  <si>
    <t>旅行家</t>
  </si>
  <si>
    <t>超心理学家</t>
  </si>
  <si>
    <t>药剂师</t>
  </si>
  <si>
    <t>摄影师-摄影师</t>
  </si>
  <si>
    <t>摄影师-摄影记者</t>
  </si>
  <si>
    <t>飞行员-飞行员</t>
  </si>
  <si>
    <t>飞行员-特技飞行员（古典）</t>
  </si>
  <si>
    <t>警方(原作向)-警探</t>
  </si>
  <si>
    <t>警方(原作向)-巡警</t>
  </si>
  <si>
    <t>私家侦探</t>
  </si>
  <si>
    <t>教授（原作向）</t>
  </si>
  <si>
    <t>淘金客</t>
  </si>
  <si>
    <t>性工作者</t>
  </si>
  <si>
    <t>精神病学家</t>
  </si>
  <si>
    <t>心理学家、精神分析学家</t>
  </si>
  <si>
    <t>研究员</t>
  </si>
  <si>
    <t>海员-军舰海员</t>
  </si>
  <si>
    <t>海员-民船海员</t>
  </si>
  <si>
    <t>推销员</t>
  </si>
  <si>
    <t>科学家</t>
  </si>
  <si>
    <t>秘书</t>
  </si>
  <si>
    <t>店老板</t>
  </si>
  <si>
    <t>士兵、海军陆战队士兵</t>
  </si>
  <si>
    <t>间谍</t>
  </si>
  <si>
    <t>学生、实习生</t>
  </si>
  <si>
    <t>替身演员</t>
  </si>
  <si>
    <t>部落成员</t>
  </si>
  <si>
    <t>殡葬师</t>
  </si>
  <si>
    <t>工会活动家</t>
  </si>
  <si>
    <t>服务生</t>
  </si>
  <si>
    <t>白领工人-职员、主管</t>
  </si>
  <si>
    <t>白领工人-中高层管理人员</t>
  </si>
  <si>
    <t>狂热者</t>
  </si>
  <si>
    <t>饲养员</t>
  </si>
  <si>
    <t>大使</t>
  </si>
  <si>
    <t>运动员（游泳/潜水）</t>
  </si>
  <si>
    <t>运动员（高尔夫）</t>
  </si>
  <si>
    <t>运动员（网球）</t>
  </si>
  <si>
    <t>运动员（田径）</t>
  </si>
  <si>
    <t>发言人</t>
  </si>
  <si>
    <t>保释担保人</t>
  </si>
  <si>
    <t>神职人员(天主教牧师)</t>
  </si>
  <si>
    <t>神职人员(新教牧师)</t>
  </si>
  <si>
    <t>神职人员(犹太教拉比)</t>
  </si>
  <si>
    <t>专栏作家</t>
  </si>
  <si>
    <t>社会主义者/激进主义者</t>
  </si>
  <si>
    <t>撰稿人</t>
  </si>
  <si>
    <t>罪犯（赌博庄家）</t>
  </si>
  <si>
    <t>罪犯（放高利贷者）</t>
  </si>
  <si>
    <t>罪犯（扒手）</t>
  </si>
  <si>
    <t>罪犯（地下钱庄）</t>
  </si>
  <si>
    <t>罪犯（黑律师）</t>
  </si>
  <si>
    <t>牙医</t>
  </si>
  <si>
    <t>外科医生/内科医生</t>
  </si>
  <si>
    <t>整形医生</t>
  </si>
  <si>
    <t>司机-公交司机</t>
  </si>
  <si>
    <t>实地调研员</t>
  </si>
  <si>
    <t>电影摄制人员</t>
  </si>
  <si>
    <t>司法家</t>
  </si>
  <si>
    <t>运动经理</t>
  </si>
  <si>
    <t>商船队船员</t>
  </si>
  <si>
    <t>古典音乐家</t>
  </si>
  <si>
    <t>赛车手/赛艇手</t>
  </si>
  <si>
    <t>电台播音员</t>
  </si>
  <si>
    <t>推销员（圣经推销员）</t>
  </si>
  <si>
    <t>推销员（旅行推销员）</t>
  </si>
  <si>
    <t>小企业家</t>
  </si>
  <si>
    <t>舞台工作人员</t>
  </si>
  <si>
    <t>证券经纪人</t>
  </si>
  <si>
    <t>勘测员</t>
  </si>
  <si>
    <t>电话接线员</t>
  </si>
  <si>
    <t>星探</t>
  </si>
  <si>
    <t>医疗技术员</t>
  </si>
  <si>
    <t>队医</t>
  </si>
  <si>
    <t>寻宝猎人</t>
  </si>
  <si>
    <t>西部治安官</t>
  </si>
  <si>
    <t>神职人员(和尚,尼姑)</t>
  </si>
  <si>
    <t>神职人员(神官,巫女)</t>
  </si>
  <si>
    <t>风水师</t>
  </si>
  <si>
    <t>家传降妖人</t>
  </si>
  <si>
    <t>高中生(教育60以下)</t>
  </si>
  <si>
    <t>市子（盲人）</t>
  </si>
  <si>
    <t>言灵师/阴阳师</t>
  </si>
  <si>
    <t>炼丹师</t>
  </si>
  <si>
    <t>外语教师</t>
  </si>
  <si>
    <t>非法移民</t>
  </si>
  <si>
    <t>相扑力士(SIZ&gt;80,STR&gt;70)</t>
  </si>
  <si>
    <t>渔民</t>
  </si>
  <si>
    <t>心理治疗师</t>
  </si>
  <si>
    <t>女学生</t>
  </si>
  <si>
    <t>寄居学生</t>
  </si>
  <si>
    <t>动物辅助治疗师</t>
  </si>
  <si>
    <t>急诊医生/救援队员</t>
  </si>
  <si>
    <t>密医</t>
  </si>
  <si>
    <t>科学搜查研究员</t>
  </si>
  <si>
    <t>山岳救援队员</t>
  </si>
  <si>
    <t>舞者</t>
  </si>
  <si>
    <t>服装设计师</t>
  </si>
  <si>
    <t>海上自卫队员</t>
  </si>
  <si>
    <t>海警</t>
  </si>
  <si>
    <t>陆上自卫队员</t>
  </si>
  <si>
    <t>私人军事公司成员</t>
  </si>
  <si>
    <t>冒险家教授</t>
  </si>
  <si>
    <t>评论家</t>
  </si>
  <si>
    <t>偶像</t>
  </si>
  <si>
    <t>歌手</t>
  </si>
  <si>
    <t>搞笑艺人</t>
  </si>
  <si>
    <t>运动员艺人</t>
  </si>
  <si>
    <t>播音员</t>
  </si>
  <si>
    <t>主持人</t>
  </si>
  <si>
    <t>电视解说员</t>
  </si>
  <si>
    <t>网络明星</t>
  </si>
  <si>
    <t>经纪人</t>
  </si>
  <si>
    <t>捉鬼人</t>
  </si>
  <si>
    <t>占卜师、灵媒师</t>
  </si>
  <si>
    <t>机械师</t>
  </si>
  <si>
    <t>厨师</t>
  </si>
  <si>
    <t>网络犯罪者</t>
  </si>
  <si>
    <t>佣兵</t>
  </si>
  <si>
    <t>自宅警备员</t>
  </si>
  <si>
    <t>壮汉保镖</t>
  </si>
  <si>
    <t>游戏测试员</t>
  </si>
  <si>
    <t>交际花</t>
  </si>
  <si>
    <t>考古学家</t>
  </si>
  <si>
    <t>贵族</t>
  </si>
  <si>
    <t>作家</t>
  </si>
  <si>
    <t>马车夫</t>
  </si>
  <si>
    <t>牧师</t>
  </si>
  <si>
    <t>咨询侦探</t>
  </si>
  <si>
    <t>罪犯</t>
  </si>
  <si>
    <t>业余艺术爱好者</t>
  </si>
  <si>
    <t>退役军官</t>
  </si>
  <si>
    <t>探险家</t>
  </si>
  <si>
    <t>记者</t>
  </si>
  <si>
    <t>劳工</t>
  </si>
  <si>
    <t>医生</t>
  </si>
  <si>
    <t>警察</t>
  </si>
  <si>
    <t>教授/学者</t>
  </si>
  <si>
    <t>佣人</t>
  </si>
  <si>
    <t>店主</t>
  </si>
  <si>
    <t>士兵</t>
  </si>
  <si>
    <t>密探</t>
  </si>
  <si>
    <t>AI伦理审计师</t>
  </si>
  <si>
    <t>医疗陪诊师</t>
  </si>
  <si>
    <t>品牌鉴定师</t>
  </si>
  <si>
    <t>无人机检修工</t>
  </si>
  <si>
    <t>旅拍摄影师</t>
  </si>
  <si>
    <t>动物训养师</t>
  </si>
  <si>
    <t>森林消防员</t>
  </si>
  <si>
    <t>健康管理师</t>
  </si>
  <si>
    <t>版权经纪人</t>
  </si>
  <si>
    <t>电池测试员</t>
  </si>
  <si>
    <t>食品研究员</t>
  </si>
  <si>
    <t>畜牧业中介</t>
  </si>
  <si>
    <t>AI系统工程师</t>
  </si>
  <si>
    <t>非遗传承人</t>
  </si>
  <si>
    <t>农场技术员</t>
  </si>
  <si>
    <t>灾后搜救员</t>
  </si>
  <si>
    <t>音效设计师</t>
  </si>
  <si>
    <t>大数据侦探</t>
  </si>
  <si>
    <t>天体星空导游</t>
  </si>
  <si>
    <t>遗体修复师</t>
  </si>
  <si>
    <t>网红流量明星</t>
  </si>
  <si>
    <t>电竞解说员</t>
  </si>
  <si>
    <t>宠物殡葬师</t>
  </si>
  <si>
    <t>死亡设计师</t>
  </si>
  <si>
    <t>智能驯兽师</t>
  </si>
  <si>
    <t>犯罪侧写师</t>
  </si>
  <si>
    <t>冲突调解员</t>
  </si>
  <si>
    <t>水下焊接工</t>
  </si>
  <si>
    <t>模型制作师</t>
  </si>
  <si>
    <t>无人机驾驶员</t>
  </si>
  <si>
    <t>电磁轨道检修工</t>
  </si>
  <si>
    <t>虚拟偶像经纪人</t>
  </si>
  <si>
    <t>植物培育园丁</t>
  </si>
  <si>
    <t>灯光艺术导演</t>
  </si>
  <si>
    <t>野生动物保育员</t>
  </si>
  <si>
    <t>隧道探伤检修工</t>
  </si>
  <si>
    <t>核实验工程师</t>
  </si>
  <si>
    <t>核废料清理工</t>
  </si>
  <si>
    <t>文物追索律师</t>
  </si>
  <si>
    <t>机器人训练师</t>
  </si>
  <si>
    <t>太空旅行顾问</t>
  </si>
  <si>
    <t>空间站研究员</t>
  </si>
  <si>
    <t>宇宙航天员</t>
  </si>
  <si>
    <t>古文物修复师</t>
  </si>
  <si>
    <t>虚拟法庭记录员</t>
  </si>
  <si>
    <t>巡检法庭法官</t>
  </si>
  <si>
    <t>膳食营养师</t>
  </si>
  <si>
    <t>高空清洁工</t>
  </si>
  <si>
    <t>场景道具师</t>
  </si>
  <si>
    <t>干细胞制备员</t>
  </si>
  <si>
    <t>基因培育工程师</t>
  </si>
  <si>
    <t>量子编程顾问</t>
  </si>
  <si>
    <t>动物社群管理员</t>
  </si>
  <si>
    <t>脑机接口训练师</t>
  </si>
  <si>
    <t>宝石分析师</t>
  </si>
  <si>
    <t>音乐治疗师</t>
  </si>
  <si>
    <t>元宇宙设计师</t>
  </si>
  <si>
    <t>高压电缆检修员</t>
  </si>
  <si>
    <t>桌游主持人</t>
  </si>
  <si>
    <t>遗迹扫描工程师</t>
  </si>
  <si>
    <t>电子竞技仲裁员</t>
  </si>
  <si>
    <t>仿生义肢制作员</t>
  </si>
  <si>
    <t>太空零重力厨师</t>
  </si>
  <si>
    <t>生物安全认证师</t>
  </si>
  <si>
    <t>传统工艺复原师</t>
  </si>
  <si>
    <t>AI模型训练师</t>
  </si>
  <si>
    <t>极地生存向导</t>
  </si>
  <si>
    <t>特搜鉴证专员</t>
  </si>
  <si>
    <t>无障碍交流师</t>
  </si>
  <si>
    <t>灾害监测播报员</t>
  </si>
  <si>
    <t>实验风洞测试员</t>
  </si>
  <si>
    <t>分子料理厨师</t>
  </si>
  <si>
    <t>新材料研究员</t>
  </si>
  <si>
    <t>危机公关策略师</t>
  </si>
  <si>
    <t>机场驱鸟员</t>
  </si>
  <si>
    <t>太空垃圾回收员</t>
  </si>
  <si>
    <t>太空建筑设计师</t>
  </si>
  <si>
    <t>温泉疗养调配师</t>
  </si>
  <si>
    <t>地球生态观测员</t>
  </si>
  <si>
    <t>基因健康顾问</t>
  </si>
  <si>
    <t>跨境商品代购</t>
  </si>
  <si>
    <t>AI集群调度员</t>
  </si>
  <si>
    <t>物流配送员</t>
  </si>
  <si>
    <t>陪玩服务员</t>
  </si>
  <si>
    <t>租借男/女友</t>
  </si>
  <si>
    <t>网络职业评论员</t>
  </si>
  <si>
    <t>人形广告牌</t>
  </si>
  <si>
    <t>网络情感师</t>
  </si>
  <si>
    <t>军事评论员</t>
  </si>
  <si>
    <t>武器设计师</t>
  </si>
  <si>
    <t>甲板清洁工</t>
  </si>
  <si>
    <t>航母指挥官</t>
  </si>
  <si>
    <t>炮弹装填员</t>
  </si>
  <si>
    <t>装甲驾驶员</t>
  </si>
  <si>
    <t>地勤机修师</t>
  </si>
  <si>
    <t>战斗飞行员</t>
  </si>
  <si>
    <t>射击观察员</t>
  </si>
  <si>
    <t>战地医疗兵</t>
  </si>
  <si>
    <t>星舰操作员</t>
  </si>
  <si>
    <t>星舰领航员</t>
  </si>
  <si>
    <t>在轨工程师</t>
  </si>
  <si>
    <t>星际外交官</t>
  </si>
  <si>
    <t>星域管理员</t>
  </si>
  <si>
    <t>便利店员工</t>
  </si>
  <si>
    <t>快递配送员</t>
  </si>
  <si>
    <t>房屋管理师</t>
  </si>
  <si>
    <t>搬家规划师</t>
  </si>
  <si>
    <t>农业指导员</t>
  </si>
  <si>
    <t>虚拟VB主播</t>
  </si>
  <si>
    <t>游戏运营客服</t>
  </si>
  <si>
    <t>游戏指导教练</t>
  </si>
  <si>
    <t>游戏职业选手</t>
  </si>
  <si>
    <t>游戏解说员</t>
  </si>
  <si>
    <t>无人机摄影师</t>
  </si>
  <si>
    <t>网络删除专家</t>
  </si>
  <si>
    <t>数字遗产整理师</t>
  </si>
  <si>
    <t>网络维修工</t>
  </si>
  <si>
    <t>御宅活动策划</t>
  </si>
  <si>
    <t>非遗文化主播</t>
  </si>
  <si>
    <t>寺庙神社运营</t>
  </si>
  <si>
    <t>古法养生专家</t>
  </si>
  <si>
    <t>职业品酒师</t>
  </si>
  <si>
    <t>应援团策划</t>
  </si>
  <si>
    <t>消防安全顾问</t>
  </si>
  <si>
    <t>生物防治专员</t>
  </si>
  <si>
    <t>宿舍管理员</t>
  </si>
  <si>
    <t>防灾减害指导</t>
  </si>
  <si>
    <t>婚礼活动策划</t>
  </si>
  <si>
    <t>乐器调律师</t>
  </si>
  <si>
    <t>医疗陪同员</t>
  </si>
  <si>
    <t>手工艺匠人</t>
  </si>
  <si>
    <t>垃圾回收员</t>
  </si>
  <si>
    <t>建筑修缮师</t>
  </si>
  <si>
    <t>现代船舶长</t>
  </si>
  <si>
    <t>工业程序员</t>
  </si>
  <si>
    <t>土地测量士</t>
  </si>
  <si>
    <t>环卫清洁工</t>
  </si>
  <si>
    <t>☆</t>
  </si>
  <si>
    <t>⊙</t>
  </si>
  <si>
    <t>☯</t>
  </si>
  <si>
    <t>※</t>
  </si>
  <si>
    <t>文学</t>
  </si>
  <si>
    <t>演☆</t>
  </si>
  <si>
    <t>表</t>
  </si>
  <si>
    <t>摄影☆</t>
  </si>
  <si>
    <t>乐器</t>
  </si>
  <si>
    <t>驯养</t>
  </si>
  <si>
    <t>游戏</t>
  </si>
  <si>
    <t>演</t>
  </si>
  <si>
    <t>艺☆</t>
  </si>
  <si>
    <t>字☆</t>
  </si>
  <si>
    <t>喜剧</t>
  </si>
  <si>
    <t>焊接</t>
  </si>
  <si>
    <t>类</t>
  </si>
  <si>
    <t>记☆</t>
  </si>
  <si>
    <t>管道</t>
  </si>
  <si>
    <t>链锯</t>
  </si>
  <si>
    <t>步/霰</t>
  </si>
  <si>
    <t>霰弹</t>
  </si>
  <si>
    <t>来复</t>
  </si>
  <si>
    <t>拉丁</t>
  </si>
  <si>
    <t>置换</t>
  </si>
  <si>
    <t>希伯来</t>
  </si>
  <si>
    <t>欧洲</t>
  </si>
  <si>
    <t>飞行</t>
  </si>
  <si>
    <t>艇船球</t>
  </si>
  <si>
    <t>生物</t>
  </si>
  <si>
    <t>动物</t>
  </si>
  <si>
    <t>工程</t>
  </si>
  <si>
    <t>生物☆</t>
  </si>
  <si>
    <t>地质</t>
  </si>
  <si>
    <t>天文</t>
  </si>
  <si>
    <t>物理</t>
  </si>
  <si>
    <t>植物</t>
  </si>
  <si>
    <t>司法</t>
  </si>
  <si>
    <t>植☆</t>
  </si>
  <si>
    <t>制药</t>
  </si>
  <si>
    <t>地理</t>
  </si>
  <si>
    <t>山</t>
  </si>
  <si>
    <t>海上</t>
  </si>
  <si>
    <t>海</t>
  </si>
  <si>
    <t>遥视</t>
  </si>
  <si>
    <t>占卜</t>
  </si>
  <si>
    <t>灵媒</t>
  </si>
  <si>
    <t>附身</t>
  </si>
  <si>
    <t>念动力</t>
  </si>
  <si>
    <t>心灵感应</t>
  </si>
  <si>
    <t>序号</t>
  </si>
  <si>
    <t>职业属性</t>
  </si>
  <si>
    <t>技能点</t>
  </si>
  <si>
    <t>本职技能</t>
  </si>
  <si>
    <t>推荐关系人</t>
  </si>
  <si>
    <t>未设定</t>
  </si>
  <si>
    <t>右侧下拉框选择自定义职业技能与属性
（excel2007及以下不适用）</t>
  </si>
  <si>
    <t>自定义职业本职技能</t>
  </si>
  <si>
    <t>列出一些角色在职业工作中可能接触的个人或组织,它们也可以为调查员的个人背景提供灵感。</t>
  </si>
  <si>
    <t>不多于7个本职技能。
在职业属性中输入第二职业属性的名字（如外貌、意志、教育、敏捷、力量、体质、体型，留空则视为EDU）并自行设置起始信誉。使用自定义职业前，请先咨询你的KP</t>
  </si>
  <si>
    <t>30-70</t>
  </si>
  <si>
    <r>
      <rPr>
        <sz val="11"/>
        <color rgb="FF000000"/>
        <rFont val="微软雅黑 Light"/>
        <charset val="134"/>
      </rPr>
      <t>教育×</t>
    </r>
    <r>
      <rPr>
        <sz val="11"/>
        <color indexed="8"/>
        <rFont val="微软雅黑 Light"/>
        <charset val="134"/>
      </rPr>
      <t>4</t>
    </r>
  </si>
  <si>
    <t>会计，法律，图书馆，聆听，说服，侦查，任意其他两项个人或时代特长。</t>
  </si>
  <si>
    <t>生意伙伴，法律界，金融业界(银行，其他会计师)。</t>
  </si>
  <si>
    <t>会计师可能在企业工作或作为自由会计师，为个体经营者和企业客户担任顾问。
他们是优秀的研究者，既勤奋又关注细节，能够通过仔细分析个人和企业事务历史记录、财务报表和其他记录支持其他调查员。</t>
  </si>
  <si>
    <t>9-20</t>
  </si>
  <si>
    <r>
      <rPr>
        <sz val="11"/>
        <color rgb="FF000000"/>
        <rFont val="微软雅黑 Light"/>
        <charset val="134"/>
      </rPr>
      <t>教育×</t>
    </r>
    <r>
      <rPr>
        <sz val="11"/>
        <color rgb="FF000000"/>
        <rFont val="微软雅黑 Light"/>
        <charset val="134"/>
      </rPr>
      <t>2＋敏捷×2</t>
    </r>
  </si>
  <si>
    <t>攀爬，闪避，跳跃，投掷，侦查，游泳，任意两项其他个人或时代特长。</t>
  </si>
  <si>
    <t>业余运动员圈，体育专栏作家，马戏团，嘉年华管理者。</t>
  </si>
  <si>
    <t>杂技演员可能是参加各级比赛(甚至奥运会)的业余运动员，也可能是专业的演员，在马戏团、嘉年华、歌舞团之类的地方作为娱乐业从业者工作。</t>
  </si>
  <si>
    <t>9-40</t>
  </si>
  <si>
    <t>教育×2＋外貌×2</t>
  </si>
  <si>
    <t>技艺（表演），乔装，格斗，历史，两项社交技能（取悦、话术、恐吓、说服），心理学，任意一项其他个人或时代特长。</t>
  </si>
  <si>
    <t>戏剧产业，报刊艺术批评家，演员公会。</t>
  </si>
  <si>
    <t>一般指舞台剧演员和电影演员。许多演员有相当深厚的文化素养，认为自己才是“正统”的，倾向于轻视电影业的商业活动。直到20 世纪后期电影业的地位提高，电影演员的薪酬增加，这种情况才发生改变。
电影业和电影明星一直是世界人民关注的焦点。许多明星一夜成名，在媒体的聚光灯下过着光鲜亮丽的生活。
在1920 年代，虽然全国都有大型剧院，美国的戏剧中心仍然是纽约城。英国的情况与之相近，戏剧的中心在伦敦，其他的剧团则在各郡作巡回演出。巡回剧团乘火车旅行，演出内容既包括新编剧目，也包括莎士比亚和其他人的传统剧目。有些剧团也会花时间去国外采风，通常是去加拿大、夏威夷、澳大利亚和欧洲大陆。
20 年代后期出现了有声电影，不少默片时代的明星难以适应有声电影的冲击，挥舞手臂的夸张扮演从此让位给了细致入微的角色特写。这段时间前期的明星包括约翰·加菲尔德和弗兰西斯·布什曼，后期则是贾莱·库珀和琼·克劳馥。</t>
  </si>
  <si>
    <t>20-90</t>
  </si>
  <si>
    <t>技艺（表演），乔装，汽车驾驶，两项社交技能（取悦、话术、恐吓、说服），心理学，任意两项其他个人或时代特长（如骑乘或格斗）。</t>
  </si>
  <si>
    <t>电影工作室，媒体评论员，作家。</t>
  </si>
  <si>
    <t>事务所侦探、保安</t>
  </si>
  <si>
    <t>20-45</t>
  </si>
  <si>
    <t>教育×2＋力量或敏捷×2</t>
  </si>
  <si>
    <t>一项社交技能（取悦、话术、恐吓、说服），格斗（斗殴），射击，法律，图书馆，心理学，潜行，追踪。</t>
  </si>
  <si>
    <t>本地执法机构，客户。</t>
  </si>
  <si>
    <t>世界上有许多著名的侦探机构，其中最著名的是平克顿和伯恩斯调查局(后来合并成一家公司)。这样的公司一般有两类工作人员：安保人员和调查人员。
企业或个人雇用安保人员来保护自己的资产和人员免受盗贼、刺客和绑匪的威胁。这些安保人员角色使用巡警的职业模板。调查人员则是便衣侦探，负责为公司客户解决各种异常事件、阻止谋杀事件、寻找失踪的人员等等。</t>
  </si>
  <si>
    <t>10-60</t>
  </si>
  <si>
    <t>教育×4</t>
  </si>
  <si>
    <t>法律，聆听，医学，外语，精神分析，心理学，科学（生物学，化学）。</t>
  </si>
  <si>
    <t>其他精神疾病研究者，医生，有时还有执法机构的侦探。</t>
  </si>
  <si>
    <t>在1920 年代，“精神病医生”这个词专用来称呼治疗精神失常的医生(也就是早期的精神科医生)。精神分析在当时的美国鲜为人知，而且它的基本内容都是性生活和如厕训练之类令大众不齿的东西。精神病学，一种正规的从行为主义发展来的医学理论则要普及得多。精神病医生、精神科医生和神经科医生还经常爆发激烈的论战。</t>
  </si>
  <si>
    <t>10-40</t>
  </si>
  <si>
    <t>教育×2＋外貌或意志×2</t>
  </si>
  <si>
    <t>跳跃，聆听，自然，心理学，科学（动物学），潜行，追踪，任意一项其他个人或时代特长。</t>
  </si>
  <si>
    <t>动物园，马戏团，赞助人，演员。</t>
  </si>
  <si>
    <t>动物训练师可能在电影工作室、巡回马戏团、马厩工作或自由工作。不管是训练导盲犬、狮子钻火圈，他们工作时基本要独自一人长时间近距离地照看这些动物。动物训练师可以像对人一样对动物使用「心理学」技能。</t>
  </si>
  <si>
    <t>估价，技艺（任一），历史，图书馆，外语，一项社交技能（取悦、话术、恐吓、说服），侦查，任意一项其他个人或时代特长。</t>
  </si>
  <si>
    <t>任意特长数</t>
  </si>
  <si>
    <t>书商，古董收藏者，历史研究学会。</t>
  </si>
  <si>
    <t>文物学家也许是调查员可以从事的最具有洛夫克拉夫特风格的职业：那些历久弥新的的卓越作品、湮没在古代传说中的神奇力量，总能使他们乐在其中。独立的收入使文物学家能够研究古旧晦涩的文物，或者根据自己的兴趣爱好集中探寻特别的种类。他们通常有着欣赏的眼光、敏锐的头脑，和讽刺无知、自大、贪婪者的愚蠢时尖酸刻薄的幽默。</t>
  </si>
  <si>
    <t>30-50</t>
  </si>
  <si>
    <t>会计，估价，汽车驾驶，两项社交技能（取悦、话术、恐吓、说服），历史，图书馆，导航。</t>
  </si>
  <si>
    <t>本地的历史学家，其他古董商，可能还包括赝造师。</t>
  </si>
  <si>
    <t>古董商通常自己开店，从自己所在的地方转卖物品，或继续扩展业务范围，通过倒卖物品到城市商店赚取利润。</t>
  </si>
  <si>
    <t>估价，考古，历史，外语，图书馆，侦查，机械维修，导航或科学（任一：如化学、物理、地理等）。</t>
  </si>
  <si>
    <t>赞助人，博物馆，大学。</t>
  </si>
  <si>
    <t>考古学家研究探索历史的痕迹。主要来说，是对人类历史相关的物质数据进行各种鉴识、检查、分析。这项工作包含辛苦细致的研究，更不必提情愿亲自下斗铲土的决心。
在1920 年代，成功的考古学家会被当成著名冒险家与探险家，名利双收。有人运用科学方法考古，不过更多的人对付老祖宗的秘密时喜好暴力破解的办法，甚至祭出炸药，这种碉堡了的办法现代人可是很难看得惯的。</t>
  </si>
  <si>
    <t>会计，技艺（技术制图），法律，母语，计算机或图书馆，说服，心理学，科学（数学）。</t>
  </si>
  <si>
    <t>是否使用</t>
  </si>
  <si>
    <t>本地建设和城市规划部门，建筑公司。</t>
  </si>
  <si>
    <t>建筑师掌握设计和营造建筑的知识，不论是个人房屋的改造还是造价数百万美元的地标工程。建筑师与项目经理紧密合作，负责监督施工全程。建筑师必须了解当地的规划法律，健康和安全法规，和基础的公众安全原则。他们既可以在大公司工作，也可以自由工作，这在很大程度上取决于信誉。
在1920 年代，许多人尝试在自家或小办公室单干。不过他们苦心创造的宏伟设计很少能卖得出去。
建筑师也可能专擅某一学科，比如军事建筑或景观工程等。</t>
  </si>
  <si>
    <t>9-50</t>
  </si>
  <si>
    <t>教育×2＋敏捷或意志×2</t>
  </si>
  <si>
    <t>技艺（任一），历史或自然，一项社交技能（取悦、话术、恐吓、说服），外语，心理学，侦查，任意两项其他个人或时代特长。</t>
  </si>
  <si>
    <t>美术馆，美术批评家，富有的赞助人，广告业者。</t>
  </si>
  <si>
    <t>艺术家在这里可以是画家，雕塑家等等。他们有时沈浸于自己虚幻的想象当中，有时又沐浴在激发热情和理解的灵感之下。不论是否天资优秀，艺术家的内心必须足够强大，这样才能战胜生涯起步时的障碍和挑剔的眼光，并且在自己小有名气以后继续努力。有些艺术家对物质生活是否丰富并不在乎，而有些则有着强烈的创业倾向。</t>
  </si>
  <si>
    <t>8-20</t>
  </si>
  <si>
    <t>闪避，格斗（斗殴），急救，两项社交技能（取悦、话术、恐吓、说服），聆听，心理学，潜行。</t>
  </si>
  <si>
    <t>医护人员，患者和患者家属。允许接触医疗记录、药品或其他医疗用品。</t>
  </si>
  <si>
    <t>尽管少数富有的人会选择私人疗养院，大多精神病患者最终会被安置到州县设置的定点医院。这些地方除了医生护士以外，还会有一支看护队伍。选聘看护的时候，力量和体格往往比医学知识更被看重。</t>
  </si>
  <si>
    <t>9-70</t>
  </si>
  <si>
    <t>攀爬，跳跃，格斗（斗殴），骑乘，一项社交技能（取悦、话术、恐吓、说服），游泳，投掷，任意一项其他个人或时代特长。</t>
  </si>
  <si>
    <t>体育界，体育专栏作家，其他明星。</t>
  </si>
  <si>
    <t>运动员可能效力于职业的棒球、足球、板球或者篮球队伍。这支队伍也许是大联盟队伍，有着稳定工资，参加的比赛万人瞩目；或者是众多小联盟队伍之一，尤其是在1920 年代的棒球界。这些队伍往往寄于大联盟队伍篱下，各方面都受其管理，工资更是刚够运动员糊口又不至于让他们跳槽的水平。
成功的运动员在自己的专业领域会拥有相当的声誉——现今尤其如此，在世界各地都能看到体育明星和电影明星并肩站在红地毯上的场景。</t>
  </si>
  <si>
    <t>9-30</t>
  </si>
  <si>
    <t>技艺（文学），历史，图书馆，自然或神秘学，外语，母语，心理学，任意一项其他个人或时代特长。</t>
  </si>
  <si>
    <t>出版社，文学评论家，历史学家等。</t>
  </si>
  <si>
    <t>作家不同于记者，他们用文字定义和探讨人们的社会生活，尤其是人们的情感变化。他们的劳动通常孤立而又自我中心：虽然以前写作是个能稳拿工资的行当，但如今只靠写作发大财的人屈指可数。
作家的工作习惯相差极大。通常作家们会花费数月乃至数年的时间调查取材，为新书的创作做准备；然后闭门谢客，投入紧张的创作。</t>
  </si>
  <si>
    <t>8-25</t>
  </si>
  <si>
    <t>会计，两项社交技能（取悦、话术、恐吓、说服），格斗（斗殴），聆听，心理学，侦查，任意一项其他个人或时代特长。</t>
  </si>
  <si>
    <t>常客，可能有犯罪组织。</t>
  </si>
  <si>
    <t>酒保虽然不一定是酒吧的掌柜，却一定是所有客人的朋友。对客人们的好声气，一部分来说是出于他们的职业或者业务，而更多的来说则是达到目的的一种手段。
1920 年代，由于禁酒令的存在，酒保变成了非法的职业；但是遍地开花的黑酒吧又不能没有酒保，结果就是酒保仍然不愁找不到活干。</t>
  </si>
  <si>
    <t>20-50</t>
  </si>
  <si>
    <t>射击，聆听或侦查，自然，导航，外语或生存（任一），科学（生物学或植物学），潜行，追踪。</t>
  </si>
  <si>
    <t>外国政府官员，狩猎监管人员，前客户(大多很有钱)，黑市商人与黑社会，动物园主。</t>
  </si>
  <si>
    <t>猎人是优秀的追踪者和狩猎者，通常靠为富裕的客户捕猎为生。绝大多数猎人会对地球上某一个部分的情况烂熟于心，比如加拿大森林、非洲草原等等。有些人可能从事盗猎活动，例如为私人收藏家捕捉珍稀动物，或者贩卖受保护的动物和违反道德的动物制品，如兽皮、象牙之类——虽然1920 年代大多数国家这些活动都不算违法。
尽管“王牌猎人”是最典型的类型，不过在加拿大育空的深山老林里打驼鹿和熊为生的土著人也可以算是猎人。</t>
  </si>
  <si>
    <t>20-40</t>
  </si>
  <si>
    <t>会计，估价，汽车驾驶，历史，图书馆，母语，外语，一项社交技能（取悦、话术、恐吓、说服）。</t>
  </si>
  <si>
    <t>√</t>
  </si>
  <si>
    <t>目录学家、其他书商、图书馆和大学、客户。</t>
  </si>
  <si>
    <t>书商可能拥有自己的店面或者利基(小众)邮购服务，也可能辗转全国甚至海外专门经销书籍。许多人拥有富有的，能提供利润丰厚又稀罕的工作的固定客户。</t>
  </si>
  <si>
    <t>汽车驾驶，电子学或电气维修，格斗或射击，一项社交技能（取悦、话术、恐吓、说服），法律，心理学，追踪，潜行。</t>
  </si>
  <si>
    <t>保释业者，本地警察，线人。</t>
  </si>
  <si>
    <t>赏金猎人捉拿罪犯并将他们交给正义去审判。最常见的情况是受保释人的委托去缉捕逃狱者。赏金猎人们为了自己的猎物可以不择手段，几乎不会考虑其他人的正当权益之类细枝末节的东西。
非法闯入、威胁、肢体暴力，都是赏金猎人屡试不爽的秘技。现在这些秘技还包括了电话窃听、黑客操作和其他的秘密监控。
(译注：所谓保释业者。向法院交纳保释金，可以在审判之前免受收押；若被保释者按时接受审判，法院会退还保释金。保释金数额较大，故有保释业者以提供保释金收取手续费为业。)</t>
  </si>
  <si>
    <t>9-60</t>
  </si>
  <si>
    <t>教育×2＋力量×2</t>
  </si>
  <si>
    <t>闪避，格斗（斗殴），恐吓，跳跃，心理学，侦查，任意两项其他个人或时代特长。</t>
  </si>
  <si>
    <t>运动会主办者，记者，犯罪组织，专业训练人员。</t>
  </si>
  <si>
    <t>拳击手和摔跤手各分为职业和业余两种。
职业拳击手和职业摔角手的活动由外部利益支持的贸助人安排，并有合同约束。他们还要进行全日制的工作和训练。
业余拳击的竞赛种类非常丰富，同时它也是那些想成为职业拳手的人的训练场。不过也有业余和准职业的选手靠参加黑市拳击赛谋生，举办这些比赛的通常是本地的黑社会或者是从中渔利的庄家。</t>
  </si>
  <si>
    <t>会计或估价，技艺（任一：如烹饪、裁缝、理发），急救，聆听，外语，心理学，侦查，任意一项其他个人或时代特长。</t>
  </si>
  <si>
    <t>计算方式</t>
  </si>
  <si>
    <t>会计，历史，图书馆，聆听，外语，一项社交技能（取悦、话术、恐吓、说服），心理学，任意一项其他技能。</t>
  </si>
  <si>
    <t>教会高层、地方教会、小区领导。</t>
  </si>
  <si>
    <t>神职人员通常担任一个教区的牧师，或是经过分配外出传教，尤其是去国外(见传教士)。
不同的教会工作的侧重点和组织结构各不相同，如天主教会的牧师可能上升到主教、大主教和红衣主教，而一个卫理公会的牧师则会升职到教区主管和主教。
许多神职人员都接受忏悔(不仅仅是天主教)。虽然不能透露忏悔的内容，但是要怎样利用它们就全凭他们自己了。
有些教职人员在教堂接受医生、律师、学者的专业培训。这样的调查员应该选择最符合自己工作的职业模板。</t>
  </si>
  <si>
    <t>10-70</t>
  </si>
  <si>
    <t>计算机，电气维修，电子学、图书馆，科学（数学），侦查，任意两项其他个人或时代特长。</t>
  </si>
  <si>
    <t>其他IT 工作者，同事和上司，专业网络小区。</t>
  </si>
  <si>
    <t>计算器程序员通常是设计、编写、测试、调试和维护计算器程序源代码的职业。他们精通从形式逻辑到系统平台(程序运行环境)的各种知识，可能是自由工作者，也可能供职于软件开发部门。
计算器技术人员负责计算器系统和网络的开发和维护工作，经常与其他人员(如项目经理)合作来保证系统的完整稳定和正常提供所需功能。类似的职业还包括数据库管理员、系统管理员、网络管理员、多媒体开发人员、软件工程师、网络管理员等。</t>
  </si>
  <si>
    <t>计算机，电气维修，电子学，图书馆，侦查，一项社交技能（取悦、话术、恐吓、说服），任意两项其他技能。</t>
  </si>
  <si>
    <t>其他IT 工作者，专业网络小区，政治团体，犯罪组织。</t>
  </si>
  <si>
    <t>计算器黑客利用计算器和计算器网络为手段，进行干扰或破坏以达成政治目的(有时被称为“政治黑客”)或获取非法利益。达成目标的手段主要是非法入侵计算器和其他用户帐户，目的则可能包括篡改网页、人肉搜索、盗取身份信息、垃圾邮件炸弹、拒绝服务攻击等等。</t>
  </si>
  <si>
    <t>闪避，格斗或射击，急救或自然，跳跃，骑乘，生存（任一），投掷，追踪。</t>
  </si>
  <si>
    <t>本地企业家，州农业部门，牛仔比赛主办者，艺人。</t>
  </si>
  <si>
    <t>牛仔在西部的牧区和牧场工作。有些人拥有自己的牧场，更多的则是在各处打工为生。想赚大钱的牛仔会去冒着丢胳膊少腿乃至送命的危险参加牛仔巡回赛，通过旅行获取名誉。
在1920 年代，一些牛仔能在好莱坞找到西部片替身演员和群众演员的工作，例如怀特·厄普就曾为西部电影担任顾问。在现代，有些牧场也对想要体验一把牛仔生活的游客开放。</t>
  </si>
  <si>
    <t>教育×2＋敏捷×2</t>
  </si>
  <si>
    <t>会计，技艺（任二），机械维修，自然，侦查，任意两项其他个人或时代特长。</t>
  </si>
  <si>
    <t>本地商人，其他工匠和艺术家。</t>
  </si>
  <si>
    <t>工匠也可能被人叫做师傅或大师，是擅长对各种材料进行手工加工的人。通常都是才能出众的人，有的凭借自己的艺术作品出名，有的则会服务于自己的小区。
可能的行当包括：家具、珠宝、钟表、陶艺、锻造、纺织、书法、裁缝、木工、书籍装裱、玩具制造、彩色玻璃吹制等等。</t>
  </si>
  <si>
    <t>30-60</t>
  </si>
  <si>
    <t>乔装，电气维修，格斗，射击，锁匠，机械维修，潜行，心理学。</t>
  </si>
  <si>
    <t>很少，大都是黑社会的人，人们尽量避免和他们交情过深。</t>
  </si>
  <si>
    <t>杀手是地下世界的冷血夺命者。这是一项严谨的活计，他们从外地受雇杀人，接近目标，果断下手，又迅速离开。杀手通常很难融入社会，因为很多杀手行为总是很刻板，其他人很容易以为他们不近人情。但是另一方面，他们也会结婚生子，在其他方面和普通人没有什么不同。</t>
  </si>
  <si>
    <t>5-75</t>
  </si>
  <si>
    <r>
      <rPr>
        <sz val="11"/>
        <color rgb="FF000000"/>
        <rFont val="微软雅黑 Light"/>
        <charset val="134"/>
      </rPr>
      <t>教育×</t>
    </r>
    <r>
      <rPr>
        <sz val="11"/>
        <color indexed="8"/>
        <rFont val="微软雅黑 Light"/>
        <charset val="134"/>
      </rPr>
      <t>2＋力量或敏捷×2</t>
    </r>
  </si>
  <si>
    <t>汽车驾驶，电气维修或机械维修，格斗，射击，恐吓，锁匠，操作重型机械，任意一项其他个人或时代特长。</t>
  </si>
  <si>
    <t>同伙(不论是现在还是以前的)，独行罪犯，犯罪组织。</t>
  </si>
  <si>
    <t>罪犯的体格和相貌形形色色，有些是纯粹碰运气伺机行事，比如扒手和暴徒；有些则组成分工明确，会详细调查并制定计划的犯罪组织。后者包括银行劫匪、飞贼、赝造者和诈骗者。
罪犯可能为别人工作，后者通常是“匪帮”或罪犯家族；也可能单打独斗，如果成功的报酬值得去费力冒险，才会和别人搭伙。自由犯罪者则往往被称为抢劫犯、响马贼和江洋大盗。</t>
  </si>
  <si>
    <t>5-30</t>
  </si>
  <si>
    <r>
      <rPr>
        <sz val="11"/>
        <color rgb="FF000000"/>
        <rFont val="微软雅黑 Light"/>
        <charset val="134"/>
      </rPr>
      <t>教育×</t>
    </r>
    <r>
      <rPr>
        <sz val="11"/>
        <color rgb="FF000000"/>
        <rFont val="微软雅黑 Light"/>
        <charset val="134"/>
      </rPr>
      <t>2＋力量×2</t>
    </r>
  </si>
  <si>
    <t>汽车驾驶，格斗，射击，两项社交技能（取悦、话术、恐吓、说服），心理学，潜行，侦查。</t>
  </si>
  <si>
    <t>犯罪组织，本地执法机构，本地企业。</t>
  </si>
  <si>
    <t>打手、暴徒都是犯罪组织的兵卒。他们被犯罪组织豢养，不过团伙上层出事的时候，倒霉的往往是他们这些喽啰。对于他们来说，嘴紧和忠心属于职业道德。</t>
  </si>
  <si>
    <t>5-40</t>
  </si>
  <si>
    <r>
      <rPr>
        <sz val="11"/>
        <color rgb="FF000000"/>
        <rFont val="微软雅黑 Light"/>
        <charset val="134"/>
      </rPr>
      <t>教育×</t>
    </r>
    <r>
      <rPr>
        <sz val="11"/>
        <color indexed="8"/>
        <rFont val="微软雅黑 Light"/>
        <charset val="134"/>
      </rPr>
      <t>2＋敏捷×2</t>
    </r>
  </si>
  <si>
    <t>估价，攀爬，电气维修或机械维修，聆听，锁匠，妙手，潜行，侦查。</t>
  </si>
  <si>
    <t>赃物贩子，其他的盗贼。</t>
  </si>
  <si>
    <t>10-65</t>
  </si>
  <si>
    <r>
      <rPr>
        <sz val="11"/>
        <color rgb="FF000000"/>
        <rFont val="微软雅黑 Light"/>
        <charset val="134"/>
      </rPr>
      <t>教育×</t>
    </r>
    <r>
      <rPr>
        <sz val="11"/>
        <color indexed="8"/>
        <rFont val="微软雅黑 Light"/>
        <charset val="134"/>
      </rPr>
      <t>2＋外貌×2</t>
    </r>
  </si>
  <si>
    <t>估价，技艺（表演），法律或外语，聆听，两项社交技能（取悦、话术、恐吓、说服），心理学，妙手。</t>
  </si>
  <si>
    <t>其他的诈骗师，独行罪犯。</t>
  </si>
  <si>
    <t>欺诈师通常都是油嘴滑舌的人物。他们或单独或集体出没在富裕的人家和小区周边，诈取他们来之不易的钱财。许多骗局覆杂精妙，诈骗团伙会倾巢出动乃至租用建筑；有些则不需要这么麻烦，只要一个骗子几分钟就能搞定。</t>
  </si>
  <si>
    <t>5-65</t>
  </si>
  <si>
    <r>
      <rPr>
        <sz val="11"/>
        <color rgb="FF000000"/>
        <rFont val="微软雅黑 Light"/>
        <charset val="134"/>
      </rPr>
      <t>教育×</t>
    </r>
    <r>
      <rPr>
        <sz val="11"/>
        <color rgb="FF000000"/>
        <rFont val="微软雅黑 Light"/>
        <charset val="134"/>
      </rPr>
      <t>2＋敏捷或外貌×2</t>
    </r>
  </si>
  <si>
    <t>技艺（表演）或乔装，估价，一项社交技能（取悦、话术、恐吓、说服），格斗或射击，锁匠或机械维修，潜行，心理学，侦查。</t>
  </si>
  <si>
    <t>轻罪罪犯，本地执法机构。</t>
  </si>
  <si>
    <t>10-80</t>
  </si>
  <si>
    <t>技艺（任意），两项社交技能（取悦、话术、恐吓、说服），格斗（斗殴）或射击（手枪），汽车驾驶，聆听，潜行，任意一项其他个人或时代特长。</t>
  </si>
  <si>
    <t>黑帮，执法机构，本地企业</t>
  </si>
  <si>
    <t>女飞贼是名为专业大盗的女人。大部分都是独立行动，也有对自己的男伴言听计从的时候。
不过这也不一定，实际上情况可能完全相反，她完全可以在干了某一票以后就卷走所有现金和皮草溜之大吉。</t>
  </si>
  <si>
    <t>会计，估价，技艺（伪造），历史，一项社交技能（取悦、话术、恐吓、说服），图书馆，侦查，任意一项其他技能。</t>
  </si>
  <si>
    <t>犯罪组织，贸易伙伴，黑市和和守法的买主。</t>
  </si>
  <si>
    <t>赃物贩子，顾名思义是买卖偷抢来的财产，通常是收购赃物并转手卖给其他罪犯或(无意中)守法的顾客。主要来说，他们是小偷和买家的中间人，有时也会从交易中收取提成；不过更常见的还是以极低的价格直接收购赃物。</t>
  </si>
  <si>
    <t>20-60</t>
  </si>
  <si>
    <t>会计，估价，技艺（伪造），历史，图书馆，侦查，妙手，任意一项其他个人或时代特长（如计算机）。</t>
  </si>
  <si>
    <t>犯罪组织，商人。</t>
  </si>
  <si>
    <t>赝造者是地下世界的艺术家，专门从事伪造官方文件、契约、转让书，并提供伪造的签名。初学者只能做做小贼的假身份证，而顶级的赝造者连印假币的铸模都能做。</t>
  </si>
  <si>
    <r>
      <rPr>
        <sz val="11"/>
        <color rgb="FF000000"/>
        <rFont val="微软雅黑 Light"/>
        <charset val="134"/>
      </rPr>
      <t>教育×</t>
    </r>
    <r>
      <rPr>
        <sz val="11"/>
        <color rgb="FF000000"/>
        <rFont val="微软雅黑 Light"/>
        <charset val="134"/>
      </rPr>
      <t>2＋外貌或敏捷×2</t>
    </r>
  </si>
  <si>
    <t>射击，聆听，导航，一项社交技能（取悦、话术、恐吓、说服），汽车驾驶或驾驶（飞行器或船），心理学，妙手，侦查。</t>
  </si>
  <si>
    <t>犯罪组织，海岸卫队，海关官员。</t>
  </si>
  <si>
    <t>走私一直是一个有利可图的高风险行当。走私者往往有一个合法的表面职业，比如船长、飞行员或商人，以掩盖他们非法运输的行为。</t>
  </si>
  <si>
    <t>3-10</t>
  </si>
  <si>
    <t>攀爬，一项社交技能（取悦、话术、恐吓、说服），格斗，射击，跳跃，妙手，潜行，投掷。</t>
  </si>
  <si>
    <t>其他轻罪罪犯，其他混混，本地的赃物贩子，黑帮，当然还有警察。</t>
  </si>
  <si>
    <t>街头混混一般都是些小年轻，弄不好还在寻觅加入真正黑帮的契机。不过他们的本事也就限于偷车，盗窃商店货物，抢钱或者夜盗。</t>
  </si>
  <si>
    <t>会计，两项社交技能（取悦、话术、恐吓、说服），神秘学，心理学，侦查，任意其他两项其他个人特长。</t>
  </si>
  <si>
    <t>主要的信徒都是普通人。不过首领的魅力越高，信徒当中有电影明星或者富有的寡妇之类名人的可能性就越大。</t>
  </si>
  <si>
    <t>美国的新兴宗教层出不穷。直到现在，也还有从新英格兰超验主义到“天父的儿女”等等许多种类。教团首领有的创立了严格的教条并且对信徒推行，另一些则仅仅是垂涎于信徒的金钱和权势。
在1920 年代，各种诱惑性的新兴宗教团体纷纷涌现。有些采取基督教的形式，有些则混杂了东方的神秘主义和神秘学的仪式。美国西海岸的人对这些教团屡见不鲜，不过其他形式的教团全国各地都存在。在美国南部的“圣经带”，就有许多巡回帐篷演出圣歌、舞蹈，推行信仰覆兴。其他国家也是一样，只要有需要信仰的人，就会有新兴宗教团体。</t>
  </si>
  <si>
    <t>两项社交技能（取悦、话术、恐吓、说服），汽车驾驶，格斗（斗殴）或射击，历史，神秘学，心理学，潜行。※经KP允许 可用催眠替换其中一项。</t>
  </si>
  <si>
    <t>本地和国家的执法机构，罪犯，宗教团体。</t>
  </si>
  <si>
    <t>除魅师的工作是说服(或者强迫)一个人放弃自己的信仰或是对宗教团体、社会团体的忠心。他们一般受雇于深陷教团之类组织的人的亲属，任务就是解救对方(通常靠绑架)，并通过心理学手段使他们割断与原来教团的联系(“控制”)。
也有不那么激烈的除魅师，他们的工作对象则是那些自愿离开教团的人，为他们完全地退出教团进行有效的指导。</t>
  </si>
  <si>
    <t>会计，技艺（摄影），技艺（任一），计算机或图书馆，机械维修，心理学，侦查，任意一项其他个人特长。</t>
  </si>
  <si>
    <t>广告业，媒体，家具业，建筑业，其他。</t>
  </si>
  <si>
    <t>设计师的工作包括许多方面，从时装到家具或是其他任何东西。他们自由工作，为设计工作室和企业设计产品、流程、法律、游戏、图像等等。
调查员特定的设计方向也会影响他们对专业技能的选择，如果需要的话要进行调整。</t>
  </si>
  <si>
    <t>50-99</t>
  </si>
  <si>
    <t>技艺（任一），射击，外语，骑乘，一项社交技能（取悦、话术、恐吓、说服），任意三项其他个人或时代特长。</t>
  </si>
  <si>
    <t>多种多样，但通常是背景和趣味相近的人。同好会组织、波希米亚主义者、上流社会。</t>
  </si>
  <si>
    <t>业余艺术爱好者靠经济自立、遗产继承、信托基金或者其他各种来源保障自己的生活开支，没有必要自己工作。如果经济条件足够好，他们甚至可以雇佣专业的经济顾问来打理自己的产业。他们可能有很高的学历，但不一定是真才实学；优越的经济条件使得他们性情古怪，口无遮拦。
在1920 年代，这些人可能会被时人称为“摩登女郎”或者“公子哥儿”，当然想当一个社交“名流”其实并不要求他有多有钱。换作现代，“时髦”则是恰如其分的形容词。
业余艺术爱好者有着大把的时间考虑如何变得潇洒世故，不过花这些时间去做别的事可是违背他们的天性和兴致。</t>
  </si>
  <si>
    <t>潜水，急救，机械维修，驾驶（船），科学（生物），侦查，游泳，任意一项其他个人或时代特长。</t>
  </si>
  <si>
    <t>海岸警卫队，船长，军队，执法机构，走私者。</t>
  </si>
  <si>
    <t>潜水员可能在军队、执法机构或海绵采集、海上救援、环境保护甚至水下寻宝的民间机构工作。</t>
  </si>
  <si>
    <t>30-80</t>
  </si>
  <si>
    <t>急救、医学、外语（拉丁文）、心理学、科学（生物学，制药），任两种其他学术或个人特长。</t>
  </si>
  <si>
    <t>其他医生，医护工作者，病人和前病人。</t>
  </si>
  <si>
    <t>医生这里可能是指全科医生、外科医生、其他专科医生或者独立医学研究员。除去个人的目标以外，救死扶伤、获得财富和荣誉、提升公众的理性意识和科学素养也常常是医生的理想。
农村和小城镇的卫生院是全科医生的舞台，而大城市的各大医院则是高手如云，集聚了众多专攻病理学、毒理学、整形外科、脑外科等领域的专家。有些医生也可能担任全职或兼职的法医，进行尸检，并为市、县、州级执法机构出具检验报告。
在美国，行医资格由各州认证，大多要求最少两年的正规医学院校学习经历。不过这个规定还是比较晚近的，在1920 年代很多年长的医生尽管没受过任何正规专业教育，仍然可以获得医师执照。</t>
  </si>
  <si>
    <t>0-5</t>
  </si>
  <si>
    <t>教育×2＋外貌或敏捷或力量×2</t>
  </si>
  <si>
    <t>攀爬，跳跃，聆听，导航，一项社交技能（取悦、话术、恐吓、说服），潜行，任意两项其他个人或时代特长。</t>
  </si>
  <si>
    <t>其他流浪者，少数友善的铁路工人，城镇里众多的好心人。</t>
  </si>
  <si>
    <t>相对于那些因贫困而苦恼的人，流浪者选择四处漂泊的生活，可能是出于社会、哲学、经济的原因，或只是渴望摆脱社会的约束。
流浪汉需要工作，有时几天或几个月，但他们应对问题时往往选择流动和孤立，而不是舒适和亲近。在美国，这种情况尤其常见，只要旅行本身没有什么危险，就会有人选择漂泊为生。</t>
  </si>
  <si>
    <t>汽车驾驶，两项社交技能（取悦、话术、恐吓、说服），聆听，机械维修，导航，侦查，任意一项其他个人或时代特长。</t>
  </si>
  <si>
    <t>成功商界人士(包括罪犯)，政要。</t>
  </si>
  <si>
    <t>私人司机是直接受雇于个人或企业，或者是专门提供连人带车的私人司机业务的中介机构。</t>
  </si>
  <si>
    <t>会计，汽车驾驶，聆听，一项社交技能（取悦、话术、恐吓、说服），机械维修，导航，心理学，任意一项其他个人或时代特长。</t>
  </si>
  <si>
    <t>顾客，企业，执法机构和街头路人。</t>
  </si>
  <si>
    <t>专职司机可能为企业、个人工作，也可能拥有自己的出租车或货车。通常司机还要通过警方的背景调查，获得特殊的驾驶许可证。</t>
  </si>
  <si>
    <t>会计，汽车驾驶，电气维修，话术，机械维修，导航，侦查，任意一项其他个人或时代特长。</t>
  </si>
  <si>
    <t>街头路人，偶尔有一些有名的顾客。</t>
  </si>
  <si>
    <t>出租车司机可能属于大大小小的出租车公司，也可能靠自己的车和证件运营(在美国，需要出租车牌照)。出租车公司负责为出租车司机登记车辆并分配调度，方便司机自由揽客。出租车上必须统一安装计价器，并由出租车协会进行定期检查。</t>
  </si>
  <si>
    <t>10-30</t>
  </si>
  <si>
    <t>会计，历史，母语，两项社交技能（取悦、话术、恐吓、说服），心理学，侦查，任意一项其他个人或时代特长。</t>
  </si>
  <si>
    <t>新闻业界，地方政府，专业人士(如时装设计师、运动员、商人)，出版社。</t>
  </si>
  <si>
    <t>编辑的工作包括审核记者的稿件，撰写报刊社论，应对各种突发事件、到了截稿时间要催稿，编辑工作只好偶尔为之啦。大型报社的编辑数量众多，包括比起新闻编辑更多参与业务运营的主编。其他编辑专门负责时尚、体育或者其他板块。许多小报可能就只有一个编辑，他甚至有可能就是报社的业主或者唯一的全职员工。</t>
  </si>
  <si>
    <t>50-90</t>
  </si>
  <si>
    <t>取悦，历史，恐吓，话术，聆听，母语，说服，心理学。</t>
  </si>
  <si>
    <t>公务员，政府，新闻媒体，企业，外国政府，可能有犯罪组织。</t>
  </si>
  <si>
    <t>以民选方式选举出来的政府官员享有与他们的职位相符的声望。小城市的市长和城镇的镇长之类，他们的影响力基本出不了城镇的范围，而且这样的职务基本上是兼职的，报酬也很少。大城市的市长，工资就相当可观了，而且还能把自己的城市管理得像小王国一样，影响力和权力比所在州的州长还要大。
州议会的众参两院议员是相当有面子的职位，尤其是在商界和本州岛的其他业界。
州长负责全州的事务，是联系各州和国家的纽带。
联邦政府拥有最高等级的影响力。众议院议员由各州按本州岛人口所占比重选派的共400 余名议员组成，任期为两年。参议院则是不论各州大小，每州选派两名议员到花生屯任职。任期长达六年，人数不超过一百，所以参议员更是权倾一方，许多年长的议员能够享受总统级的待遇。
在英国，下议院议员由选举产生，任期四到五年；上议院议员则不由选举产生，是世袭制或由君主指任。</t>
  </si>
  <si>
    <t>技艺（技术制图），电气维修，图书馆，机械维修，操作重型机械，科学（工程学，物理），任意一项其他个人或时代特长。</t>
  </si>
  <si>
    <t>生意伙伴或部队同事，地方政府，建筑师。</t>
  </si>
  <si>
    <t>工程师精通机械和电气设备，可能在民间或军工企业工作，也可能是个发明家。他们擅长应用科学、数学知识和丰富的创造思维，解决各种技术问题。</t>
  </si>
  <si>
    <t>技艺（表演类，如表演、演唱、喜剧等），乔装，两项社交技能（取悦、话术、恐吓、说服），聆听，心理学，任意两项其他个人或时代特长。</t>
  </si>
  <si>
    <t>歌舞杂技团，剧院，电影工作室，娱乐评论家，犯罪组织，电视台(现代)。</t>
  </si>
  <si>
    <t>艺人包括小丑、歌手、舞蹈演员、喜剧演员、杂耍艺人、魔术师，各种以在人前表演谋生的人。他们乐于向更多的人表现自己的能力，并期待观众回报的掌声。
在1920 年代，这一职业并不受人尊重。不过1920 年代好莱坞明星的高薪彻底改变了很多人的想法，现在这个职业背景已经通常被视作是优势了。</t>
  </si>
  <si>
    <t>55-80</t>
  </si>
  <si>
    <t>攀爬或游泳，射击，历史，跳跃，自然，导航，外语，生存。</t>
  </si>
  <si>
    <t>大图书馆，大学，博物馆，富有的赞助者，其他探险家，出版社，外国政府官员，本地土著。</t>
  </si>
  <si>
    <t>在20 世纪早期，这世界还有许多地区尚未有人涉足，而探索这些地方正是探险家的工作。这种令人兴奋不已的生活方式，其经济来源则是科学界的赞助、私人的捐赠、博物馆的委托和报纸杂志图书电影的版权等等。
黑非洲的大部分仍然不为人知，同样的地方还包括了南美的马托格罗索高原，澳大利亚的大沙沙漠，撒哈拉和阿拉伯沙漠，和亚洲的茫茫戈壁。尽管南北极点已经被探险家征服了，但周围很大部分的地区仍然是未知的。</t>
  </si>
  <si>
    <t>技艺（耕作），汽车驾驶（或运货马车），一项社交技能（取悦、话术、恐吓、说服），机械维修，自然，操作重型机械，追踪，任意一项其他个人或时代特长</t>
  </si>
  <si>
    <t>地方银行，地方政治家，各州农业部门。</t>
  </si>
  <si>
    <t>农民可能自己拥有土地，自己从事农牧业，也可能是受雇在农场工作。农业劳动繁重而枯燥，特别适合那些喜欢户外体力劳动的人。
1920 年代是美国城镇人口超过农村人口的首个十年。从这时起一直到现在，自耕农民都在受到规模化农业企业和剧烈波动的农产品市场的双重冲击。</t>
  </si>
  <si>
    <t>汽车驾驶，格斗（斗殴），射击，法律，说服，潜行，侦查，任意一项其他个人或时代特长。</t>
  </si>
  <si>
    <t>联邦司法机构，执法机构，犯罪组织。</t>
  </si>
  <si>
    <t>联邦执法机构和特工种类各异。有些身着制服，比如美国司法部的人员；另外一些则穿便服，工作内容也类似警探，比如联邦调查局的人员。</t>
  </si>
  <si>
    <t>攀爬，闪避，汽车驾驶，急救，跳跃，机械维修，操作重型机械，投掷。</t>
  </si>
  <si>
    <t>市政工人，医务人员，执法机构。</t>
  </si>
  <si>
    <t>消防员是公职人员，通常为所管辖的小区服务。他们夜以继日地工作，或者连续几天的倒班工作，吃住包括娱乐活动都要局限在消防局里。消防员的管理结构类似军队，职位包括中尉、上尉和局长等等。</t>
  </si>
  <si>
    <t>历史，外语，母语，聆听，两项社交技能（取悦、话术、恐吓、说服），心理学，任意一项其他个人或时代特长。</t>
  </si>
  <si>
    <t>国内外新闻界，外国政府，军队。</t>
  </si>
  <si>
    <t>驻外记者是新闻界的精英人才。他们拿着固定工资,靠报销单环游全世界。在 1920 年代,驻外记者通常供职于大型报社、广播电台、或者国家级通讯社。当代的驻外记者也可能自由撰稿或 者为电视台、网络通讯社和国际新闻通讯社工作。
这个职业的工作内容五花八门,经常能激动人心。不过博物学灾害、政治动荡和战争也会成为驻外记者报导的主要内容,工作也不总是一帆风 顺。</t>
  </si>
  <si>
    <t>40-60</t>
  </si>
  <si>
    <t>外语（拉丁文），图书馆，医学，说服，科学（生物学，药学，司法科学），侦查。</t>
  </si>
  <si>
    <t>实验室工作人员，执法机构，医护人员。</t>
  </si>
  <si>
    <t>法医是一个高度专门化的职业,大多数法医为市、县或州执法机构工作。工作内容包括尸体解剖,推定死因,并为公诉人提供建议。法医也常常会在刑事审判中出庭提供证言。</t>
  </si>
  <si>
    <t>8-50</t>
  </si>
  <si>
    <r>
      <rPr>
        <sz val="11"/>
        <color rgb="FF000000"/>
        <rFont val="微软雅黑 Light"/>
        <charset val="134"/>
      </rPr>
      <t>教育×</t>
    </r>
    <r>
      <rPr>
        <sz val="11"/>
        <color indexed="8"/>
        <rFont val="微软雅黑 Light"/>
        <charset val="134"/>
      </rPr>
      <t>2＋外貌或敏捷×2</t>
    </r>
  </si>
  <si>
    <t>会计，技艺（表演），两项社交技能（取悦、话术、恐吓、说服），聆听，心理学，妙手，侦查。</t>
  </si>
  <si>
    <t>其他赌徒，犯罪组织，街头路人。</t>
  </si>
  <si>
    <t>赌徒是罪犯世界里最花哨的一群人。他们衣 着光鲜,不论朴实还是华丽都魅力四射。不论是靠赛马、纸牌游戏还是其他赌博方式,他们总是要凭自己的运气过活。
老练的赌徒会频繁地光顾犯罪组织开设的地 下赌场。少数赌场高手可能经常参加漫长而又一掷千金的豪赌,甚至可能有外部利益集团作为后台。
低级的赌徒则出入于狭窄的小巷,在骰子房 耍弄灌铅的骰子,或者是挤坐在阴暗的台球室里。</t>
  </si>
  <si>
    <t>60-95</t>
  </si>
  <si>
    <t>格斗，射击，法律，聆听，两项社交技能（取悦、话术、恐吓、说服），心理学，侦查。</t>
  </si>
  <si>
    <t>犯罪组织，街头罪犯，警察，地方政府，政治家，法官，工会，律师，同民族的代表。</t>
  </si>
  <si>
    <t>黑帮可能是整个城市、一部分城市的大佬, 也可能只是给这些大佬打工的马仔。马仔们通常 有自己的保护范围,比如监管非法运输和收取保 护费等等。老板总管业务,负责交易,并要就各 种各样的问题给马仔们拿主意。更重要的是,老 板可以各种高人一等,只要能找到马仔或者小弟 去干的事,他基本是不肯污了自己的手去做的。
黑社会在 1920 年代上升为突出的社会问题。本来仅限于在本地收收保护费和管管赌场的外国 裔黑帮,不约而同地发现了贩卖私酒带来的巨大 利润。没过多久,他们就掌控了城市的大片区域, 并在街上和其他黑帮火并。虽然大部分黑帮是按 来源的民族划分——如爱尔兰裔、意大利裔、非 洲裔和犹太裔,黑帮的成员仍然可能是任何民族。
如今,贩毒则取代其他,成为多数黑帮中来 钱最快的犯罪门路。和 1920 年代前辈的工作方法 类似,现在的黑帮老大也需要大量的小弟来负责 保卫、推广、在街道里推行自己的业务。
除去贩私酒和贩毒以外,卖淫、保护、赌博、 腐败等等都是这些犯罪组织的业务范围。</t>
  </si>
  <si>
    <t>汽车驾驶，格斗，射击，两项社交技能（取悦、话术、恐吓、说服），心理学，任意两项其他个人或时代特长。</t>
  </si>
  <si>
    <t>街头罪犯，警察，企业，同民族的代表。</t>
  </si>
  <si>
    <t>40-90</t>
  </si>
  <si>
    <t>技艺（任一），两项社交技能（取悦、话术、恐吓、说服），射击（步枪/霰弹枪），历史，外语（任一），导航，骑乘。</t>
  </si>
  <si>
    <t>上流社会和乡绅，政治家，仆人和农民。</t>
  </si>
  <si>
    <t>绅士淑女指的是有良好的教养品行、举止彬彬有礼的人。通常用来称呼上流社会(通过继承 或津贴)拥有相当财富的人。
在上世纪 20 年代,这样的人至少要有一个仆 人(管家、男仆、女仆、私人司机),还要有城 市或乡村的宅第。家庭的富有并不重要,因为家庭的社会地位往往比财产更被上流社会所看重。</t>
  </si>
  <si>
    <t>教育×2＋外貌或敏捷×2</t>
  </si>
  <si>
    <t>技艺（任一），攀爬，跳跃，聆听，锁匠或妙手，导航，潜行，任意一项其他个人或时代特长。</t>
  </si>
  <si>
    <t>其他游民，少数友好的铁路员工，许多城镇里的好心人。</t>
  </si>
  <si>
    <t>游民只有少数的人愿意去当,虽然失业的人、 醉倒在阴沟里的醉鬼到处都是。和流浪者只会在 必需时才工作不同,游民的工作本身就是流浪。
他们不断地坐火车旅行,从一个城市辗转到 另一个城市,他们是身无分文的诗人、漂泊者, 铁路上的探索者、冒险者和盗贼。但是铁路上的生活一样充满危险。且不说穷困潦倒、无家可归, 还要面对来自警察、周围居民和铁路员工的敌意。另外在深夜中跳车并不是一件容易的事,在跳车的时候被车厢夹断过手脚的人可是不可胜数。</t>
  </si>
  <si>
    <t>6-15</t>
  </si>
  <si>
    <r>
      <rPr>
        <sz val="11"/>
        <color rgb="FF000000"/>
        <rFont val="微软雅黑 Light"/>
        <charset val="134"/>
      </rPr>
      <t>教育×</t>
    </r>
    <r>
      <rPr>
        <sz val="11"/>
        <color indexed="8"/>
        <rFont val="微软雅黑 Light"/>
        <charset val="134"/>
      </rPr>
      <t>2＋力量×2</t>
    </r>
  </si>
  <si>
    <t>电气维修，一项社交技能（取悦、话术、恐吓、说服），格斗（斗殴），急救，聆听，机械维修，心理学，潜行。</t>
  </si>
  <si>
    <t>其他医疗人员，病人。允许接触医疗记录、药品等等。</t>
  </si>
  <si>
    <t>勤杂护工在医院的工作包括倒垃圾、打扫房间、运送病人,还有一些其他乱七八糟的工作。总之对他们的要求不比对看门人多多少。</t>
  </si>
  <si>
    <t>技艺（艺术或摄影），一项社交技能（取悦、话术、恐吓、说服），历史，图书馆，母语，心理学，任意两项其他个人或时代特长。</t>
  </si>
  <si>
    <t>新闻界，政治家，街头罪犯和执法机构。</t>
  </si>
  <si>
    <t>记者用文字对当天的新闻事件进行报导与评 论,一天之内就要完成一个作家一周的工作量。他们通常为报纸、杂志、广播电台、电视台或者新闻网站撰稿。
优秀的调查记者在报导事件的同时,即使面对丑恶,也能保持自身的清廉正直。恶心的记者则被现实所压倒,最终丧失自己的节操,肆意操纵文字歪曲真相。</t>
  </si>
  <si>
    <t>技艺（表演），历史，聆听，母语，一项社交技能（取悦、话术、恐吓、说服），心理学，潜行，侦查。</t>
  </si>
  <si>
    <t>新闻媒体，政治团体与政府，商界，执法机构，街头罪犯，上流社会。</t>
  </si>
  <si>
    <t>通讯记者则是新闻传媒行业大军中的一员, 不管是自由撰稿或是在报社、杂志社、新闻网站、 通讯社工作。大部分记者从事实地工作,包括走 访见证人、查看记录、收集叙述。有些记者被安 排专门追踪警界、体育界或商界的热点新闻,其他人则是负责社会事件乃至园艺俱乐部之类的事情。
通讯记者都会携带记者证,不过记者证除了 各通讯社(主要是报社)用来识别自己的雇员以 外没有太大的作用。实际上记者的工作内容更像 私家侦探,有时为了获得第一手消息也难免使点嘴上花招。</t>
  </si>
  <si>
    <t>50-80</t>
  </si>
  <si>
    <t>历史，恐吓，法律，图书馆，聆听，母语，说服，心理学。</t>
  </si>
  <si>
    <t>法律界，可能有犯罪组织。</t>
  </si>
  <si>
    <t>法官是主持审判全过程的人,可能单独工作或是和同事组成合议庭。一般是推选或任命制, 工作年限也分定期和终身。有的人是初出茅庐就当了法官,而其余的绝大多数,不论是在联邦最高法院还是遥远西部小镇的法官,其实至少都是经过注册的律师。</t>
  </si>
  <si>
    <t>计算机或图书馆，电气维修，外语，科学（化学和任意两项），侦查，任意一项其他个人特长。</t>
  </si>
  <si>
    <t>大学，科学家，图书馆。</t>
  </si>
  <si>
    <t>实验室助理在科研环境中工作,在首席科学家的监督下进行实验和行政工作。
研究内容可能依首席科学家的研究学科而变 化。但基本都包括取样、测试、记录和分析数据、 调整和进行实验、制备标本和样品、管理实验室的日常工作,和保护工作人员的健康与安全。</t>
  </si>
  <si>
    <t>工人-非熟练工人</t>
  </si>
  <si>
    <t>汽车驾驶，电气维修，格斗，急救，机械维修，操作重型机械，投掷，任意一项其他个人或时代特长。</t>
  </si>
  <si>
    <t>其他工人和行业主管</t>
  </si>
  <si>
    <t>工人这一大类职业包括工厂工人、纺织工人、 码头工人、养路工人、矿工、建筑工人等等。工人分为两种类型:熟练工和非熟练工。普通的工人虽然技术不熟练,但是仍然长于使用电动工具、 起重机和其他工厂设备。</t>
  </si>
  <si>
    <t>攀爬，闪避，格斗（链锯），急救，跳跃，机械维修，自然或科学（生物学或植物学），投掷。</t>
  </si>
  <si>
    <t>林业工人，野外向导和环境保护者。</t>
  </si>
  <si>
    <t>攀爬，科学（地质），跳跃，机械维修，操作重型机械，潜行，侦查，任意一项其他个人或时代特长。</t>
  </si>
  <si>
    <t>工会干部，政治团体。</t>
  </si>
  <si>
    <t>会计，法律，图书馆，两项社交技能（取悦、话术、恐吓、说服），心理学，两项其他技能。</t>
  </si>
  <si>
    <t>犯罪组织，资本家，检察官和法官。</t>
  </si>
  <si>
    <t>律师或法律顾问精通他们所在地区的法律，擅长把抽象的法学理论知识联系起来，为客户解决法律方面的疑难，担任辩护代理、法律顾问的工作，为客户提供解决办法。可能受托处理个人案件、接受法院指定，也可能专门为某个富裕客户或公司服务。
在美国，“律师”一词一般只指辩护律师。在英国，“律师”一词则包括高级律师、初级律师还有一些执法机构。
假如碰上好客户的话，律师自己也可以一战成名，少数律师还能以自己在政治经济方面的获益吸引媒体的关注。</t>
  </si>
  <si>
    <t>9-35</t>
  </si>
  <si>
    <t>会计，图书馆，外语，母语，任意四项其他个人特长或专业书籍主题。</t>
  </si>
  <si>
    <t xml:space="preserve">书商，社会团体，专业研究人员。
</t>
  </si>
  <si>
    <t>图书馆管理员在公共机构和图书馆工作，负责管理图书目录和书库，并处理图书借阅等。在现代，图书馆管理员还要负责管理视听数据、电子书库。
一些大公司可能聘用图书馆管理员管理书库，偶尔还会有富有的图书藏家招收他们管理自己的私人藏书。</t>
  </si>
  <si>
    <t>技艺（木工、焊接、管道工等），攀爬，汽车驾驶，电气维修，机械维修，操作重型机械，任意两项其他个人或时代或技术特长。</t>
  </si>
  <si>
    <t>工会成员，其他专业技术人员。</t>
  </si>
  <si>
    <t>技师包括所有需要专业训练和作为学徒或实习生工作经验的职业，例如木工、石工、管道工、电气维修、设备安装工人、机修工人等等这些需要技术资质的职业。通常这些工人有自己的工会组织，会和承包人和雇主争取自己的权益。</t>
  </si>
  <si>
    <t>20-70</t>
  </si>
  <si>
    <t>会计，射击，导航，急救，两项社交技能（取悦、话术、恐吓、说服），心理学，任意一项其他个人或时代特长。</t>
  </si>
  <si>
    <t>部队，联邦政府。</t>
  </si>
  <si>
    <t>军官有严格的等级，许多等级还需要高等教育学历。各国武装部队都建立了人才培养系统，其中包括大学教育。在美国，许多大学开设军校生训练项目，可以让学员同时接受文化教育和军事训练。毕业的学员可以授以陆军或海军少尉军衔，并分派到各驻地。他们通常会为国家服役四年，之后可以退役覆员。许多人有专门的任命，作为医生、律师和工程师工作。
寻求军旅生涯的人会为进入西点军校和美国海军军官学校这样的著名军校而努力，拥有这些名校学历很容易得到其他军官的尊敬。离开学校以后，许多军官也会选择接受飞行训练等特殊训练。
富有经验，特别值得提升的士兵会被破例提拔为一级准尉。虽然在名义上位列最末，获得这一军衔所需要的时间和经验意味着他们远比普通的初中级军官更受尊敬。绝大多数军衔是终身荣誉，退役多年的军官仍然可以自称上尉或者将军。</t>
  </si>
  <si>
    <t>0-30</t>
  </si>
  <si>
    <t>技艺（任一），急救，机械维修，医学，自然，一项社交技能（取悦、话术、恐吓、说服），任意两项其他个人或时代特长。</t>
  </si>
  <si>
    <t>教会阶层，外国官员。</t>
  </si>
  <si>
    <t>传教士云游到世界的各个角落，传播神的旨意，在文明的地方拯救“不幸的原始人”和“迷途的灵魂”。他们可能属于天主教、新教、伊斯兰教或者其他信仰系统，比如后期圣徒教会(摩门教)在欧美就有专门的传道所。
有的传教士只凭自己的意志独立行动，有的则可能有教会以外的组织支持。
基督教、伊斯兰教的传教者，佛教、印度教的法师，在全世界各个时代都能遇到。</t>
  </si>
  <si>
    <t>攀爬，急救，跳跃，聆听，导航，外语，生存（阿尔卑斯或类似），追踪。</t>
  </si>
  <si>
    <t>其他登山者，环境保护者，赞助人，担保人，本地救援队或执法机构，护林员，运动俱乐部。</t>
  </si>
  <si>
    <t>登山家一般都是利用业余时间和假期的运动员，只有少数攀登著名高山的人才会去寻找财力和设备的赞助。
19 世纪登山运动开始兴起，到了1920 年代，所有美洲和阿尔卑斯地区的主要山峰都被一一征服。经过与西藏人的冗长谈判之后，外国登山队终于获准进入喜马拉雅山的高峰地区。作为世界上最后未被征服的高峰，对珠峰的进军经常被电台和报纸报道。不过1921、1922、1924 年的三次远征都没能达到峰顶，还造成了13 人死亡。
到了现代，登山可以是休闲运动或职业选择。如果是后者，则工作内容包括教练、向导、运动员或救生员等。
(译注：1920 年代的登山队都是取道中国境内的北坡，故正是与西藏地方政府进行的商谈。)</t>
  </si>
  <si>
    <t>会计，估价，考古，历史，图书馆，神秘学，外语，侦查。</t>
  </si>
  <si>
    <t>本地的大学和学者，出版社，博物馆赞助者。</t>
  </si>
  <si>
    <t>博物馆管理员可能负责大学或其他公共机构的大型设施，也可能负责小一些的博物馆，往往对本地的地质或者其他的内容颇有研究。</t>
  </si>
  <si>
    <t>教育×2＋意志或敏捷×2</t>
  </si>
  <si>
    <t>技艺（乐器），一项社交技能（取悦、话术、恐吓、说服），聆听，心理学，四项其他技能。</t>
  </si>
  <si>
    <t>俱乐部老板，音乐家协会，犯罪组织，街头罪犯。</t>
  </si>
  <si>
    <t>音乐家可能加入乐团、乐队或者独奏，演奏的乐器则可以是任何你能想象的种类。音乐家想出人头地十分困难，签约发布唱片就更难了。所以绝大多数音乐家都贫穷又无人关注，只靠街头卖艺勉强维持生计。少数幸运儿可以找到固定工作，比如在酒吧、宾馆或者市交响乐团弹钢琴。对更少的人来说，在正确的时间出现在正确的地点，再加上一点点天赋，就能获得巨大的成功和可观的财富。
1920 年代是爵士乐的年代，众多的音乐家在美国各地的大中城市、城镇里的爵士乐队和交响乐队工作。少数音乐家住在芝加哥和纽约之类的大城市并在那里打拼，而大部分的人靠巴士、汽车或者火车过着旅行生活。</t>
  </si>
  <si>
    <t>急救，聆听，医学，一项社交技能（取悦、话术、恐吓、说服），心理学，科学（生物学，化学），侦查。</t>
  </si>
  <si>
    <t>护工，医生，小区工作人员。</t>
  </si>
  <si>
    <t>护士是专业的医疗助理，通常在医院和疗养院之类的地方工作，或者和全科医生一起合作。一般来说，护士会协助健康人或病人进行保健或康复活动(或者临终关怀)，虽然其他人若是有足够的力量、意志或者知识，完全不需要护士帮助的康复也是可能的。</t>
  </si>
  <si>
    <t>9-65</t>
  </si>
  <si>
    <t>人类学，历史，图书馆，一项社交技能（取悦、话术、恐吓、说服），神秘学，外语，科学（天文），任意一项其他个人或时代特长 ※经KP允许 可以包含克苏鲁神话</t>
  </si>
  <si>
    <t>图书馆员，神秘学学会或者同好会，其他神秘学家。</t>
  </si>
  <si>
    <t>神秘学家是钻研深奥秘密和神秘魔法的人。他们对超博物学能力深信不疑，并竭尽所能靠他们的能力去了解这些东西。许多人对不同神秘哲学和魔法理论的知识面都相当广泛，有些甚至相信自己专注研究三十年真的成为了魔法师——到底是真是假就交由KP 来决断了。
需要指出的是，神秘学家熟知的基本上是“表面的魔法”——克苏鲁神话魔法的秘密对他们仍然是未知的，或者不过是古书上描述那些诱人的线索而已。</t>
  </si>
  <si>
    <t>5-20</t>
  </si>
  <si>
    <t>射击，急救，聆听，自然，导航，侦查，生存（任一），追踪。</t>
  </si>
  <si>
    <t>本地居民，土著，贸易商。</t>
  </si>
  <si>
    <t>旅行家爱好户外，他们一年中大部分时间都呆在户外，并且一出门就是相当长的时间；通常有相当的捕鱼和狩猎技术，能在最恶劣的环境之中幸存下来。擅长的技术可能包括登山、捕鱼、滑雪、皮划艇、攀登和露营。
旅行家可能在国家公园或素质拓展中心做野外向导和护林员，也可能是有其他经济来源能让他们不用工作就能以这种方式生活，说不定还可能是一个隐士，只有在需要的时候才会回到文明社会。</t>
  </si>
  <si>
    <t>人类学，技艺（摄影），历史，图书馆，神秘学，外语，心理学，任意一项其他个人或时代特长。</t>
  </si>
  <si>
    <t>大学，超心理学刊物。</t>
  </si>
  <si>
    <t>超心理学家从不打算欣赏超常现象。相反，他们试图去观察，记录并研究这些实例。被叫做“捉鬼人”的他们利用技术手段来获取某人或某地点的超博物学活动的证据，当然比起收集到实在的证据，更多的时候他们是在揭穿假冒和误认的超常现象。
一些超心理学家专门研究特定的现象，例如超感官、心灵致动、闹鬼等等。
名牌大学是没有超心理学学位的。这个领域成就的评判标准完全是基于个人声誉，所以一般有相近学科学历比如物理学、心理学和医学的人会比较有说服力。
选择研究这个的人往往对不可视的神秘力量抱有相当的同情态度，并希望其他的科学家也能满意地点头肯定。这就表现出了一种既相信又怀疑的奇异的迭加态——恐怕超心理学家自己也难解决这个问题。一个对观察实验证明不感兴趣的人是个神秘学家而不是个科学家。</t>
  </si>
  <si>
    <t>35-75</t>
  </si>
  <si>
    <t>会计，急救，外语（拉丁文），图书馆，一项社交技能（取悦、话术、恐吓、说服），心理学，科学（制药，化学）。</t>
  </si>
  <si>
    <t>本地小区，本地医生，医院和病人。能获得各种药品和化学品。</t>
  </si>
  <si>
    <t>药剂师的管理一直以来都比医生更严格。所有的药剂师都要在各州注册，注册的条件则是高中毕业并至少在药学院学习三年。他们可能在医院或者药房工作，也可能自己开药房。</t>
  </si>
  <si>
    <t>技艺（摄影），一项社交技能（取悦、话术、恐吓、说服），心理学，科学（化学），潜行，侦查，任意两项其他个人或时代特长。</t>
  </si>
  <si>
    <t>广告业，本地客户(包括政治团体和报纸)。</t>
  </si>
  <si>
    <t>摄影师大部分是自由工作者，可能制作广告电影或者在照相馆做肖像拍摄。其他一些摄像师则在报纸、电视和电影产业工作。
摄影作为一种艺术形式已经产生相当长的时间了，精英的摄影师可以从艺术、新闻报道、野生动物保护等多种角度出发创作他们的作品。不管是哪种立意，他们都能获得名誉和报酬。
摄影记者本质上就是拿照相机，为拍摄的照片写配文的记者。在1920 年代，新闻短片走上历史舞台。笨重的35mm 摄像装备走遍全球各地，搜寻有价值的新闻轶事、体育赛事和泳装选美比赛。新闻片制作人员一般分为三类：一类是画面中的记者，另两个人则负责摄像和灯光等等。新闻中的声音则是在新闻稿完成以后在录音棚中录入完成的。</t>
  </si>
  <si>
    <t>技艺（摄影），攀爬，一项社交技能（取悦、话术、恐吓、说服），外语，心理学，科学（化学），任意两项其他个人或时代特长。</t>
  </si>
  <si>
    <t>新闻业，电影工作室(1920 年代)，外国政府和官方。</t>
  </si>
  <si>
    <t>电气维修，机械维修，导航，操作重型机械，驾驶（飞行器），科学（天文），任意两项其他个人或时代特长。</t>
  </si>
  <si>
    <t>前部队关系人，乘务员，机械师，机场地勤人员，嘉年华主办者。</t>
  </si>
  <si>
    <t>飞行员可以在美国邮政这样的企业工作，也可以在大大小小的民航公司做飞行人员。
美国1926 年之前没有对飞行员的职业要求，1926 年航空商业法案通过之后才要求有执照。这个时代的多数飞行员从事嘉年华表演、特技飞行表演、乘飞机游玩或是小机场的空中的士等服务。
也有飞行员在部队服现役。许多特技飞行员是在服役期间学会的驾驶飞机，有时仍然会被军队委派任务。</t>
  </si>
  <si>
    <t>会计，电气维修，聆听，机械维修，导航，驾驶（飞行器），侦查，任意一项其他个人或时代特长。</t>
  </si>
  <si>
    <t>前部队关系人，其他飞行员，机场地勤技术人员，商人。</t>
  </si>
  <si>
    <t>特技飞行员在嘉年华工作或者为大胆的消费者进行休闲飞行服务。参加有组织的飞行表演赛，不论是固定路线还是越野赛，往往都可以增加自己的知名度。在1920 年代，好莱坞常常使用特技飞行员，飞机制造商也会录用一些飞行员为新机作测试。许多特技飞行员是在一次大战中掌握的飞行技术，所以许多人仍然在陆海空军或海岸警卫队服役；年轻的飞行员则基本上是在和平时期接受的训练或是自学成才。
参加过一战的王牌飞行员“现在”还活跃在公众视野中的包括：埃迪·里肯巴克，现在在克赖斯勒公司工作；汤米·希区柯克，“现在”是马球赛场的明星；里德·兰迪斯，美国职棒大联盟执行长凯纳索·蒙顿·兰迪斯的儿子。</t>
  </si>
  <si>
    <t>技艺（表演）或乔装，射击，法律，聆听，一项社交技能（取悦、话术、恐吓、说服），心理学，侦查，一项其他技能。</t>
  </si>
  <si>
    <t>执法机构，街头罪犯，尸检部门，司法部门，犯罪组织。</t>
  </si>
  <si>
    <t>便衣警察的工作是检查犯罪现场、收集证据、询问证人以解决凶杀、盗窃等重大案件。他们在现场办案中往往与穿制服的巡警密切合作。
警探可能指挥他的下属进行详尽的调查，但是很难有机会集中精力对付单独一个事件，在美国他们很可能要同时处理数十乃至上百的案件。警探工作最关键的部分是通过梳理证词、重建现场情况，摒弃伪证，从而收集足够逮捕嫌疑人的证据，进而促成成功的刑事审判。警探和检察官的职责是分开的，这样可以保证证据在审判之前被独立地对待。
尽管现在警探通常会参加警察学校课程并获得学位、参加特殊训练或公务员培训，他们最主要的经验还是来源于担任基层警官或者普通巡警时的工作经历。</t>
  </si>
  <si>
    <t>格斗（斗殴），射击，急救，一项社交技能（取悦、话术、恐吓、说服），法律，心理学，侦查和下面的一种个人特长：汽车驾驶或骑乘。</t>
  </si>
  <si>
    <t>执法机构，本地企业与居民，街头罪犯，犯罪组织。</t>
  </si>
  <si>
    <t>巡警属于市、城镇、县治安部门或州、地区的警察机关。他们工作时可能步行、驾驶巡逻车，或者干脆坐办公室。</t>
  </si>
  <si>
    <t>技艺（摄影），乔装，法律，图书馆，一项社交技能（取悦、话术、恐吓、说服），心理学，侦查，一项其他个人或时代特长（如计算机、锁匠、格斗、射击）。</t>
  </si>
  <si>
    <t>执法机构，客户。</t>
  </si>
  <si>
    <t>私家侦探通常在警察不出手的地方活跃，包括收集证据为客户准备民事诉讼，追查跑路的配偶或生意伙伴，或者代理刑事案件的私人辩护。他们和任何专业人员一样，私家侦探从不顾及自己的私人情感，只要付钱，不管是有罪还是无罪的一方的委托他们都乐得接受。
私家侦探过去可能在警察队伍里工作，利用以前的业务关系为现在工作谋求优势；然而事实并非总是如此。在许多地方私家侦探必须持证上岗，假如被发现有违法行为，就会撤销执照——侦探生涯也就到此为止。</t>
  </si>
  <si>
    <t>图书馆，外语，母语，心理学，任意四项其他学术、时代或个人特长。</t>
  </si>
  <si>
    <t>学者，大学，图书馆。</t>
  </si>
  <si>
    <t>教授是受聘于高等院校的学者。大公司也可 能聘请他们以开展学术研究与产品开发。独立的学者也靠开办业余课程作为经济来源。
最重要的一点,这一职业代表了 PhD(博士) 的荣誉称号,意味着可以在世界各地的大学任终身教职。教授的专长是教学和专业研究,往往在自己的专业领域内有着可圈可点的学术成就。</t>
  </si>
  <si>
    <t>0-10</t>
  </si>
  <si>
    <t>攀爬、急救、历史、机械维修、导航、科学（地质），侦查，任意一项其他个人或时代特长。</t>
  </si>
  <si>
    <t>本地企业和居民。</t>
  </si>
  <si>
    <t>淘金客一直是美国西部的特色,即便在加利福尼亚淘金热和内华达康姆斯塔克发现金银矿的日子早已经过去的现在。他们无休止地在山间漫游,寻找能使自己一夜暴富的矿脉。而且现在发现石油和发现金子一样给力。</t>
  </si>
  <si>
    <t>5-50</t>
  </si>
  <si>
    <t>技艺（任一），两项社交技能（取悦、话术、恐吓、说服），闪避，心理学，妙手，潜行，任意一项其他个人或时代特长。</t>
  </si>
  <si>
    <t>街头路人，警察，可能有犯罪组织，私人客户。</t>
  </si>
  <si>
    <t>性工作者根据场合、背景和教养,从超级值钱的应召小姐到牛郎再到站街女都有可能。往往入这一行都是权宜之计,许多人梦想有朝一日能够脱身。少数人能够自己接客,不过绝大多数人 基本都是被只认钱不认人的老鸨和皮条客逼迫着 工作。</t>
  </si>
  <si>
    <t>外语，聆听，医学，说服，精神分析，心理学，科学（生物学，化学）。</t>
  </si>
  <si>
    <t>其他精神疾病领域的专家，医生，可能有法律人士。</t>
  </si>
  <si>
    <t>精神病学家是在现代专门从事精神失常诊断和治疗的医生。精神病学家掌握着精神药理学的 治疗方法,使用精神类药物的资质,还能整理脑电图并对其进行计算器分析。
在十九二十世纪之交,精神分析理论刚刚产 生,试图解释一些现在认为实际上是生物学范畴的现象。所以,精神分析学家们努力寻求获得自 己的医疗证书。与此同时,各种不同的精神失常诊断与治疗理论开始起步。到 1930 年代,任何一个医生都可以以精神病学家的身份进入美国医学协会名录中了。</t>
  </si>
  <si>
    <t>会计，图书馆，聆听，说服，精神分析，心理学，任意两项其他学术、个人或时代特长。</t>
  </si>
  <si>
    <t>心理学家团体，病人。</t>
  </si>
  <si>
    <t>心理学家虽然也经常被叫做心理治疗师和心理咨询师,不过这些工作都只是心理学的分支。其他的还有为企业和政府提供顾问的组织管理心 理学家,进行研究并在学校教授心理学的学术型心理学家等等。
临床心理学家可能实际接触病人,并且运用各种可能的心理治疗方法。注意心理学家和专业的精神病学家的区别,后者本质上还是医生。
在1920 年代,对人类行为的研究还是一个新兴的领域,主要的理论还是弗洛伊德心理学。</t>
  </si>
  <si>
    <t>历史，图书馆，一项社交技能（取悦、话术、恐吓、说服），外语，侦查，任意三项其他学术领域。</t>
  </si>
  <si>
    <t>学者和其他学术界人士，大型企业，外国政府和个人。</t>
  </si>
  <si>
    <t>学术界的研究课题不计其数,尤其是在天文 学、物理学和其他理论领域。私人或企业也雇用 了成千上万的研究员,重点在化学、制药和工程 领域。石油公司则会聘用专业的地质学家,不一 而足。研究员大部分的时间都在室内工作和写作, 不过有的则会经常外出考察。
考察研究员通常经验丰富,思想独立又足智 多谋,可能受雇于私人或者为大学进行学术研究。
石油公司会派出地质学家探索潜在的油田, 人类学家则是调查地球被人遗忘角落的原始部落, 考古学家则竭数年之力挖掘沙漠丛林之中的宝藏, 还要和工人与地方政府打交道。</t>
  </si>
  <si>
    <t>教育×2＋敏捷或力量×2</t>
  </si>
  <si>
    <t>电工或机械维修，格斗，射击，急救，导航，驾驶（船），生存（海上），游泳。</t>
  </si>
  <si>
    <t>军队，退伍军人协会。</t>
  </si>
  <si>
    <t>新入伍的海员像陆军的同行一样,开始时需 要接受基本的训练。这之后他们获得军衔,并被 分配到各镇守府。虽然很多海员担任像水手长副手和司炉工(管理引擎)这样的传统角色,但是也有很多经过专门训练的机械师、无线电操作员、通风管理员之类。海员们最高的军衔是士官长, 达到了这个军衔连高级将领都要礼让三分。在美国,海员通常要服四年的现役和后两年的后备役, 即在国家发布动员令时有应召服役的义务。</t>
  </si>
  <si>
    <t>急救，机械维修，自然，导航，一项社交技能（取悦、话术、恐吓、说服），驾驶（船），侦查，游泳。</t>
  </si>
  <si>
    <t>海岸警卫队，走私者，犯罪组织。</t>
  </si>
  <si>
    <t>民用船海员可能在渔船、客船,或运输原油或商品的运输船上工作。在美国,客船活跃在东西海岸和五大湖,运送渔民和游客。目前佛罗里达州在墨西哥湾和大西洋海岸拥有最多数量的客 船。
在禁酒令期间,许多客船船长发现把急切想 喝酒的顾客运到 3 海里外,外国船只允许卖酒的地方是一桩赚钱的买卖。当然走私酒也报酬丰厚, 但是危险就高多了。</t>
  </si>
  <si>
    <t>会计，两项社交技能（取悦、话术、恐吓、说服），汽车驾驶，聆听，心理学，潜行或妙手，一项其他技能。</t>
  </si>
  <si>
    <t>同行企业，感兴趣的顾客。</t>
  </si>
  <si>
    <t>推销员是商务工作的必需一环,他们的工作就是推广和销售公司的产品或服务。大部分推销员的时间要用来旅行、开会、和客户应酬(在报销限额之内)。有些则主要坐办公室用电话联系 潜在客户,还有的会在各小区巡回,挨家挨户上门推销。
1920 年代是企业家的年代,旅行推销成了一种日常生活方式。这些人有些直接现货交易,有些通过托销交易,当然不管黑猫白猫,拿到订单的才是好猫,推销员要用强烈的销售策略才能说得客户,至于价钱就不是他们考虑的范围了。有些推销员在固定的地区工作,有些则可以自由漫 游,寻找任何地方可能出现的商机。如果是上门推销,那商品可能就是刷子、吸尘器或者百科全书之类的各种对象了。</t>
  </si>
  <si>
    <t>任意三项科学专业领域，计算机或图书馆，外语，母语，一项社交技能（取悦、话术、恐吓、说服），侦查。</t>
  </si>
  <si>
    <t>其他科学家和学术界人士，大学，所在企业和前员工。</t>
  </si>
  <si>
    <t>科学家是在追求知识的过程中挖掘真理的人。如果想要利用科学知识制造有用的物品,需要的 是工程师;而如果想要扩展“可能”这个概念的范围,那就是科学家的工作了。
科学家们通常在企业和大学工作,以进行他们的研究。
虽然主攻一个科学领域,但是真正称职的科 学家一般也能达到通晓其他数个科学领域的水平。他们对自己的母语也能使用自如,学历也相当高, 甚至拥有博士学位。</t>
  </si>
  <si>
    <r>
      <rPr>
        <sz val="11"/>
        <color rgb="FF000000"/>
        <rFont val="微软雅黑 Light"/>
        <charset val="134"/>
      </rPr>
      <t>教育×</t>
    </r>
    <r>
      <rPr>
        <sz val="11"/>
        <color indexed="8"/>
        <rFont val="微软雅黑 Light"/>
        <charset val="134"/>
      </rPr>
      <t>2＋敏捷或外貌×2</t>
    </r>
  </si>
  <si>
    <t>会计，技艺（打字或速记），两项社交技能（取悦、话术、恐吓、说服），母语，图书馆或计算机，心理学，任意一项其他个人或时代特长。</t>
  </si>
  <si>
    <t>其他办公室人员，客户公司的高管。</t>
  </si>
  <si>
    <t>秘书的范围是从高薪的私人管理助理到普通的打字员。这份工作的重点在于以自己各种沟通 协调能力,支持主管和经理人员。
因为身处企业流程的中心,许多秘书比老板对企业的内部运作和经营还要熟悉。
在 1920 年代,秘书工作主要是通信工作,例如听写打印信件,整理文文件系统,并为老板安排 会议时间。有的情况下,秘书还会负责老板的生活, 比如安排假期、为老板和家人置办礼物,还有保 护老板的安全。</t>
  </si>
  <si>
    <t>会计，两项社交技能（取悦、话术、恐吓、说服），电气维修，聆听，机械维修，心理学，侦查。</t>
  </si>
  <si>
    <t>本地的居民企业，本地警察，地方政府，顾客。</t>
  </si>
  <si>
    <t>店老板经营小店、市场摊位或者是小饭馆。这种店往往都是小本自营,不过也有为其他东家照顾生意的。不少店是家族式管理,工作人员大 部分都有亲属关系,其他的雇员即便有也很少。
在 1920 年代,还有不少的老板娘开起了自己的理发店和帽店。</t>
  </si>
  <si>
    <t>攀爬或游泳，闪避，格斗，射击，潜行，生存，下面任选两项：急救、机械维修、外语。</t>
  </si>
  <si>
    <t>士兵指的是从列兵到士官长(美国军衔制) 的统称。尽管名义上比起最新的次级少尉还低, 即便高级军官也往往对他们给予尊重。在美国, 标准的服役期限是六年,包括四年现役和两年后 备役。
所有应征人员首先要在“训练营(新兵连)” 接受基本训练,在训练营中新兵将学习如何行军、 射击和敬礼。结束训练营的训练后,大部分的新兵会分配到步兵营,虽然也有分配到炮兵营和坦 克营的。少部分会接受非战斗的训练,例如通风 系统、机械装备、文职甚至军官接待。海军陆战队名义上属于海军,但是和陆军士兵在背景、训练方式和技能方面都很相近。</t>
  </si>
  <si>
    <t>技艺（表演）或乔装，射击，聆听，外语，一项社交技能（取悦、话术、恐吓、说服），心理学，妙手，潜行。</t>
  </si>
  <si>
    <t>一般只有自己的上线，可能还有其他的秘密关系人。</t>
  </si>
  <si>
    <t>间谍为国家和组织的情报部门卖命。他们能以从大使到厨房清洁工的任何职业身份作为掩饰,刺探他们所需的情报。有些间谍数年如一日的持续着卧底工作,另一些穿个马甲就换一个身份。
在本国委任的间谍通常会去往外国工作。间谍除了情报收集和反情报收集的主要工作, 也会被委派其他任务,例如招募新间谍和国家批 准的暗杀等。</t>
  </si>
  <si>
    <t>5-10</t>
  </si>
  <si>
    <t>语言（母语或外语），图书馆，聆听，三个学习的专业，任意两项其他个人或时代特长。</t>
  </si>
  <si>
    <t>学院、其他学生，实习生也可能有商人等。</t>
  </si>
  <si>
    <t>学生可能在大学或学院学习,实习生则是正在接受宝贵的入职培训,获得最低报酬的公司员 工。</t>
  </si>
  <si>
    <t>10-50</t>
  </si>
  <si>
    <t>攀爬，闪避，电气维修或机械维修，格斗，急救，跳跃，游泳，下面任选一项：潜水、汽车驾驶、驾驶（任一），骑乘。</t>
  </si>
  <si>
    <t>电影和电视剧工作室，爆炸品和烟花生产企业，演员和导演。</t>
  </si>
  <si>
    <t>替身演员在电影和电视剧工业中活跃,专门 模拟坠楼、车祸等灾难场景。他们通常会接受格 斗技巧和舞台格斗的训练。任何的替身特技表演 都是有风险的,所以健康和安全是这个工作的核心元素。
在现代,替身演员基本都是工会的成员,想要加入工会,他们必须有证明自己能力的证书(例 如高级驾驶执照,潜水执照等等)。而且,所有 的特技场景还要有特技总监负责指导动作。但是在 1920 年代,这些演员组织、行业规范根本就没有成型,所以事故率和死亡率居高不下。</t>
  </si>
  <si>
    <t>0-15</t>
  </si>
  <si>
    <t>攀爬，格斗或投掷，聆听，自然，神秘学，侦查，游泳，生存（任一）。</t>
  </si>
  <si>
    <t>其他部落成员。</t>
  </si>
  <si>
    <t>至少,从家族忠诚来说,部落文化无处不在。在部落中,亲属关系和传统习俗的首䙳地位是不言而喻的。一个部落通常来说是一个相对较小的群体。相比起法律和个人权利,部落更加依据个人荣耀而裁定行为。崇拜、复仇、嘉奖以及荣耀－－所有的一切都是部落成员个人所有的,而如果领袖或是仇敌被视为有荣耀的人,那么他们个人也必然在某种程度上十分有名。在这样的环境下, 放逐是有着实际的效用在的。</t>
  </si>
  <si>
    <t>会计，汽车驾驶，一项社交技能（取悦、话术、恐吓、说服），历史，神秘学，心理学，科学（生物学，化学）。</t>
  </si>
  <si>
    <t>没有什么关系。</t>
  </si>
  <si>
    <t>殡葬师又叫殡葬业者或葬礼主持人,是负责运行丧葬仪式的职业。工作也包含土葬和火化等内容。在葬礼上,殡葬师要进行防腐、裹衣、入殓、 遗体美容等等工作。
殡葬师的执照由各州发放。他们可能自己拥有殡仪馆,或者在别人的殡仪馆工作。</t>
  </si>
  <si>
    <t>会计，两项社交技能（取悦、话术、恐吓、说服），格斗（斗殴），法律，聆听，操作重型机械，心理学。</t>
  </si>
  <si>
    <t>其他劳动领袖,政治伙伴，可能有犯罪组织。在 1920 年代，还有社会主义者、 共产主义者、无政府主义者。</t>
  </si>
  <si>
    <t>工会活动家是组织者、领导者,有时也是空 想者或者别有用心的抗议者,通常是工人的伙伴、 老板的对头。各行各业都有工会,不论是码头工人、 建筑工人、矿工还是演员。
在 20 世纪早期,工会活动家所在的工会面临着诸多危险。大企业想要毁掉它,政治家在支持它和谴责它之间摇摆不定,社会主义者和共产主义者试图影响它,还有犯罪组织试图夺取它。</t>
  </si>
  <si>
    <t>会计，技艺（任一），闪避，聆听，两项社交技能（取悦、话术、恐吓、说服），心理学，任意一项其他个人或时代特长。</t>
  </si>
  <si>
    <t>顾客，犯罪组织。</t>
  </si>
  <si>
    <t>服务生在酒店、酒吧或者其他餐饮业场所服务顾客。通常薪酬很低,不过通过对顾客良好服务, 可以得到他们给的小费。
在禁酒令时期,售酒场所的服务员是非法职业。不过犯罪组织把控的地下酒吧中仍然存在许多工作机会。</t>
  </si>
  <si>
    <t>会计，语言，法律，图书馆或计算机，聆听，一项社交技能（取悦、话术、恐吓、说服），任意两项其他个人或时代特长。</t>
  </si>
  <si>
    <t>其他办公室职员。</t>
  </si>
  <si>
    <t>白领工人可能是从最低等级的白领职员到中层或高层的管理人员。所属单位则可能从小型中型的本地企业直到大型的国家级甚至跨国公司。
职员被扣工资是家常便饭,工作也往往单调乏味。不过如果在工作中展现出了天分,那也会被看上,将来会得到提拔。</t>
  </si>
  <si>
    <t>20-80</t>
  </si>
  <si>
    <t>会计，外语，法律，两项社交技能（取悦、话术、恐吓、说服），心理学，任意两项其他个人或时代特长。</t>
  </si>
  <si>
    <t>旧时大学同学，共济会和其他兄弟会组织，地方和联邦政府，媒体和销售人员。</t>
  </si>
  <si>
    <t>白领工人可能是从最低等级的白领职员到中层或高层的管理人员。所属单位则可能从小型中型的本地企业直到大型的国家级甚至跨国公司。
中高层管理人员的工 资比较高,当然责任也比较重,要负责管理公司的日常事务。虽然未婚的白领并不少见,但很多管理人员还是很顾家,家里一般会有配偶和孩子——家庭通常是他们的期望。</t>
  </si>
  <si>
    <t>历史，两项社交技能（取悦、话术、恐吓、说服），心理学，潜行，任意三项其他个人或时代特长。</t>
  </si>
  <si>
    <t>宗教或兄弟会团体，新闻媒体。</t>
  </si>
  <si>
    <t>热情而有动力、鄙视安逸的生活,狂热者们为人类更好的生活或者为人类中最精华部分的利益而躁动不安。一些狂热者通过暴力推进他们的信仰,但是并不能说采取和平方式的就比他们好说话,他们每个人都梦想着为自己的理想辩护。</t>
  </si>
  <si>
    <t>动物驯养，会计，闪避，急救，自然，医学，科学（制药，动物学）。</t>
  </si>
  <si>
    <t>科学家，环保主义者。</t>
  </si>
  <si>
    <t>饲养员负责动物的喂养和看护,场地管理员和服务员管理其他杂务。通常饲养员会专门照看某一种动物,可以对动物使用「医学」技能。</t>
  </si>
  <si>
    <t>取悦，历史，恐吓，话术，聆听，母语，说服，心理学。(用一到两种外语取代前面两种技能)</t>
  </si>
  <si>
    <t>《克苏鲁的呼唤调查员伴侣》
职业</t>
  </si>
  <si>
    <t>联邦政府，新闻媒体，外国政府</t>
  </si>
  <si>
    <r>
      <rPr>
        <sz val="11"/>
        <color rgb="FF000000"/>
        <rFont val="微软雅黑 Light"/>
        <charset val="134"/>
      </rPr>
      <t>《克苏鲁的呼唤调查员伴侣》职业，</t>
    </r>
    <r>
      <rPr>
        <b/>
        <sz val="11"/>
        <color rgb="FFFF0000"/>
        <rFont val="微软雅黑 Light"/>
        <charset val="134"/>
      </rPr>
      <t>使用前请征得KP同意。</t>
    </r>
  </si>
  <si>
    <t>攀爬，跳跃，格斗（斗殴），外语，一项社交技能（取悦、话术、恐吓、说服），游泳，投掷，任意一项其他个人或时代特长。</t>
  </si>
  <si>
    <t>50-70</t>
  </si>
  <si>
    <t>攀爬，跳跃，格斗（斗殴），骑术，一项社交技能（取悦、话术、恐吓、说服），游泳，投掷，任意一项其他个人或时代特长。</t>
  </si>
  <si>
    <t>其他高尔夫球手，体育专栏作家，俱乐部同好。</t>
  </si>
  <si>
    <r>
      <rPr>
        <sz val="11"/>
        <color rgb="FF000000"/>
        <rFont val="微软雅黑 Light"/>
        <charset val="134"/>
      </rPr>
      <t>《克苏鲁的呼唤调查员伴侣》职业，</t>
    </r>
    <r>
      <rPr>
        <b/>
        <sz val="11"/>
        <color indexed="10"/>
        <rFont val="微软雅黑 Light"/>
        <charset val="134"/>
      </rPr>
      <t>使用前请征得KP同意。</t>
    </r>
  </si>
  <si>
    <t>跳跃，格斗（斗殴），闪避，一项社交技能（取悦、话术、恐吓、说服），心理学，侦察，投掷，任意一项其他个人或时代特长。</t>
  </si>
  <si>
    <t>其他网球选手，体育专栏作家，俱乐部同好。</t>
  </si>
  <si>
    <t>攀爬，跳跃，格斗（斗殴），外语，一项社交技能（取悦、话术、恐吓、说服），闪避，投掷，任意一项其他个人或时代特长。</t>
  </si>
  <si>
    <t>其他田径选手，体育专栏作家。</t>
  </si>
  <si>
    <t>乔装，闪避，三项社交技能（取悦、话术、恐吓、说服），心理学，外语，任意一项其他个人或时代特长。</t>
  </si>
  <si>
    <t>政府官员，企业家，可能的犯罪组织</t>
  </si>
  <si>
    <t>会计，两项社交技能（取悦、话术、恐吓、说服），法律，图书馆，心理学，任意两项其他个人或时代特长。</t>
  </si>
  <si>
    <t>使用前请征得KP同意。</t>
  </si>
  <si>
    <t>警察，法庭，街头路人，犯罪组织，赏金猎人。</t>
  </si>
  <si>
    <t>会计，母语，外语(拉丁文)，图书馆，神秘学，一项社交技能（取悦、话术、恐吓、说服），心理学，任意一项其他技能。</t>
  </si>
  <si>
    <t>仅限1920年代使用</t>
  </si>
  <si>
    <t>母语，外语（希伯来语），历史，图书馆，神秘学，一项社交技能（取悦、话术、恐吓、说服），心理学，任意一项其他技能。</t>
  </si>
  <si>
    <t>犹太学者，地方犹太人团体</t>
  </si>
  <si>
    <t>乔装，一项社交技能（取悦、话术、恐吓、说服），历史或图书馆，母语，外语，心理学，潜行。</t>
  </si>
  <si>
    <t>世界传媒业，外国政府，军队或者其他。</t>
  </si>
  <si>
    <t>格斗（斗殴），两项社交技能（取悦、话术、恐吓、说服），射击（手枪），外语，心理学，任意两项其他个人或时代特长。</t>
  </si>
  <si>
    <t>其他激进分子，艺术家和作家，工会。</t>
  </si>
  <si>
    <t>母语，艺术（文学），两项社交技能（取悦、话术、恐吓、说服），历史，图书馆，聆听，心理学。</t>
  </si>
  <si>
    <t>地方新闻业，记者和特别的编辑。</t>
  </si>
  <si>
    <t>会计,两项社交技能（取悦、话术、恐吓、说服）,心理学，侦察，妙手，任意一项其他个人或时代特长。</t>
  </si>
  <si>
    <t>犯罪组织，赌徒，警察，体育界</t>
  </si>
  <si>
    <t>会计，估价，两项社交技能（取悦、话术、恐吓、说服）,心理学，侦察，任意两项其他个人或时代特长。</t>
  </si>
  <si>
    <t>犯罪组织，赌徒，警察，欠自己债的人。</t>
  </si>
  <si>
    <t>乔装，一项社交技能（取悦、话术、恐吓、说服）,潜行，聆听，心理学，侦察，妙手，任意一项其他个人或时代特长。</t>
  </si>
  <si>
    <t>路人，也有一些从前打过交道的警察。</t>
  </si>
  <si>
    <t>会计，法律，图书馆，聆听，说服，侦察，任意其他两项个人或时代特长。</t>
  </si>
  <si>
    <t>犯罪组织，金融业界，地方检察官和法官。</t>
  </si>
  <si>
    <t>医疗专家，好莱坞，可能有罪犯。</t>
  </si>
  <si>
    <t>会计，汽车驾驶，电气维修，机械维修，导航，一项社交技能（取悦、话术、恐吓、说服），心理学，任意一项其他个人或时代特长。</t>
  </si>
  <si>
    <t>很少。</t>
  </si>
  <si>
    <t>会计，攀爬或跳跃，急救，图书馆，外语，一项社交技能（取悦、话术、恐吓、说服），两项研究领域相关技能。</t>
  </si>
  <si>
    <t>学界的其他学者，研究基金会，新闻媒体，外国政府官员。</t>
  </si>
  <si>
    <t>艺术/工艺(任一,如摄影)，攀爬，汽车驾驶，电气维修，机械维修，一项社交技能（取悦、话术、恐吓、说服），任意两项其他个人或时代特长。</t>
  </si>
  <si>
    <t>电影业，相关公会。</t>
  </si>
  <si>
    <t>司法科学家</t>
  </si>
  <si>
    <t>艺术（摄影），医学，法律，科学（化学，司法科学，药学），侦察，任意一项其他个人或时代特长。</t>
  </si>
  <si>
    <t>执法部门，地方实验室和化学品供应商</t>
  </si>
  <si>
    <t>会计，格斗（斗殴），闪避，两项社交技能（取悦、话术、恐吓、说服），急救，心理学，任意一项其他个人或时代特长。</t>
  </si>
  <si>
    <t>体育界，体育专栏作家，运动员时期的朋友。</t>
  </si>
  <si>
    <t>20-30</t>
  </si>
  <si>
    <t>人类学，攀爬，电气维修或机械维修，跳跃，操作重型机械，外语，生存（海上），任意一项其他个人或时代特长。</t>
  </si>
  <si>
    <t>海员公会，走私者。</t>
  </si>
  <si>
    <t>会计，技艺（乐器），一项社交技能（取悦、话术、恐吓、说服），聆听，心理学，三项其他技能。</t>
  </si>
  <si>
    <t>其他音乐家，音乐家公会，赞助人。</t>
  </si>
  <si>
    <t>赛车手/ 赛艇手</t>
  </si>
  <si>
    <t>汽车驾驶，电气维修，机械维修，驾驶（船），心理学，侦察，任意两项其他个人或时代特长。</t>
  </si>
  <si>
    <t>汽车业/ 船舶业，电影行业。</t>
  </si>
  <si>
    <t>艺术（表演），母语，取悦，话术，说服，心理学，任意两项其他个人或时代特长。</t>
  </si>
  <si>
    <t>广播新闻界，可能有好莱坞，根据广播节目的内容决定。</t>
  </si>
  <si>
    <t>信教顾客。</t>
  </si>
  <si>
    <t>会计，两项社交技能（取悦、话术、恐吓、说服），汽车驾驶，导航，聆听，心理学，一项其他技能。</t>
  </si>
  <si>
    <r>
      <rPr>
        <sz val="11"/>
        <color rgb="FF000000"/>
        <rFont val="微软雅黑 Light"/>
        <charset val="134"/>
      </rPr>
      <t>教育×</t>
    </r>
    <r>
      <rPr>
        <sz val="11"/>
        <color indexed="8"/>
        <rFont val="微软雅黑 Light"/>
        <charset val="134"/>
      </rPr>
      <t>2＋外貌×1</t>
    </r>
  </si>
  <si>
    <t>会计，两项社交技能（取悦、话术、恐吓、说服），心理学，四项经营业务相关技能。</t>
  </si>
  <si>
    <t>业务相关人士：银行家，供货商，顾客，等等。</t>
  </si>
  <si>
    <t>艺术/ 工艺（任一），母语，两项社交技能（取悦、话术、恐吓、说服），乔装，心理学，任意两项其他个人或时代特长。</t>
  </si>
  <si>
    <t>演剧业，演员公会。</t>
  </si>
  <si>
    <t>60-90</t>
  </si>
  <si>
    <t>会计，估价，母语，两项社交技能（取悦、话术、恐吓、说服），心理学，任意两项其他个人或时代特长。</t>
  </si>
  <si>
    <t>商界，饥渴的投资人。</t>
  </si>
  <si>
    <t>会计，艺术（摄影），图书馆，博物学，导航，生存（任一），侦察，任意一项其他个人或时代特长。</t>
  </si>
  <si>
    <t>州和地方档案局。</t>
  </si>
  <si>
    <t>母语，外语，两项社交技能（取悦、话术、恐吓、说服），聆听，心理学，任意两项其他个人或时代特长。</t>
  </si>
  <si>
    <t>同事，不过他们可以听到对话的内容，从而掌握公司的情报。</t>
  </si>
  <si>
    <t>会计，两项社交技能（取悦、话术、恐吓、说服），法律，心理学，侦察，任意两项其他个人或时代特长。</t>
  </si>
  <si>
    <t>出版业，电影业等等。</t>
  </si>
  <si>
    <t>艺术（摄影），电气维修，图书馆，机械维修，医学，科学（生物，化学，药学）。</t>
  </si>
  <si>
    <t xml:space="preserve">医院和医疗机构实验室器械、药品、化学品。
</t>
  </si>
  <si>
    <t>两项社交技能（取悦、话术、恐吓、说服），急救，医学，科学（药学），心理学，侦察，任意一项其他个人或时代特长。</t>
  </si>
  <si>
    <t>体育界。</t>
  </si>
  <si>
    <t>对应技能</t>
  </si>
  <si>
    <t>估价，攀爬，汽车驾驶或驾驶（飞行器或船），电气维修或机械维修，历史，跳跃，一项社交技能（取悦、话术、恐吓、说服），侦察。</t>
  </si>
  <si>
    <t>投资者，寻宝猎人伙伴，地方政府，外国政府，海岸卫队，地方执法部门。</t>
  </si>
  <si>
    <t>格斗（斗殴）</t>
  </si>
  <si>
    <t>汽车驾驶，射击（任一），格斗（斗殴，鞭），法律，说服或心理学，骑术，追踪。</t>
  </si>
  <si>
    <t>《日本秘史》
职业</t>
  </si>
  <si>
    <t>地方官员，本地居民，本地罪犯。</t>
  </si>
  <si>
    <r>
      <rPr>
        <sz val="11"/>
        <color rgb="FF000000"/>
        <rFont val="微软雅黑 Light"/>
        <charset val="134"/>
      </rPr>
      <t>《日本秘史》职业，</t>
    </r>
    <r>
      <rPr>
        <b/>
        <sz val="11"/>
        <color indexed="10"/>
        <rFont val="微软雅黑 Light"/>
        <charset val="134"/>
      </rPr>
      <t>使用前请征得KP同意。</t>
    </r>
  </si>
  <si>
    <t>格斗（日本刀）</t>
  </si>
  <si>
    <t>格斗（斗殴），汽车驾驶，机械维修，话术，恐吓，任意三项其他个人或时代特长。</t>
  </si>
  <si>
    <t>黑帮，其他暴走族和警察。</t>
  </si>
  <si>
    <t>5-60</t>
  </si>
  <si>
    <t>艺术（书法），历史或图书馆，外语（汉语或梵语），学识（佛教），一项社交技能（取悦、话术、恐吓、说服），心理学，聆听，任意一项其他个人或时代特长。</t>
  </si>
  <si>
    <t>社区领袖，殡葬业者等。</t>
  </si>
  <si>
    <t>艺术（书法，另任一），图书馆，神秘学，学识（神道教），一项社交技能（取悦、话术、恐吓、说服），心理学，任意一项其他个人或时代特长。</t>
  </si>
  <si>
    <t>射击（弓术）</t>
  </si>
  <si>
    <t>艺术（任一），图书馆，神秘学，学识（道教），一项社交技能（取悦、话术、恐吓、说服），科学（天文，地质），任意一项其他个人或时代特长。</t>
  </si>
  <si>
    <t>格斗（斗殴），博物学，神秘学，学识（佛教或神道教），心理学，潜行，任意两项其他个人或时代特长。</t>
  </si>
  <si>
    <t>格斗（矛）</t>
  </si>
  <si>
    <t>攀爬、潜行、跳跃、图书馆、格斗（任一）、母语、科学（任一）或历史、外语（英语或其他）。</t>
  </si>
  <si>
    <t>其他学生，教师。</t>
  </si>
  <si>
    <t>艺术（表演），聆听，学识（神道教），神秘学，历史，话术或说服，心理学，任意一项特长。※经KP同意，可以用「灵媒」技能代替一项自选技能。</t>
  </si>
  <si>
    <t>武术流派的使用方法：为自己的格斗或射击技能选择一个武术流派。若不选择，则意味着使用外国格斗术或普通酒吧斗殴</t>
  </si>
  <si>
    <t>艺术（书法，另任一），历史或图书馆，母语，学识（阴阳道），科学（天文），神秘学，任意一项其他个人或时代特长。</t>
  </si>
  <si>
    <t>图书馆，医学，神秘学，科学（化学），博物学，学识（道教），外语（汉语），急救或精神分析。</t>
  </si>
  <si>
    <t>历史，聆听，母语，心理学，两项社交技能（取悦、话术、恐吓、说服），任意两项其他个人或时代特长。</t>
  </si>
  <si>
    <t>语言学校，学生和其他教育者。</t>
  </si>
  <si>
    <t>格斗（日本刀）：初始值等于格斗(剑)，两者不能通用</t>
  </si>
  <si>
    <t>乔装，话术，聆听，侦察，潜行，妙手，心理学，任意一项其他个人或时代特长。</t>
  </si>
  <si>
    <t>其他非法移民，蛇头。</t>
  </si>
  <si>
    <t>闪避，格斗（斗殴），恐吓，跳跃，心理学，侦察，任意两项其他个人或时代特长。(你的体型可以超过99)</t>
  </si>
  <si>
    <t>忍术流派：忍者职业自动取得，其他人不能取得。该流派可以保密</t>
  </si>
  <si>
    <t>机械维修，操作重型机械，游泳，驾驶（船），科学（天文），导航，博物学，侦察。</t>
  </si>
  <si>
    <t>日系特定规则
《克苏鲁2010》
《克苏鲁与帝国》
《克苏鲁2015》
职业</t>
  </si>
  <si>
    <t>地方渔业部门，海警，养殖业者，潜水员。</t>
  </si>
  <si>
    <r>
      <rPr>
        <sz val="11"/>
        <color rgb="FF000000"/>
        <rFont val="微软雅黑 Light"/>
        <charset val="134"/>
      </rPr>
      <t>日系特定规则《克苏鲁2010》职业，</t>
    </r>
    <r>
      <rPr>
        <b/>
        <sz val="11"/>
        <color indexed="10"/>
        <rFont val="微软雅黑 Light"/>
        <charset val="134"/>
      </rPr>
      <t>使用前请征得KP同意。</t>
    </r>
  </si>
  <si>
    <t>艺术（任一），两项社交技能（取悦、话术、恐吓、说服），法律，外语，心理学，精神分析，任意一项其他个人或时代特长。</t>
  </si>
  <si>
    <t>精神病学家，心理学家，患者和咨询顾客，企业与学校等。</t>
  </si>
  <si>
    <t>一项社交技能（取悦、话术、恐吓、说服），自行车驾驶，急救，聆听，艺术/ 工艺（任一），图书馆，格斗（矛）或射击（弓术），外语（任一）。</t>
  </si>
  <si>
    <r>
      <rPr>
        <sz val="11"/>
        <color rgb="FF000000"/>
        <rFont val="微软雅黑 Light"/>
        <charset val="134"/>
      </rPr>
      <t>日系特定规则《克苏鲁与帝国》职业，</t>
    </r>
    <r>
      <rPr>
        <b/>
        <sz val="11"/>
        <color indexed="10"/>
        <rFont val="微软雅黑 Light"/>
        <charset val="134"/>
      </rPr>
      <t>使用前请征得KP同意。</t>
    </r>
  </si>
  <si>
    <t>急救，会计，手艺（木匠），说服，图书馆，外语（任一），任意两项其他个人或时代特长。</t>
  </si>
  <si>
    <t>寄宿家庭，赞助人，同乡会等。</t>
  </si>
  <si>
    <t>聆听，心理学，精神分析，科学（动物学），跳跃，追踪，博物学，任意一项其他个人或时代特长。
跳跃，追踪，博物学，任意一项其他个人或时代特长。</t>
  </si>
  <si>
    <r>
      <rPr>
        <sz val="11"/>
        <color rgb="FF000000"/>
        <rFont val="微软雅黑 Light"/>
        <charset val="134"/>
      </rPr>
      <t>日系特定规则《克苏鲁2015》职业，</t>
    </r>
    <r>
      <rPr>
        <b/>
        <sz val="11"/>
        <color indexed="10"/>
        <rFont val="微软雅黑 Light"/>
        <charset val="134"/>
      </rPr>
      <t>使用前请征得KP同意。</t>
    </r>
  </si>
  <si>
    <t>小学生调查员的转换：
建议潜行的初始值仍为40，原躲藏技能的初始值和随年龄增长的变化均忽略。</t>
  </si>
  <si>
    <t>医学，急救，科学（化学），锁匠，机械维修，电气维修，攀爬，跳跃。</t>
  </si>
  <si>
    <r>
      <rPr>
        <sz val="11"/>
        <color rgb="FF000000"/>
        <rFont val="微软雅黑 Light"/>
        <charset val="134"/>
      </rPr>
      <t>日系特定规则《克苏鲁2015》职业，</t>
    </r>
    <r>
      <rPr>
        <b/>
        <sz val="11"/>
        <color rgb="FFFF0000"/>
        <rFont val="微软雅黑 Light"/>
        <charset val="134"/>
      </rPr>
      <t>使用前请征得KP同意。</t>
    </r>
  </si>
  <si>
    <t>医学，急救，会计，一项社交技能（取悦、话术、恐吓、说服），法律，科学（药学），外语，任意一项其他个人或时代特长。</t>
  </si>
  <si>
    <t>急救，聆听，跳跃，追踪，攀爬，导航，生存（山地），外语。</t>
  </si>
  <si>
    <t>172（女学生）,173（寄居学生）号职业
仅限1920年代使用</t>
  </si>
  <si>
    <t xml:space="preserve">会计，技艺（摄影），技艺（任一），计算机或图书馆，乔装，心理学，侦察，任意一项其他个人特长。※可以通过成功的「侦察」检定，从对方的服饰判定其地位和收入等。
</t>
  </si>
  <si>
    <t>电气维修或机械维修，格斗，射击，急救，导航，驾驶（船），生存（海上），游泳。</t>
  </si>
  <si>
    <t>急救，机械维修，博物学，导航，一项社交技能（取悦、话术、恐吓、说服），驾驶（船），侦察，游泳。</t>
  </si>
  <si>
    <t>攀爬或游泳，射击，历史，跳跃，博物学，导航，外语，生存。</t>
  </si>
  <si>
    <t>技艺（表演,歌唱,舞蹈），乔装，两项社交技能（取悦、话术、恐吓、说服），聆听，心理学，任意两项其他个人或时代特长。</t>
  </si>
  <si>
    <t>技艺（歌唱,舞蹈,乐器），乔装，两项社交技能（取悦、话术、恐吓、说服），聆听，心理学，任意两项其他个人或时代特长。</t>
  </si>
  <si>
    <t>技艺（表演,杂技,喜剧），乔装，两项社交技能（取悦、话术、恐吓、说服），聆听，心理学，任意两项其他个人或时代特长。</t>
  </si>
  <si>
    <t>攀爬，闪避，跳跃，投掷，侦察，游泳，任意两项其他个人或时代特长。</t>
  </si>
  <si>
    <t>技艺（表演，歌唱，喜剧），乔装，两项社交技能（取悦、话术、恐吓、说服），聆听，心理学，计算机，电气维修。</t>
  </si>
  <si>
    <t>汽车驾驶、两项社交技能（取悦、话术、恐吓、说服），潜行，聆听，法律，任意两项其他个人或时代特长。</t>
  </si>
  <si>
    <t>神秘学，科学（物理，化学，生物），机械维修，艺术（摄影），电气维修，一项社交技能（取悦、话术、恐吓、说服）。</t>
  </si>
  <si>
    <t>教育×2＋教育或外貌×2</t>
  </si>
  <si>
    <t>艺术（表演），历史，图书馆，两项社交技能（取悦、话术、恐吓、说服），神秘学，心理学，任意一项其他个人或时代特长。</t>
  </si>
  <si>
    <t>手艺（烹饪），科学（生物，化学），格斗（斗殴），博物学，侦察，外语，任意一项其他个人或时代特长。</t>
  </si>
  <si>
    <t>计算机，电气维修，电子学，图书馆，侦察，一项社交技能（取悦、话术、恐吓、说服），任意两项其他技能。</t>
  </si>
  <si>
    <t>1-10</t>
  </si>
  <si>
    <t xml:space="preserve">计算机，聆听，潜行，图书馆，母语，任意三项符合尼特族形象的特长。
</t>
  </si>
  <si>
    <t>格斗（斗殴），射击，急救，一项社交技能（取悦、话术、恐吓、说服），法律，心理学，侦察和下面的一种个人特长：汽车驾驶或骑术。</t>
  </si>
  <si>
    <t>手艺（游戏），计算机，电气维修，电子学，聆听，一项社交技能（取悦、话术、恐吓、说服），任意两项其他个人或时代特长。</t>
  </si>
  <si>
    <t>艺术（任意），估价，潜行，一项社交技能（取悦、话术、恐吓、说服），急救，其他语言（欧洲），心理学，骑术，（乔装、钳工）中的一种，任意一项其他个人或时代特长</t>
  </si>
  <si>
    <t>《克苏鲁煤气灯》
职业</t>
  </si>
  <si>
    <r>
      <rPr>
        <sz val="11"/>
        <color rgb="FF000000"/>
        <rFont val="微软雅黑 Light"/>
        <charset val="134"/>
      </rPr>
      <t>《克苏鲁煤气灯》1980s职业，</t>
    </r>
    <r>
      <rPr>
        <b/>
        <sz val="11"/>
        <color rgb="FFFF0000"/>
        <rFont val="微软雅黑 Light"/>
        <charset val="134"/>
      </rPr>
      <t>使用前请征得KP同意。</t>
    </r>
  </si>
  <si>
    <t>会计，艺术（任意），估价，历史，图书馆，其他语言（欧洲），一项社交技能（取悦、话术、恐吓、说服），心理学，侦查，任意两项其他个人或时代特长</t>
  </si>
  <si>
    <t>70-99</t>
  </si>
  <si>
    <t>拉丁语，法律，其他语言（欧洲），一项社交技能（取悦、话术、恐吓、说服），骑术，射击（霰弹枪），任意三项其他个人或时代特长</t>
  </si>
  <si>
    <t>艺术及手艺（任意多种），估价，历史，图书馆，其他语言（欧洲），侦查，任意两项其他个人或时代特长</t>
  </si>
  <si>
    <t>艺术（写作），历史，图书馆，其他语言（欧洲），母语，一项社交技能（取悦、话术、恐吓、说服），心理学，任意两项其他个人或时代特长</t>
  </si>
  <si>
    <t>闪避，马车驾驶，跳跃，聆听，机械维修，博物学，导航，一项社交技能（取悦、话术、恐吓、说服），侦查，格斗（鞭），任意一项其他个人或时代特长</t>
  </si>
  <si>
    <t>20-65</t>
  </si>
  <si>
    <t>历史，拉丁语，图书馆，一项社交技能（取悦、话术、恐吓、说服），心理学，任意两项其他个人或时代特长</t>
  </si>
  <si>
    <t>人类学，估价，科学（化学），急救，历史，法律，图书馆，聆听，心理学，其他语言（任意），侦查，追踪，任意两项其他个人或时代特长</t>
  </si>
  <si>
    <t>仅限维多利亚时代使用</t>
  </si>
  <si>
    <t>会计，估价，手艺（任意多种），机械维修，一项社交技能（取悦、话术、恐吓、说服），侦查，任意一项其他个人或时代特长</t>
  </si>
  <si>
    <t>估价，乔装，一项社交技能（取悦、话术、恐吓、说服），潜行，锁匠，格斗（任意两项），任意一项其他个人或时代特长</t>
  </si>
  <si>
    <t>任意六项个人或时代特长</t>
  </si>
  <si>
    <t>艺术（任意多种），乔装，闪避，两项社交技能（取悦、话术、恐吓、说服），聆听，母语，心理学，任意三项其他个人或时代特长</t>
  </si>
  <si>
    <t>40-75</t>
  </si>
  <si>
    <t>潜行，急救，射击（手枪、来复枪）,导航，其他语言（任意）,一项社交技能（取悦、话术、恐吓、说服）,心理学，骑术,格斗（剑），侦查，（攀爬、游泳）中的一种</t>
  </si>
  <si>
    <t>45-70</t>
  </si>
  <si>
    <t>人类学，考古学，估价，科学（生物学），攀爬，急救，射击（手枪、来复枪），格斗（斗殴），博物学，导航，其他语言（任意），驾驶（小艇，船，热气球），骑术，潜行，侦查，游泳，追踪</t>
  </si>
  <si>
    <t>会计，两项社交技能（取悦、话术、恐吓、说服），法律，图书馆，聆听，锁匠，艺术及手艺（摄影），侦查，任意一项其他个人或时代特长</t>
  </si>
  <si>
    <t>估价，闪避，两项社交技能（取悦、话术、恐吓、说服），图书馆，聆听，其他语言（欧洲），母语，艺术及手艺（摄影），心理学，侦查。</t>
  </si>
  <si>
    <t>估价，一项社交技能（取悦、话术、恐吓、说服），闪避，急救，机械维修，重型机械操作，任意一项其他个人或时代特长，以及从以下任选两种：（攀爬，斗殴，手艺（任意），马车驾驶，驾驶：船）</t>
  </si>
  <si>
    <t>会计，估价，两项社交技能（取悦、话术、恐吓、说服），历史，拉丁语，法律，图书馆，聆听，心理学，任意两项其他个人或时代特长</t>
  </si>
  <si>
    <t>科学（生物学、药剂学），急救，拉丁语，图书馆，医学，心理学，任意两项其他个人或时代特长</t>
  </si>
  <si>
    <t>格斗（斗殴），闪避，一项社交技能（取悦、话术、恐吓、说服），急救，射击（手枪），法律，聆听，心理学，潜行，侦查</t>
  </si>
  <si>
    <t>图书馆，其他语言（欧洲），一项社交技能（取悦、话术、恐吓、说服），心理学，至多六种额外的学识技巧作为个人专长</t>
  </si>
  <si>
    <t>手艺（任意），历史，图书馆，机械维修，一项社交技能（取悦、话术、恐吓、说服），侦查，至多六种其他学识技巧作为个人专长</t>
  </si>
  <si>
    <t>手艺（任意），闪避，聆听，潜行，任意一项其他个人或时代特长，以及从以下中最多选取三个：（会计，估价，马车驾驶，礼仪，急救，其他语言（欧洲），说服）</t>
  </si>
  <si>
    <t>会计，估价，手艺（任意），聆听，一项社交技能（取悦、话术、恐吓、说服），心理学，侦查，任意一项其他个人或时代特长</t>
  </si>
  <si>
    <t>闪避，急救，潜行，聆听，机械维修，射击（来复枪），潜行，侦查，任意两项其他个人或时代特长</t>
  </si>
  <si>
    <t>乔装，一项社交技能（取悦、话术、恐吓、说服），潜行，历史，图书馆，聆听，锁匠，导航，其他语言（欧洲），心理学，侦查，格斗（任意）</t>
  </si>
  <si>
    <t>计算机使用，图书馆，法律，心理学，人类学，语言，一项社交技能（取悦、话术、恐吓、说服），科学(数学)，任意其他两项其他个人或时代特长。</t>
  </si>
  <si>
    <t>评估人工智能系统的道德风险与算法偏见，常在法律与技术的灰色地带工作，接触大量未公开的AI实验数据。</t>
  </si>
  <si>
    <t>教育×2+外貌×2</t>
  </si>
  <si>
    <t>法律，医学，急救，心理学，两项社交技能（取悦、话术、恐吓、说服），聆听，导航，潜行，任意两项其他个人或时代特长。</t>
  </si>
  <si>
    <t>陪同患者就医，协助沟通与流程引导。他们见闻广博，熟悉医院的人情世故与隐秘角落。</t>
  </si>
  <si>
    <t>教育×2+智力×2</t>
  </si>
  <si>
    <t>法律，估价，侦查，历史，神秘学，博物学，摄影，图书馆，技艺，任意两项其他个人或时代特长。</t>
  </si>
  <si>
    <t>鉴别奢侈品、艺术品或收藏品的真伪与价值。眼力毒辣，熟知造假工艺与市场黑话。</t>
  </si>
  <si>
    <t>教育×2+敏捷×2</t>
  </si>
  <si>
    <t>机械维修，电子学 Ω，电气维修，计算机使用 Ω，操作重型机械，驾驶（飞行器），导航，侦查，科学（物理），任意两项其他个人或时代特长。</t>
  </si>
  <si>
    <t>装配、调试及维修工业级或消费级无人机。熟悉飞控系统与空气动力学，常在危险环境作业。</t>
  </si>
  <si>
    <t>摄影，技艺，一项社交技能（取悦、话术、恐吓、说服），心理学，导航，汽车驾驶，生存（任意），任意两项其他个人或时代特长。</t>
  </si>
  <si>
    <t>在全球范围内为客户定制个性化旅行摄影。善于捕捉光影，也善于应对各种突发天气与地形。</t>
  </si>
  <si>
    <t>教育×2+意志×2</t>
  </si>
  <si>
    <t>动物驯养，一项社交技能（取悦、话术、恐吓、说服）,跳跃，闪避，心理学，潜行，投掷，急救，生存（任意），任意两项其他个人或时代特长。</t>
  </si>
  <si>
    <t>训练动物用于影视、安保或特种任务。深谙动物行为学，能与各类生物建立独特联系。</t>
  </si>
  <si>
    <t>教育×2+力量×2</t>
  </si>
  <si>
    <t>格斗（斗殴），闪避，聆听，攀爬，跳跃，导航，操作重型机械，生存（森林），急救，任意两项其他个人或时代特长。</t>
  </si>
  <si>
    <t>扑救林火，保卫自然资源。拥有超乎常人的体能、勇气和在极端环境下的生存能力。</t>
  </si>
  <si>
    <t>医学，心理学，科学（生物学），一项社交技能（取悦、话术、恐吓、说服），聆听，侦查，任意两项其他个人或时代特长。</t>
  </si>
  <si>
    <t>为客户定制睡眠、饮食、运动等健康改善方案。接触大量亚健康案例与前沿保健技术。</t>
  </si>
  <si>
    <t>40-80</t>
  </si>
  <si>
    <t>法律，图书馆，一项社交技能（取悦、话术、恐吓、说服），会计，估价，艺术，母语，任意两项其他个人或时代特长。</t>
  </si>
  <si>
    <t>代理作品版权交易，维护创作者权益。游走于出版社、律所与网络平台之间，信息灵通。</t>
  </si>
  <si>
    <t>科学（化学，物理学），电气维修，机械维修，计算机使用，侦查，急救，任意两项其他个人或时代特长。</t>
  </si>
  <si>
    <t>检测各类电池（如氢燃料电池）的性能与安全性。工作在高压、高温或有毒化学品的环境中。</t>
  </si>
  <si>
    <t>科学（生物学），科学（化学），急救，医学，会计，侦查，图书馆，任意两项其他个人或时代特长。</t>
  </si>
  <si>
    <t>研发新型食品（如代用茶、人造肉）。精通食品化学与感官评价，实验室里藏着各种奇特的配方。</t>
  </si>
  <si>
    <t>会计，估价，动物驯养，驾驶（任意），聆听，生存（任意），任意两项其他个人或时代特长。</t>
  </si>
  <si>
    <t>中介活畜交易，评估牲畜品质与市场价格。常年奔波于牧场与市场，熟知行业内的秘密。</t>
  </si>
  <si>
    <t>外语，母语，计算机使用，电气维修，机械维修，图书馆，科学（数学），电子学，心理学，任意两项其他个人或时代特长</t>
  </si>
  <si>
    <t>维护生产线AI质检设备精度。他们是自动化工厂的医生，确保冰冷的机械稳定运行。</t>
  </si>
  <si>
    <t>技艺，历史，手工艺（任意），估价，母语，侦查，神秘学，任意两项其他个人或时代特长。</t>
  </si>
  <si>
    <t>掌握并推广某项非物质文化遗产。既是艺术家也是商人，在传统与现代的夹缝中求生存。</t>
  </si>
  <si>
    <t>科学（生物学，植物学），机械维修，操作重型机械，估价，导航，生存（任意），侦查，任意两项其他个人或时代特长。</t>
  </si>
  <si>
    <t>管理垂直农场或无土栽培系统。他们是现代农业的科学家，在人工环境中创造丰收。</t>
  </si>
  <si>
    <t>格斗（斗殴），攀爬，跳跃，导航，急救，操作重型机械，心理学，任意两项其他个人或时代特长。</t>
  </si>
  <si>
    <t>在坍塌废墟中定位并营救幸存者。面对死亡与绝望，需要钢铁般的意志和精湛的救援技术。</t>
  </si>
  <si>
    <t>聆听，艺术，计算机使用，电气维修，心理学，潜行，任意两项其他个人或时代特长。</t>
  </si>
  <si>
    <t>为影视游戏创作环境音效与声音叙事。他们收集并创造声音，深知声音如何影响人的潜意识。</t>
  </si>
  <si>
    <t>计算机使用 Ω，图书馆，侦查，法律，两项社交技能（取悦、话术、恐吓、说服），心理学，潜行，任意两项其他个人或时代特长。</t>
  </si>
  <si>
    <t>追踪数据泄露源头，分析网络犯罪痕迹。在数字海洋中钓鱼，目标是隐藏最深的那条。</t>
  </si>
  <si>
    <t>天文学，导航，科学（地理学），一项社交技能（取悦、话术、恐吓、说服），生存（任意），摄影，任意两项其他个人或时代特长。</t>
  </si>
  <si>
    <t>带领天文观测活动，讲解星座与深空知识。在寂静的荒野中，为人们指引星辰的方向。</t>
  </si>
  <si>
    <t>医学，科学（化学），手艺（任意），心理学，机械维修，潜行，乔装，任意两项其他个人或时代特长。</t>
  </si>
  <si>
    <t>运用3D打印等科技修复创伤遗体，维护逝者尊严。终日与死亡为伴，需要极强的心理素质。</t>
  </si>
  <si>
    <t>两项社交技能（取悦、话术、恐吓、说服），艺术，表演，心理学，摄影，乔装，任意两项其他个人或时代特长。</t>
  </si>
  <si>
    <t>在社交媒体拥有大量粉丝，通过内容创作或表演获利。生活在聚光灯下，也生活在舆论的漩涡中。</t>
  </si>
  <si>
    <t>母语，一项社交技能（取悦、话术、恐吓、说服），心理学，计算使用，侦查，表演，聆听，任意两项其他个人或时代特长。</t>
  </si>
  <si>
    <t>实时解说比赛战况，提升观众观赛体验。口若悬河，反应迅速，是赛场气氛的掌控者。</t>
  </si>
  <si>
    <t>心理学，科学（化学），一项社交技能（取悦、话术、恐吓、说服），动物驯养，会计，潜行，神秘学，任意两项其他个人或时代特长。</t>
  </si>
  <si>
    <t>提供动物遗体火化与纪念仪式。他们是生命终点的摆渡人，安抚生者，送别亡宠。</t>
  </si>
  <si>
    <t>艺术，心理学，一项社交技能（取悦、话术、恐吓、说服），法律，医学，科学（化学），任意两项其他个人或时代特长。</t>
  </si>
  <si>
    <t>提供临终关怀规划与个性化葬礼设计。直面人类最深的恐惧，并试图赋予其美感与意义。</t>
  </si>
  <si>
    <t>智能动物驯养师</t>
  </si>
  <si>
    <t>动物驯养，计算机使用 Ω，科学（生物学），心理学，电气维修，侦查，任意两项其他个人或时代特长。</t>
  </si>
  <si>
    <t>训练动物配合AI设备收集生态数据。在科技与野性之间搭建桥梁，工作充满不可预测性。</t>
  </si>
  <si>
    <t>心理学，技艺①，技艺②，法律，图书馆，侦查，一项社交技能（取悦、话术、恐吓、说服），潜行，任意两项其他个人或时代特长。</t>
  </si>
  <si>
    <t>分析罪犯行为模式，辅助案件侦破。他们进入凶手的心灵迷宫，风险是可能迷失其中。</t>
  </si>
  <si>
    <t>说服，取悦，话术，恐吓，心理学，法律，聆听，侦查，潜行，任意三项其他个人或时代特长。</t>
  </si>
  <si>
    <t>调解亲子/婚姻/邻里矛盾，重建关系。他们是情绪的消防员，扑灭人们心中的怒火与怨恨。</t>
  </si>
  <si>
    <t>教育×2+体质×2</t>
  </si>
  <si>
    <t>机械维修，电气维修，潜水，操作重型机械，导航，急救，跳跃，闪避，任意两项其他个人或时代特长。</t>
  </si>
  <si>
    <t>在深海高压环境进行焊接作业。高风险高回报，面对黑暗、压力和不可知的海洋生物。</t>
  </si>
  <si>
    <t>技艺①，技艺②，机械维修，电气维修，科学①，科学②，摄影，侦查，妙手，任意两项其他个人或时代特长。</t>
  </si>
  <si>
    <t>复原古生物或制作机械模型。手艺精巧，对细节有近乎偏执的追求，常为博物馆或影视项目工作。</t>
  </si>
  <si>
    <t>导航，操作重型机械，侦查，摄影，机械维修，电气维修，电子学 Ω，潜行，计算机使用 Ω，任意两项其他个人或时代特长。</t>
  </si>
  <si>
    <t>操作无人机进行植保、测绘或物流配送。拥有上帝视角，但也需应对复杂的空域法规与突发故障。</t>
  </si>
  <si>
    <t>电气维修，机械维修，科学①（物理学），操作重型机械，攀爬，跳跃，侦查，任意两项其他个人或时代特长。</t>
  </si>
  <si>
    <t>维护磁悬浮列车轨道系统，确保悬浮稳定性。工作在高压电与强磁场的环境中，技术要求极高。</t>
  </si>
  <si>
    <t>会计，法律，计算机使用，说服，心理学，技艺①，话术，母语，任意两项其他个人或时代特长。</t>
  </si>
  <si>
    <t>运营虚拟角色IP，协调技术团队与商业合作。他们贩卖的不是肉体，而是完美无瑕的人设。</t>
  </si>
  <si>
    <t>科学①（植物学），科学②（生物学），生存：任意，技艺①，技艺②，机械维修，侦查，任意三项其他个人或时代特长。</t>
  </si>
  <si>
    <t>在植物工厂或特色农场栽培特定作物。精通光配方与营养液，是沉默植物的最佳伴侣。</t>
  </si>
  <si>
    <t>技艺①，技艺②，电气维修，电子学 Ω，说服，心理学，计算机使用 Ω，操作重型机械，侦查，任意两项其他个人或时代特长。</t>
  </si>
  <si>
    <t>设计城市建筑光影秀，融合科技与美学。用光线作画，重塑夜晚城市的视觉景观。</t>
  </si>
  <si>
    <t>生存：任意，导航，潜行，动物驯养，科学①（生物学），急救，侦查，聆听，闪避，任意两项其他个人或时代特长。</t>
  </si>
  <si>
    <t>迁野生蜂群至安全区，维护生物多样性。长期在野外工作，与偷猎者和恶劣环境作斗争。</t>
  </si>
  <si>
    <t>机械维修，电气维修，操作重型机械，导航，侦查，科学①（地质学），潜行，闪避，任意两项其他个人或时代特长。</t>
  </si>
  <si>
    <t>检测隧道结构裂缝，预防坍塌风险。在地底深处，依靠精密仪器和经验判断潜在危险。</t>
  </si>
  <si>
    <t>科学①（物理学)，科学②(化学），科学③，机械维修，电气维修，电子学 Ω，计算机使用，急救，侦查，任意两项其他个人或时代特长。</t>
  </si>
  <si>
    <t>进行核物理实验或核能应用研究。工作在防护严密的设施内，接触着人类最强大的能量。</t>
  </si>
  <si>
    <t>科学①（化学），机械维修，操作重型机械，汽车驾驶，驾驶：任意，急救，侦查，闪避，任意两项其他个人或时代特长。</t>
  </si>
  <si>
    <t>安全封存放射性废物，降低环境危害。身着厚重防护服，在辐射剂量仪的警报声中工作。</t>
  </si>
  <si>
    <t>法律，历史，图书馆，神秘学，估价，说服，话术，外语①，外语②，外语③，技艺①，技艺②，母语，追踪，任意两项其他个人或时代特长。</t>
  </si>
  <si>
    <t>跨国追讨非法流失文物，协调返还程序。精通国际法与艺术史，与各国博物馆和私人藏家周旋。</t>
  </si>
  <si>
    <t>计算机使用 Ω，电子学 Ω，电气维修，机械维修，心理学，说服，侦查，科学①，任意两项其他个人或时代特长。</t>
  </si>
  <si>
    <t>调试、优化并训练服务型或工业型机器人行为模式。他们是机器人的“老师”，教它们理解世界。</t>
  </si>
  <si>
    <t>科学①（物理学），科学②(天文学)，话术，说服，心理学，导航，急救，生存：太空，任意两项其他个人或时代特长。</t>
  </si>
  <si>
    <t>为客户设计亚轨道飞行计划，培训太空适应能力。面向顶级富豪，销售通往星空的船票。</t>
  </si>
  <si>
    <t>50-85</t>
  </si>
  <si>
    <t>科学①，科学②，计算机使用 Ω，电子学 Ω，机械维修，电气维修，导航，急救，母语，外语①，外语②，生存：太空，任意一项其他个人或时代特长。</t>
  </si>
  <si>
    <t>在空间站进行微重力环境下的科学实验。人类智慧的精英，在孤独的轨道上推动科技前沿。</t>
  </si>
  <si>
    <t>70-95</t>
  </si>
  <si>
    <t>科学①，科学②，导航，机械维修，电气维修，电子学 Ω，计算机使用 Ω，急救，医学，侦查，任意两项其他个人或时代特长。</t>
  </si>
  <si>
    <t>执行深空探测或外星驻留任务。人类文明的代表，直面宇宙的浩瀚与未知的危险。</t>
  </si>
  <si>
    <t>历史，神秘学，技艺①，技艺②，手工艺，科学①（化学），侦查，图书馆，估价，任意两项其他个人或时代特长。</t>
  </si>
  <si>
    <t>运用矿物颜料与金缮技术复原古代器物。让时光倒流，赋予破损的珍宝第二次生命。</t>
  </si>
  <si>
    <t>法律，计算机使用 Ω，图书馆，聆听，母语，外语①，心理学，侦查，技艺①，任意两项其他个人或时代特长。</t>
  </si>
  <si>
    <t>用VR设备三维还原庭审现场证据链。利用科技追求司法公正，确保每份记录都精确无误。</t>
  </si>
  <si>
    <t>法律，说服，恐吓，话术，心理学，聆听，侦查，母语，外语①，外语②，任意两项其他个人或时代特长。</t>
  </si>
  <si>
    <t>巡回各地审理重大或疑难案件。见多识广，明察秋毫，其判决往往能影响深远。</t>
  </si>
  <si>
    <t>医学，科学①（生物学），科学②（化学），科学③，技艺①，技艺②，心理学，说服，急救，任意两项其他个人或时代特长。</t>
  </si>
  <si>
    <t>根据客户代谢特点设计增肌减脂食谱。将科学融入日常饮食，帮助人们塑造更健康的身体。</t>
  </si>
  <si>
    <t>攀爬，跳跃，机械维修，电气维修，侦查，急救，闪避，任意两项其他个人或时代特长。</t>
  </si>
  <si>
    <t>清洁摩天大楼外立面。在百米高空与风和重力博弈，勇气是其最大的资本。</t>
  </si>
  <si>
    <t>技艺①，机械维修，电气维修，说服，潜行，侦查，历史，任意两项其他个人或时代特长。</t>
  </si>
  <si>
    <t>为密室逃脱或影视剧设计机关与年代感道具。创造令人信服的幻觉，是营造沉浸感的关键。</t>
  </si>
  <si>
    <t>科学①（生物学），科学②（化学），科学③，医学，机械维修，侦查，急救，任意两项其他个人或时代特长。</t>
  </si>
  <si>
    <t>在无菌环境分离培养临床级干细胞。操作着生命的基石，工作要求极度严谨与精确。</t>
  </si>
  <si>
    <t>科学①（生物学），科学②（化学），科学③，医学，计算机使用 Ω，图书馆，侦查，任意两项其他个人或时代特长。</t>
  </si>
  <si>
    <t>编辑基因以治疗疾病或强化机能。手握改写生命密码的力量，也背负着巨大的伦理压力。</t>
  </si>
  <si>
    <t>计算机使用，科学①（数学)，科学②(物理学），图书馆，电气维修，说服，心理学，任意三项其他个人或时代特长。</t>
  </si>
  <si>
    <t>为企业设计量子算法解决加密或物流优化问题。站在计算技术的最前沿，思考着颠覆传统的问题。</t>
  </si>
  <si>
    <t>动物驯养，心理学，说服，恐吓，潜行，生存：任意，急救，医学，任意两项其他个人或时代特长。</t>
  </si>
  <si>
    <t>协调民间救助组织，建立流浪动物管理网络。充满爱心，也需具备出色的组织与沟通能力。</t>
  </si>
  <si>
    <t>医学，科学（生物学），计算机使用，心理学，说服，急救，任意两项其他个人或时代特长。</t>
  </si>
  <si>
    <t>指导用户通过意念操控外部设备。探索人类意识与机械的融合边界，工作内容高度前沿。</t>
  </si>
  <si>
    <t>估价，科学①（地质学），技艺①，侦查，历史，神秘学，图书馆，任意两项其他个人或时代特长。</t>
  </si>
  <si>
    <t>在暗室中检测钻石荧光反应或其他宝石特性定级。眼光精准，熟知天然与合成宝石的细微差别。</t>
  </si>
  <si>
    <t>心理学，医学，技艺①（乐理），技艺②，聆听，说服，急救，神秘学，任意两项其他个人或时代特长。</t>
  </si>
  <si>
    <t>用旋律刺激患者语言功能区重建或进行心理疏导。用音符作为药物，治愈受伤的心灵与大脑。</t>
  </si>
  <si>
    <t>计算机使用 Ω，技艺①，心理学，图书馆，说服，电气维修，电子学 Ω，任意两项其他个人或时代特长。</t>
  </si>
  <si>
    <t>设计虚拟世界功能区划、建筑与社交规则。他们是数字世界的造物主，塑造着人类的第二人生。</t>
  </si>
  <si>
    <t>电气维修，电子学 Ω，机械维修，操作重型机械，攀爬，导航，急救，跳跃，生存：任意，任意两项其他个人或时代特长。</t>
  </si>
  <si>
    <t>驾驶无人机或亲临高空检测、清除电缆异物。高风险作业，对安全规程的要求达到极致。</t>
  </si>
  <si>
    <t>技艺①(表演)，心理学，历史，图书馆，侦查，聆听，话术，取悦，任意三项其他个人或时代特长。</t>
  </si>
  <si>
    <t>主持并推进桌面角色扮演游戏剧情。是讲述者、演员和裁判的集合体，掌控着故事的走向。</t>
  </si>
  <si>
    <t>操作重型机械，计算机使用 Ω，考古学，技艺①(摄影)，科学①（地理学），科学②，图书馆，侦查，神秘学，生存：遗迹，任意两项其他个人或时代特长。</t>
  </si>
  <si>
    <t>用三维激光扫描保存古代遗迹的原始数据。用数字技术为不可再生的文化遗产制作备份。</t>
  </si>
  <si>
    <t>法律，计算机使用 Ω，心理学，侦查，聆听，话术，说服，任意三项其他个人或时代特长。</t>
  </si>
  <si>
    <t>裁决电竞赛事中的违规行为，维护公平性。必须对游戏规则与竞技精神有最深刻的理解。</t>
  </si>
  <si>
    <t>医学，机械维修，电气维修，电子学 Ω，计算机使用，心理学，侦查，图书馆，妙手，任意两项其他个人或时代特长。</t>
  </si>
  <si>
    <t>定制智能假肢并训练用户进行神经信号控制。结合工程学与医学，帮助残疾人重获身体功能。</t>
  </si>
  <si>
    <t>技艺①，技艺②，科学①（生物学），科学②（化学），科学③，机械维修，急救，说服，任意三项其他个人或时代特长。</t>
  </si>
  <si>
    <t>设计太空菜单，解决失重环境下的烹饪与进食难题。为宇航员提供营养与心理慰藉。</t>
  </si>
  <si>
    <t>科学①（生物学），科学②（化学），科学③，法律，图书馆，说服，话术，侦查，任意两项其他个人或时代特长。</t>
  </si>
  <si>
    <t>建立声纹、虹膜等生物识别数据库用于安全认证。守护数字身份的大门，防止生物特征被冒用。</t>
  </si>
  <si>
    <t>历史，技艺①，技艺②，手工艺，科学（化学），图书馆，侦查，神秘学，任意两项其他个人或时代特长。</t>
  </si>
  <si>
    <t>复原失传的古代手工艺技艺。如复原唐代笺纸、古建筑彩画等，是活着的文化传承者。</t>
  </si>
  <si>
    <t>计算机使用 Ω，图书馆，心理学，科学①（数学），科学②，法律，侦查，说服，任意三项其他个人或时代特长。</t>
  </si>
  <si>
    <t>标注数据、调优自然语言模型。无需深厚编程背景，但需具备出色的理解与分类能力。</t>
  </si>
  <si>
    <t>导航，生存：（极地），科学①(气象学)，汽车驾驶，驾驶：任意，急救，攀爬，闪避，跳跃，任意两项其他个人或时代特长。</t>
  </si>
  <si>
    <t>组织极地科考旅行，保障极端环境安全。熟悉冰川、极寒与极昼极夜带来的独特挑战。</t>
  </si>
  <si>
    <t>法律，科学①（化学），科学②（生物学），科学③(司法科学)，技艺①摄影，技艺②，侦查，潜行，追踪，聆听，任意两项其他个人或时代特长。</t>
  </si>
  <si>
    <t>用荧光试剂等科技手段显现潜血指纹等微量物证。为破解悬案提供关键的科学证据。</t>
  </si>
  <si>
    <t>心理学，精神分析，母语，外语①，外语②，外语③，医学，技艺①表演，技艺②，聆听，说服，取悦，任意两项其他个人或时代特长。</t>
  </si>
  <si>
    <t>将五线谱转化为盲文乐谱，或为听障者提供实时手语翻译。打破沟通壁垒，促进社会包容。</t>
  </si>
  <si>
    <t>科学①(气象学)，科学②（地理学），计算机使用 Ω，母语，说服，话术，心理学，侦查，聆听，任意两项其他个人或时代特长。</t>
  </si>
  <si>
    <t>多语言播报环太平洋海啸、地震等自然灾害警报。信息的及时性与准确性关乎无数生命。</t>
  </si>
  <si>
    <t>科学①（物理学），机械维修，操作重型机械，计算机使用 Ω，侦查，急救，任意两项其他个人或时代特长。</t>
  </si>
  <si>
    <t>在风洞中测试超高层建筑或飞行器的抗风性能。收集的数据直接关系到未来产品的安全。</t>
  </si>
  <si>
    <t>科学①（化学），技艺①，医学，说服，会计，侦查，任意两项其他个人或时代特长。</t>
  </si>
  <si>
    <t>运用化学原理改变食物形态与口感，创造全新用餐体验。是厨师，也是食物实验室里的科学家。</t>
  </si>
  <si>
    <t>科学①（化学），科学②（物理学），机械维修，图书馆，计算机使用 Ω，侦查，任意两项其他个人或时代特长。</t>
  </si>
  <si>
    <t>研发碳纤维、石墨烯等新型材料。他们的发现可能颠覆整个制造业乃至人类社会。</t>
  </si>
  <si>
    <t>说服，话术，心理学，法律，会计，历史，潜行，任意两项其他个人或时代特长。</t>
  </si>
  <si>
    <t>为明星或企业设计负面舆情应对方案。在舆论的暴风雨中，试图力挽狂澜，扭转公众印象。</t>
  </si>
  <si>
    <t>动物驯养，操作重型机械，侦查，生存：（任意），潜行，急救，任意两项其他个人或时代特长。</t>
  </si>
  <si>
    <t>用声波、猎鹰等手段驱离跑道附近鸟群，保障航空安全。工作是防止“鸟击”这种小概率大风险事件。</t>
  </si>
  <si>
    <t>操作重型机械，导航，机械维修，电气维修，计算机使用 Ω，急救，任意两项其他个人或时代特长。</t>
  </si>
  <si>
    <t>追踪并回收近地轨道上的废弃卫星及火箭残骸。太空的清洁工，防止碎片链式反应（凯斯勒综合征）。</t>
  </si>
  <si>
    <t>科学①（物理学），科学②（数学），技艺①，机械维修，计算机使用 Ω，说服，任意两项其他个人或时代特长。</t>
  </si>
  <si>
    <t>设计月球基地、火星城或轨道空间站等外星建筑。需考虑微重力、辐射、气压等极端因素。</t>
  </si>
  <si>
    <t>科学①（化学），科学②（地质学），医学，说服，心理学，急救，任意两项其他个人或时代特长。</t>
  </si>
  <si>
    <t>根据地质数据与客户需求调配矿物温泉成分。将天然资源与健康理念结合，创造疗愈体验。</t>
  </si>
  <si>
    <t>科学①（生物学），科学②（地质学），科学③，导航，操作重型机械，技艺①摄影，生存：（任意），任意两项其他个人或时代特长。</t>
  </si>
  <si>
    <t>操作机器鱼群或卫星数据，收集并分析全球生态变化数据。是地球健康的监测员与预警者。</t>
  </si>
  <si>
    <t>医学，科学①（生物学），科学②(基因学)，心理学，图书馆，说服，急救，医学，任意两项其他个人或时代特长。</t>
  </si>
  <si>
    <t>解读基因检测报告，提供疾病预防与生活指导。帮助人们理解自身的生命蓝图并做出应对。</t>
  </si>
  <si>
    <t>会计，估价，法律，汽车驾驶，驾驶：任意，潜行，乔装，说服，任意两项其他个人或时代特长。</t>
  </si>
  <si>
    <t>利用跨境物流与政策差，为客户购买并邮寄境外商品。熟悉海关法规与各国热门商品。</t>
  </si>
  <si>
    <t>计算机使用 Ω，导航，电气维修，心理学，侦查，说服，话术，任意三项其他个人或时代特长。</t>
  </si>
  <si>
    <t>规划多无人机或机器人协同工作路线，规避冲突。是AI“蜂群”的大脑，指挥着集体行动。</t>
  </si>
  <si>
    <t>汽车驾驶，驾驶：任意，导航，机械维修，潜行，侦查，闪避，任意三项其他个人或时代特长。</t>
  </si>
  <si>
    <t>在城市或星际间完成最后一公里的包裹配送。熟悉每一条捷径，应对各种收件人与突发路况。</t>
  </si>
  <si>
    <t>技艺①表演，技艺②，心理学，闪避，跳跃，说服，取悦，话术，潜行，乔装，任意两项其他个人或时代特长。</t>
  </si>
  <si>
    <t>在线上或线下陪伴客户进行娱乐活动（如游戏、运动）。提供情绪价值与专业技能。</t>
  </si>
  <si>
    <t>技艺①表演，心理学，话术，说服，取悦，聆听，乔装，潜行，闪避，任意两项其他个人或时代特长。</t>
  </si>
  <si>
    <t>假扮客户伴侣应付家庭或社交场合。演技高超，善于阅读空气，并能快速建立信任感。</t>
  </si>
  <si>
    <t>母语，说服，话术，取悦，恐吓，心理学，潜行，计算机使用 Ω，任意三项其他个人或时代特长。</t>
  </si>
  <si>
    <t>受雇于公关公司或个人，在网络上发表特定导向的评论。游走在网络暴力和言论自由的边缘。</t>
  </si>
  <si>
    <t>生存：任意，潜行，聆听，闪避，侦查，任意四项其他个人或时代特长。</t>
  </si>
  <si>
    <t>背负电子屏或物理广告牌在闹市区行走。收入微薄，是城市流动的风景，也是底层生存的写照。</t>
  </si>
  <si>
    <t>心理学，说服，取悦，聆听，母语，计算机使用 Ω，任意三项其他个人或时代特长。</t>
  </si>
  <si>
    <t>在线上提供情感咨询、倾听与疏导服务。是陌生人的树洞，吸收着大量的负面情绪。</t>
  </si>
  <si>
    <t>格斗：斗殴，历史，法律，母语，说服，心理学，侦查，任意两项其他个人或时代特长。</t>
  </si>
  <si>
    <t>在媒体上分析各国军力、战例与战略态势。通常有军方背景，信息源复杂，观点影响舆论。</t>
  </si>
  <si>
    <t>射击：手枪，射击①，射击②，射击③，科学①（物理学），科学②（化学），机械维修，电气维修，电子学 Ω，计算机使用 Ω，图书馆，任意两项其他个人或时代特长。</t>
  </si>
  <si>
    <t>设计并测试新一代单兵或重型武器。工作在机密实验室，平衡着杀伤力、成本与人道主义约束。</t>
  </si>
  <si>
    <t>格斗：斗殴，机械维修，潜行，聆听，攀爬，跳跃，游泳，任意三项其他个人或时代特长。</t>
  </si>
  <si>
    <t>在航母或大型舰船上负责清洁与基础维护。身处体系最底层，却目睹着高层的秘密与舰船的每个角落。</t>
  </si>
  <si>
    <t>80-99</t>
  </si>
  <si>
    <t>格斗：斗殴，格斗①，射击：手枪，射击①，射击②，射击③，驾驶：航母，导航，机械维修，心理学，话术，说服，恐吓，任意两项其他个人或时代特长。</t>
  </si>
  <si>
    <t>统率整支航母战斗群，是海上移动国土的最高负责人。决策关乎数千人性命与战略成败，压力巨大。</t>
  </si>
  <si>
    <t>格斗：斗殴，射击：手枪，操作重型机械，机械维修，攀爬，跳跃，闪避，急救，任意三项其他个人或时代特长。</t>
  </si>
  <si>
    <t>在战舰或岸防炮位手动或机械辅助装填重型弹药。工作枯燥且极度危险，需要力量与绝对的专注。</t>
  </si>
  <si>
    <t>格斗：斗殴，格斗①，格斗②，格斗③，汽车驾驶，驾驶：坦克，操作重型机械，机械维修，导航，潜行，射击：手枪，射击①，射击②，射击③，急救，生存：任意，任意一项其他个人或者时代特长。</t>
  </si>
  <si>
    <t>驾驶坦克或装甲运兵车执行突击或侦察任务。是钢铁巨兽的灵魂，在狭小空间内与战友生死与共。</t>
  </si>
  <si>
    <t>格斗：斗殴，机械维修，电气维修，电子学 Ω，汽车驾驶，驾驶：（任意），导航，科学①（物理学），科学②，侦查，聆听，闪避，任意两项其他个人或时代特长。</t>
  </si>
  <si>
    <t>在机场维护、检修与调试战斗机或运输机。他们的工作质量直接关系到飞行员的生命安全。</t>
  </si>
  <si>
    <t>射击：手枪，射击①，射击②，射击③，格斗：斗殴，格斗①，汽车驾驶，驾驶：飞行器，导航，机械维修，侦查，心理学，急救，任意两项其他个人或时代特长。</t>
  </si>
  <si>
    <t>驾驶战斗机执行制空、对地攻击等任务。拥有极高的反应速度与空间感知能力，在蓝天中决斗。</t>
  </si>
  <si>
    <t>侦查，潜行，导航，射击：手枪，射击①，射击②，科学①，心理学，急救，闪避，聆听，任意两项其他个人或时代特长。</t>
  </si>
  <si>
    <t>为炮兵或狙击手提供目标定位与弹着点校正。是远程火力的眼睛，需要无比的耐心和细致的观察力。</t>
  </si>
  <si>
    <t>急救，医学，心理学，潜行，侦查，汽车驾驶，驾驶：任意，任意两项其聆听，乔装，闪避，他个人或时代特长。</t>
  </si>
  <si>
    <t>在火线上抢救并后送伤员。冒着枪林弹雨工作，是士兵们的精神支柱，见证着战争最残酷的一面。</t>
  </si>
  <si>
    <t>驾驶：星舰，操作重型机械，计算机使用 Ω，导航，电气维修，机械维修，电子学 Ω，心理学，科学①（任意），攀爬，跳跃，潜行，任意两项其他个人或时代特长。</t>
  </si>
  <si>
    <t>在星舰上负责特定子系统（如动力、武器、通讯）的日常操作。深空中的专业技师，保障舰船正常运行。</t>
  </si>
  <si>
    <t>驾驶：星舰，导航，科学①天文学，科学②数学，科学③，计算机使用 Ω，图书馆，心理学，侦查，聆听，潜行，任意两项其他个人或时代特长。</t>
  </si>
  <si>
    <t>计算星际跃迁航线，引导星舰安全穿越浩渺虚空。一次微小的计算失误都可能导致灾难性的后果。</t>
  </si>
  <si>
    <t>机械维修，电气维修，电子学 Ω，科学①（物理学），科学②，计算机使用 Ω，操作重型机械，急救，侦查，任意两项其他个人或时代特长。</t>
  </si>
  <si>
    <t>在空间站或轨道设施外进行舱外活动，执行建造与维修任务。在太空中直面真空、辐射和微流星体。</t>
  </si>
  <si>
    <t>生存：宇宙，说服，话术，恐吓，取悦，心理学，历史，法律，外语①，外语②，外语③，母语，任意两项其他个人或时代特长。</t>
  </si>
  <si>
    <t>代表人类与外星文明进行交涉、谈判与结盟。一言一行都可能影响整个种族的命运，需具备超凡的智慧与定力。</t>
  </si>
  <si>
    <t>生存：宇宙，法律，会计，说服，历史，计算机使用 Ω，心理学，科学①，科学②，科学③，任意两项其他个人或时代特长。</t>
  </si>
  <si>
    <t>管理一个殖民星系或星域的政务、经济与防务。是数万亿生灵的治理者，在宏观尺度上塑造文明未来。</t>
  </si>
  <si>
    <t>9-25</t>
  </si>
  <si>
    <t>会计，聆听，说服，母语，心理学，侦查，潜行，急救，任意两项其他个人或时代特长。</t>
  </si>
  <si>
    <t>24小时便利店的多面手，处理收银、补货、客服等一切事务，见识过都市深夜的百态。</t>
  </si>
  <si>
    <t>汽车驾驶，驾驶：其他，导航，机械维修，潜行，侦查，闪避，聆听，任意两项其他个人或时代特长。</t>
  </si>
  <si>
    <t>在复杂的都市街巷中高效穿梭，确保包裹准时送达。熟悉每一条捷径，也常目睹意外事件。</t>
  </si>
  <si>
    <t>会计，法律，机械维修，说服，侦查，心理学，聆听，任意两项其他个人或时代特长。</t>
  </si>
  <si>
    <t>负责管理闲置或出租的房产，定期巡查，防止房屋“鬼屋化”，熟知邻里八卦与社区秘闻。</t>
  </si>
  <si>
    <t>25-60</t>
  </si>
  <si>
    <t>会计，汽车驾驶，机械维修，说服，侦查，导航，跳跃，任意两项其他个人或时代特长。</t>
  </si>
  <si>
    <t>在搬家前为客户进行物品断舍离与分类，规划高效搬运流程，是整理与物流的专家。</t>
  </si>
  <si>
    <t>科学（生物学，植物学），机械维修，说服，生存（任意），侦查，急救，任意两项其他个人或时代特长。</t>
  </si>
  <si>
    <t>在都市或乡村指导市民进行作物种植，推广现代农业技术，对自然生态有深入了解。</t>
  </si>
  <si>
    <t>25-80</t>
  </si>
  <si>
    <t>计算机使用 Ω，艺术（歌唱/绘画/表演），说服，取悦，话术，心理学，母语，任意两项其他个人或时代特长。</t>
  </si>
  <si>
    <t>以虚拟形象进行直播和视频创作，是演员、主播和偶像的集合体，活在真实与虚拟的夹缝中。</t>
  </si>
  <si>
    <t>25-55</t>
  </si>
  <si>
    <t>计算机使用 Ω，心理学，说服，母语，外语①，估价，会计，任意两项其他个人或时代特长。</t>
  </si>
  <si>
    <t>处理玩家投诉与游戏bug反馈，直面网络暴力，需要极强的心理承受能力和沟通技巧。</t>
  </si>
  <si>
    <t>计算机使用 Ω，心理学，精神分析，说服，话术，侦查，法律，任意两项其他个人或时代特长。</t>
  </si>
  <si>
    <t>教授游戏技巧与战术思维，帮助玩家提升水平。对游戏机制有深刻理解，善于分析问题。</t>
  </si>
  <si>
    <t>计算机使用 Ω，侦查，心理学，闪避，跳跃，说服，话术，任意两项其他个人或时代特长。</t>
  </si>
  <si>
    <t>以参加电子竞技比赛为职业。反应神速，专注力极高，职业生涯短暂且充满压力。</t>
  </si>
  <si>
    <t>母语，计算机使用 Ω，心理学，说服，侦查，技艺(表演)，任意两项其他个人或时代特长。</t>
  </si>
  <si>
    <t>实时解说比赛战况，分析局势，调动观众情绪。口齿伶俐，思维敏捷，是赛场与观众的桥梁。</t>
  </si>
  <si>
    <t>技艺①摄影，技艺②，操作重型机械，导航，侦查，驾驶：无人机，任意两项其他个人或时代特长。</t>
  </si>
  <si>
    <t>操作无人机进行空中摄影与录像。需考取许可，常在高楼、山区等危险或特殊环境作业。</t>
  </si>
  <si>
    <t>计算机使用 Ω，法律，说服，心理学，潜行，任意两项其他个人或时代特长。</t>
  </si>
  <si>
    <t>受雇于企业或个人，从互联网上清除负面信息。游走在法律与道德的边缘，见识网络的阴暗面。</t>
  </si>
  <si>
    <t>计算机使用 Ω，法律，图书馆，心理学，侦查，任意两项其他个人或时代特长。</t>
  </si>
  <si>
    <t>按遗嘱处理逝者的社交账号、数字货币、电子照片等数字资产，常接触逝者未公开的秘密。</t>
  </si>
  <si>
    <t>电气维修，计算机使用 Ω，机械维修，攀爬，侦查，任意两项其他个人或时代特长。</t>
  </si>
  <si>
    <t>负责家庭与企业的网络安装与故障排除。需要爬高钻低，解决各种物理与逻辑层面的问题。</t>
  </si>
  <si>
    <t>会计，艺术，历史，说服，心理学，任意两项其他个人或时代特长。</t>
  </si>
  <si>
    <t>为动漫、偶像、铁道等御宅文化爱好者策划主题旅游或线下聚会活动，是社群的核心组织者。</t>
  </si>
  <si>
    <t>手工艺，历史，技艺①表演，技艺②摄影，说服，话术，取悦，任意两项其他个人或时代特长。</t>
  </si>
  <si>
    <t>通过直播平台向观众展示并讲解茶道、花道、武道等非物质文化遗产，在新时代传承古老技艺。</t>
  </si>
  <si>
    <t>30-65</t>
  </si>
  <si>
    <t>会计，历史，神秘学，考古学，说服，心理学，任意两项其他个人或时代特长。</t>
  </si>
  <si>
    <t>负责古老寺庙或神社的日常运营、法事活动和社交媒体宣传，连接着传统信仰与现代商业。</t>
  </si>
  <si>
    <t>医学，急救，科学①（生物学），科学②，心理学，说服，聆听，任意两项其他个人或时代特长。</t>
  </si>
  <si>
    <t>运用温泉、饮食、汉方等传统方法为客户定制健康养生方案，兼具传统智慧与现代科学知识。</t>
  </si>
  <si>
    <t>40-85</t>
  </si>
  <si>
    <t>科学（化学），历史，技艺①，说服，侦查，心理学，估价，任意两项其他个人或时代特长。</t>
  </si>
  <si>
    <t>精通清酒或威士忌的品鉴，为酒厂提供改良建议，或为高级餐厅策划酒单，感官极其敏锐。</t>
  </si>
  <si>
    <t>20-55</t>
  </si>
  <si>
    <t>技艺①表演，技艺②，闪避，攀爬，跳跃，说服，心理学，取悦，话术，任意两项其他个人或时代特长。</t>
  </si>
  <si>
    <t>在企业活动、体育赛事中组织专业应援，设计口号与动作，是调动集体情绪的大师。</t>
  </si>
  <si>
    <t>35-70</t>
  </si>
  <si>
    <t>法律，机械维修，说服，话术，心理学，侦查，任意两项其他个人或时代特长。</t>
  </si>
  <si>
    <t>为企业和公共设施提供消防隐患排查和应急方案制定服务，对灾难有前瞻性的洞察力。</t>
  </si>
  <si>
    <t>科学①（生物学），科学②（化学），科学③，潜行，侦查，生存：（任意），任意两项其他个人或时代特长。</t>
  </si>
  <si>
    <t>使用生态友好的方法防治农林害虫或城市有害生物，避免使用化学农药，精通生物习性。</t>
  </si>
  <si>
    <t>会计，心理学，聆听，说服，侦查，任意两项其他个人或时代特长。</t>
  </si>
  <si>
    <t>管理学校或企业的宿舍，处理住户纠纷，维护秩序，是学生们倾诉心事的对象，知晓许多秘密。</t>
  </si>
  <si>
    <t>科学①（地理学），导航，说服，科学②，急救，侦查，闪避，跳跃，攀爬，任意两项其他个人或时代特长。</t>
  </si>
  <si>
    <t>在学校和社区指导民众进行地震、海啸等灾害的避险演习，是危机应对的权威。</t>
  </si>
  <si>
    <t>会计，技艺①，技艺②，说服，取悦，心理学，汽车驾驶，驾驶：（任意），任意两项其他个人或时代特长。</t>
  </si>
  <si>
    <t>为新人的“婚活”提供全程服务，从联谊指导到婚礼仪式策划，致力于打造完美的人生瞬间。</t>
  </si>
  <si>
    <t>技艺①，技艺②，机械维修，聆听，心理学，侦查，历史，图书馆，任意两项其他个人或时代特长。</t>
  </si>
  <si>
    <t>为钢琴、三味线等乐器进行精密的调音与维护。听力超凡，对手工技艺有极致追求。</t>
  </si>
  <si>
    <t>医学，急救，导航，说服，取悦，话术，心理学，母语，外语①，外语②，外语③，任意两项其他个人或时代特长。</t>
  </si>
  <si>
    <t>陪同外国患者在日本就医，提供翻译、沟通与流程引导服务，熟悉医疗体系与跨文化交流。</t>
  </si>
  <si>
    <t>技艺①，技艺②，机械维修，历史，侦查，会计，图书馆，说服，任意两项其他个人或时代特长。</t>
  </si>
  <si>
    <t>从事金属加工、木工、漆器等传统或现代手工艺制作。技艺精湛，作品蕴含独特的美学与灵魂。</t>
  </si>
  <si>
    <t>15-40</t>
  </si>
  <si>
    <t>驾驶：任意，汽车驾驶，操作重型机械，机械维修，侦查，生存，导航，恐吓，说服，任意两项其他个人或时代特长。</t>
  </si>
  <si>
    <t>负责城市垃圾的分类回收与运输，工作在脏乱臭的环境中，是维持都市运转的无名英雄。</t>
  </si>
  <si>
    <t>技艺①，技艺②，历史，考古学，机械维修，科学①（地质学），科学②，侦查，任意两项其他个人或时代特长。</t>
  </si>
  <si>
    <t>专精于古建筑或重要文化财的修复工作，掌握失传的传统技法，致力于让历史建筑重获新生。</t>
  </si>
  <si>
    <t>侦查，聆听，跳跃，攀爬，驾驶：船，导航，机械维修，说服，话术，任意三项其他个人或时代特长。</t>
  </si>
  <si>
    <t>驾驶小型渡轮或渔船，服务于离岛或沿海交通物流。熟悉海况，是海洋上的活地图与指挥官。</t>
  </si>
  <si>
    <t>计算机使用，电气维修，科学（数学），机械维修，侦查，说服，图书馆，任意两项其他个人或时代特长。</t>
  </si>
  <si>
    <t>为工厂的机械臂、自动化生产线编写和调试控制程序，是智能制造背后的隐形工程师。</t>
  </si>
  <si>
    <t>汽车驾驶，科学（数学，地质学），导航，法律，摄影，图书馆，侦查，任意两项其他个人或时代特长。</t>
  </si>
  <si>
    <t>使用精密仪器对土地和建筑进行测绘，为工程建设、土地交易提供法定数据依据。</t>
  </si>
  <si>
    <t>汽车驾驶，机械维修，潜行，侦查，导航，聆听，急救，生存：城市，任意两项其他个人或时代特长。</t>
  </si>
  <si>
    <t>城市的守夜人，在黎明前清扫街道，熟悉城市光鲜亮丽下的另一面，常在寂静的夜晚目睹不寻常的废弃事件，是都市传说的一线目击者。</t>
  </si>
  <si>
    <t>需要注意的是：艺术与手艺是试做部分，这些技能的注释仅供参考。
玩家也可以添加更多手艺，比如：游戏，木工，油漆工，铁匠等。
具体作用和KP交流好左边是自定义表,在下面写好改技能的备注(用法)</t>
  </si>
  <si>
    <t>技能查询</t>
  </si>
  <si>
    <t>请注意，这些解释的描述可能与规则书有所出入，但大体含义相同，如有解释差异请以规则书为准！
详见规则书第四章：技能</t>
  </si>
  <si>
    <t>技能成功等级与注释</t>
  </si>
  <si>
    <t>基础成功率</t>
  </si>
  <si>
    <t>成功难度等级取决于</t>
  </si>
  <si>
    <t>解释</t>
  </si>
  <si>
    <t>并不知晓有这种学问或技能的存在。</t>
  </si>
  <si>
    <t>1-5</t>
  </si>
  <si>
    <t>完完全全的门外汉，仅仅是知道有这种技能而已</t>
  </si>
  <si>
    <t>经过了最基础的了解，可以说出一两个专业名词，但是实际操作几乎不可能。</t>
  </si>
  <si>
    <t>11-19</t>
  </si>
  <si>
    <t>自行摸索的自学或经过一段不认真的教育（指学习与教课双方）之后获取的知识。</t>
  </si>
  <si>
    <t>20-25</t>
  </si>
  <si>
    <t>非常有天赋或非常努力的人可以在短时间内达到这种程度，再或者一些知识渊博的人也能得到这个级别的知识。</t>
  </si>
  <si>
    <t>26-39</t>
  </si>
  <si>
    <t>一定时间内经过了系统式的教育或名师指导。对这方面拥有了一个初步的了解，专业性上比普通人都要强，
但是实际操作依旧有些困难。</t>
  </si>
  <si>
    <t>40-49</t>
  </si>
  <si>
    <t>对这方面拥有很高的热情，但基础知识或学习时间依旧没有达到标准。
这阶段很可能是一个瓶颈期</t>
  </si>
  <si>
    <t>50</t>
  </si>
  <si>
    <t>已经可以以此为生但依旧不是非常熟练
如果以凭借此技能来谋生至少要达到50</t>
  </si>
  <si>
    <t>51-70</t>
  </si>
  <si>
    <t>不断精进的技术，虽然放到同行里一抓一大把但是基本上已经可以独当一面了。</t>
  </si>
  <si>
    <t>71-80</t>
  </si>
  <si>
    <t>在一定范围内你具有了比较高的知名度，虽然不至于成为权威但是已经是一个很好  的咨询对象了。
对于这个技能你无论怎么操作都非常得心应手（除了更加精进的钻研自己  的技术或说服流氓同行）</t>
  </si>
  <si>
    <t>81-90</t>
  </si>
  <si>
    <t>该专业的权威，即使你仅靠这方面的技能也能得到很多人的重视与保护。</t>
  </si>
  <si>
    <t xml:space="preserve">91-99 </t>
  </si>
  <si>
    <t>伟人级别，如果你有时间有精力，绝对可以创造一个不可磨灭的瑰宝留给后世子孙。</t>
  </si>
  <si>
    <t>100</t>
  </si>
  <si>
    <t>在当代，和这方面有关的事情你已经无所不知了，如果出现了一种你不认识的东西，这种东西就会被称为：新大陆</t>
  </si>
  <si>
    <t>101-110</t>
  </si>
  <si>
    <t>对于这方面拥有全新的解释或发现，并且已经初步了解了这些新知识。</t>
  </si>
  <si>
    <t>111-140</t>
  </si>
  <si>
    <t>超越本时代几乎所有人，能和你平起平坐的应该不会超过十个人。拥有着大量的发明创造，
甚至在之后很长一段时间内都会不分国界的被世人记住</t>
  </si>
  <si>
    <t>技能解释</t>
  </si>
  <si>
    <t>150</t>
  </si>
  <si>
    <t>进入了超时代的知识领域，即使穿越也可以成为该领域的专家 
从这个阶段开始和其相关的领域知识也会一并提高，并且可能是超时代的</t>
  </si>
  <si>
    <t>500</t>
  </si>
  <si>
    <t>在这方面上几乎所有知识的获取，已经没有任何成长的必要了，再获取的知识也不过是一些鸡毛蒜皮的小事</t>
  </si>
  <si>
    <t>如果你发现了难以理解的翻译、不完整的显示、或是其他各种问题请联系作者（在更新说明页有联系方式）</t>
  </si>
  <si>
    <t>技能可选规则</t>
  </si>
  <si>
    <t>专业技能：可以转移的技能优势</t>
  </si>
  <si>
    <t>艺术和手艺</t>
  </si>
  <si>
    <t>当一名角色的某些类似的技能与学识的成功率
提升到50%以上的时候：</t>
  </si>
  <si>
    <t>当一名角色的某些类似的技能与学识的成功率
提升到90%以上的时候：</t>
  </si>
  <si>
    <r>
      <rPr>
        <sz val="14"/>
        <color rgb="FF000000"/>
        <rFont val="微软雅黑"/>
        <charset val="134"/>
      </rPr>
      <t>当一名角色将一种</t>
    </r>
    <r>
      <rPr>
        <b/>
        <sz val="14"/>
        <color indexed="8"/>
        <rFont val="微软雅黑"/>
        <charset val="134"/>
      </rPr>
      <t>非母语语言</t>
    </r>
    <r>
      <rPr>
        <sz val="14"/>
        <color rgb="FF000000"/>
        <rFont val="微软雅黑"/>
        <charset val="134"/>
      </rPr>
      <t>的成功率
提升到了</t>
    </r>
    <r>
      <rPr>
        <b/>
        <sz val="14"/>
        <color indexed="8"/>
        <rFont val="微软雅黑"/>
        <charset val="134"/>
      </rPr>
      <t>50%</t>
    </r>
    <r>
      <rPr>
        <sz val="14"/>
        <color rgb="FF000000"/>
        <rFont val="微软雅黑"/>
        <charset val="134"/>
      </rPr>
      <t>以上的时候：</t>
    </r>
  </si>
  <si>
    <r>
      <rPr>
        <sz val="14"/>
        <color rgb="FF000000"/>
        <rFont val="微软雅黑"/>
        <charset val="134"/>
      </rPr>
      <t>当一名角色将一种</t>
    </r>
    <r>
      <rPr>
        <b/>
        <sz val="14"/>
        <color indexed="8"/>
        <rFont val="微软雅黑"/>
        <charset val="134"/>
      </rPr>
      <t>非母语语言</t>
    </r>
    <r>
      <rPr>
        <sz val="14"/>
        <color rgb="FF000000"/>
        <rFont val="微软雅黑"/>
        <charset val="134"/>
      </rPr>
      <t>的成功率
提升到了</t>
    </r>
    <r>
      <rPr>
        <b/>
        <sz val="14"/>
        <color indexed="8"/>
        <rFont val="微软雅黑"/>
        <charset val="134"/>
      </rPr>
      <t>90%</t>
    </r>
    <r>
      <rPr>
        <sz val="14"/>
        <color rgb="FF000000"/>
        <rFont val="微软雅黑"/>
        <charset val="134"/>
      </rPr>
      <t>以上的时候：</t>
    </r>
  </si>
  <si>
    <t>其他所有类似技能都会提升10%
但是不能超过50%</t>
  </si>
  <si>
    <t>其他所有类似技能又会提升10%
但是不能超过90%</t>
  </si>
  <si>
    <t>其他所有同语系的语言都会提升10%
但是不能超过50%</t>
  </si>
  <si>
    <t>其他所有同语系的语言都会提升10%
但是不能超过90%</t>
  </si>
  <si>
    <t>例如：作画成功率上升到50%的时候
书法、伪造、技术制图之类的的成功率都会提升10%
但假如技术制图的成功率是70%，那么它将则不会成长</t>
  </si>
  <si>
    <t>例如：德语成功率上升到50%的时候
在印欧语系内的英语、法语、意大利语、西班牙等的成功率都会提升10%
但假如英语的成功率是70%，那么英语则不会成长</t>
  </si>
  <si>
    <t>格斗、生存、驾驶、社交类、治疗类、维修类、科学、神话等
只要是KP认为有关联的技能都可以运用此规则</t>
  </si>
  <si>
    <t>当然这属于一个可选规则，kp也可以不选择此规则（看看我们的KP是善良还是邪恶呢~）</t>
  </si>
  <si>
    <t>另外，上述的10%是直接在现有值里增长10点，不是现有的成功率乘以0.1</t>
  </si>
  <si>
    <t>可选规则：给技能等级安个保险</t>
  </si>
  <si>
    <t>如果你担心原版规则的职业技能最高可以达到90%这点会影响游戏的话。
你可以要求PL在车卡的时候不能将技能的成功率点到XX%以上。
当然兴趣技能也可以运用此规则。</t>
  </si>
  <si>
    <r>
      <rPr>
        <sz val="12"/>
        <color rgb="FF000000"/>
        <rFont val="微软雅黑"/>
        <charset val="134"/>
      </rPr>
      <t>例如：KP在跑团之前放公告或提醒大家“这次跑团的技能上限是70/60”
这里的70/60，就是职业技能</t>
    </r>
    <r>
      <rPr>
        <b/>
        <sz val="12"/>
        <color rgb="FF000000"/>
        <rFont val="微软雅黑"/>
        <charset val="134"/>
      </rPr>
      <t>成功率</t>
    </r>
    <r>
      <rPr>
        <sz val="12"/>
        <color rgb="FF000000"/>
        <rFont val="微软雅黑"/>
        <charset val="134"/>
      </rPr>
      <t>最高70%
兴趣技能</t>
    </r>
    <r>
      <rPr>
        <b/>
        <sz val="12"/>
        <color rgb="FF000000"/>
        <rFont val="微软雅黑"/>
        <charset val="134"/>
      </rPr>
      <t>成功率</t>
    </r>
    <r>
      <rPr>
        <sz val="12"/>
        <color rgb="FF000000"/>
        <rFont val="微软雅黑"/>
        <charset val="134"/>
      </rPr>
      <t>最高可以达到60%</t>
    </r>
  </si>
  <si>
    <t>游戏系统少见规则</t>
  </si>
  <si>
    <r>
      <rPr>
        <sz val="18"/>
        <color rgb="FF000000"/>
        <rFont val="微软雅黑"/>
        <charset val="134"/>
      </rPr>
      <t>幕间成长：</t>
    </r>
    <r>
      <rPr>
        <sz val="12"/>
        <color rgb="FF000000"/>
        <rFont val="微软雅黑"/>
        <charset val="134"/>
      </rPr>
      <t xml:space="preserve">90%或更多的技能值 </t>
    </r>
  </si>
  <si>
    <t>对抗检定平手</t>
  </si>
  <si>
    <t>超越人体极限：多调查员协作检定</t>
  </si>
  <si>
    <t>调查员幕间成长（超越100）</t>
  </si>
  <si>
    <t>于幕间成长中：
若一位调查员有技能达到了 90%或更高，为他的当前SAN值增加 2D6 。
这一奖励表示经过磨练从精通一项技能中获得的自信。</t>
  </si>
  <si>
    <t>若在同属性或同技能的对抗中双方的成功等级相同：
技能（或属性）更高的一方获胜
若仍然相同则双方重新再骰一次
对抗不能孤注一掷</t>
  </si>
  <si>
    <t>调查员们只是人类，所以物理上存在能力的极限。
当对手拥有90或更高的属性时难度等级将为极难。
超过100+的技能和属性对于调查员来说是无法对抗的。比如一个人类不可能在力量方面上对抗一个力量220的黑山羊幼崽。</t>
  </si>
  <si>
    <t>除了意志和体型，人类的属性最大值都被定为了99，但是技能和属性不一样。
技能不仅能够更加精进更加熟练，而且用的越多越容易更熟练，而且还可以超越时代的熟练。
当你获得了99点的技能，不要担心ta会就此止步。
在幕间成长投出大于95的数字就可以为技能增加1D10的成功率，哪怕这个技能的成功率已经10000了也可以成长</t>
  </si>
  <si>
    <t>但是人类之所以是人类就是因为他们能做到不可能的事情</t>
  </si>
  <si>
    <t>将很多调查员的力量揉到一起，他们就能做到一个人类做不到的事情，在游戏中为以下表现。</t>
  </si>
  <si>
    <t>这是一只黑山羊幼崽
（STR 220）</t>
  </si>
  <si>
    <t>左上人类
（STR 50）</t>
  </si>
  <si>
    <t>右上人类
（STR 70）</t>
  </si>
  <si>
    <t>肥宅人类
（STR 20）</t>
  </si>
  <si>
    <t>大熊人类
（STR 90）</t>
  </si>
  <si>
    <t>公式：强大的存在-（人类①+人类②+人类③......）=x&lt;100</t>
  </si>
  <si>
    <t>例1：</t>
  </si>
  <si>
    <t>左上人类（STR60）面对着一个黑山羊幼崽，他想要和他掰手腕，但是很明显这会把自己掰了。于是他叫来了右上人类（STR70），他们两个人（STR50+70=120）用尽力气和黑山羊幼崽对抗。
220-（50+70）=100
这样就不是不可能了，虽然是极难难度但是已经从不可能变成可能了。于是右下人类骰出了骰子
D100=70（普通成功）</t>
  </si>
  <si>
    <t>例2：</t>
  </si>
  <si>
    <t>这两个人类很简单的就被掰傻了
但是他们不甘心，依然希望赢过黑山羊幼崽
正好一个STR20的肥宅人类路过。
于是他们就把肥宅人类当成朋友（消耗道具）用了。
220-（50+70+20）=80
这里力量最大的还是右上人类（STR 70）
80不在他的成功范围内但是已经低于90了于是就是困难难度
D100=100（大失败）</t>
  </si>
  <si>
    <t>例3：</t>
  </si>
  <si>
    <t>很可惜。。我们刚刚失去了肥宅
但是幸运的是天降大熊，有了他的帮助我们一定能成功的
220-（50+70+90）=10
终于，常规难度出现了，大熊人类是这里力量最大的
也就是说他骰出小于等于90的任何数字都可以成功！
D100=100（大失败）</t>
  </si>
  <si>
    <t>唉</t>
  </si>
  <si>
    <t>防具类型</t>
  </si>
  <si>
    <t>MOV
惩罚</t>
  </si>
  <si>
    <t>覆盖位置</t>
  </si>
  <si>
    <t>使用物种</t>
  </si>
  <si>
    <t>防利器
穿刺</t>
  </si>
  <si>
    <t>常见时代</t>
  </si>
  <si>
    <t>价格20s/现代($)</t>
  </si>
  <si>
    <t>乘客护甲</t>
  </si>
  <si>
    <t>乘客</t>
  </si>
  <si>
    <t>可驾驶体格</t>
  </si>
  <si>
    <t>可乘坐体格</t>
  </si>
  <si>
    <t>厚重皮夹克</t>
  </si>
  <si>
    <t>躯干</t>
  </si>
  <si>
    <t>人类、人型生物</t>
  </si>
  <si>
    <t>1920s,现代</t>
  </si>
  <si>
    <t>10/55</t>
  </si>
  <si>
    <t>规
则
书
内
的
防
护
物</t>
  </si>
  <si>
    <t>在危险的情形下,米戈通常会披上这些由发着微光的绿色黏液所织成的网状物这种装甲在对抗钝击、火焰、电击等伤害时会提供 8 点装甲值。
人类也能穿戴这种生化网状物，但会因毛发和肌肉被撕离而在每次脱下装甲时受到 1 点伤害。因为人类并不会分泌合适的、能够照料到这些装甲的营养液，一件生化网状装甲将会缓慢地分解。
每被人类穿戴过一次，一件生化网状装甲将降低一点护甲值。当失去所有护甲值时，这件装甲将分崩离析，变成一池弥散着蒸汽的黏性物质。穿戴该装甲是否会带来明显的副作用，则仍未可知。</t>
  </si>
  <si>
    <t>经济车</t>
  </si>
  <si>
    <t>-1,0,1</t>
  </si>
  <si>
    <t>≤2</t>
  </si>
  <si>
    <t>机动车</t>
  </si>
  <si>
    <t>规则书内的载具</t>
  </si>
  <si>
    <t>一战标准钢盔</t>
  </si>
  <si>
    <t>人类、有明显头颅的生物</t>
  </si>
  <si>
    <t>1920s</t>
  </si>
  <si>
    <t>N/A</t>
  </si>
  <si>
    <t>标准车</t>
  </si>
  <si>
    <t>-1至2</t>
  </si>
  <si>
    <t>1英寸（2.5厘米）硬木</t>
  </si>
  <si>
    <t>0.5/10 m²</t>
  </si>
  <si>
    <t>豪华车</t>
  </si>
  <si>
    <t>现代美军头盔</t>
  </si>
  <si>
    <t>跑车</t>
  </si>
  <si>
    <t>重型凯芙拉防弹背心</t>
  </si>
  <si>
    <t>敞篷小卡车</t>
  </si>
  <si>
    <t>2+</t>
  </si>
  <si>
    <t>≤3/后斗≤4</t>
  </si>
  <si>
    <t>1.5 （3.8厘米）英寸防弹玻璃</t>
  </si>
  <si>
    <t>100 m²</t>
  </si>
  <si>
    <t>6吨卡车</t>
  </si>
  <si>
    <t>1 英寸钢板</t>
  </si>
  <si>
    <t>1/10 m²</t>
  </si>
  <si>
    <t>半拖车</t>
  </si>
  <si>
    <t>3+</t>
  </si>
  <si>
    <t>≤3/后斗≤6</t>
  </si>
  <si>
    <t>大号沙包</t>
  </si>
  <si>
    <t>0.01/3</t>
  </si>
  <si>
    <t>轻摩托</t>
  </si>
  <si>
    <t>皮肤</t>
  </si>
  <si>
    <t>全身</t>
  </si>
  <si>
    <t>大象,深潜者,鳄鱼等</t>
  </si>
  <si>
    <t>?</t>
  </si>
  <si>
    <t>重摩托</t>
  </si>
  <si>
    <t>生化网状装甲</t>
  </si>
  <si>
    <t>？</t>
  </si>
  <si>
    <t>米戈、人型生物</t>
  </si>
  <si>
    <t>重型机械 或 专业训练</t>
  </si>
  <si>
    <t>重型载具</t>
  </si>
  <si>
    <t>砖墙</t>
  </si>
  <si>
    <t>5/60 m²</t>
  </si>
  <si>
    <t>蒸汽列车</t>
  </si>
  <si>
    <t>400+</t>
  </si>
  <si>
    <t>-1至3</t>
  </si>
  <si>
    <t>≤3，露天车厢≤4</t>
  </si>
  <si>
    <t>一尺深的水</t>
  </si>
  <si>
    <t>浸入部分</t>
  </si>
  <si>
    <t>43亿年前至今</t>
  </si>
  <si>
    <t>非穿着物</t>
  </si>
  <si>
    <t>这种情况是两种伤害：
从水面上攻击水面下的目标/在水面下攻击水面下的目标
并且火器的有效射程将在水中减少85%</t>
  </si>
  <si>
    <t>现代列车</t>
  </si>
  <si>
    <t>≤3</t>
  </si>
  <si>
    <t>半米深的水</t>
  </si>
  <si>
    <t>马（有骑手）</t>
  </si>
  <si>
    <t>骑乘</t>
  </si>
  <si>
    <t>自从人类存在</t>
  </si>
  <si>
    <t>其他载具</t>
  </si>
  <si>
    <t>一米深的水</t>
  </si>
  <si>
    <t>四马马车</t>
  </si>
  <si>
    <t>马车驾驶</t>
  </si>
  <si>
    <t>6+</t>
  </si>
  <si>
    <t>桌面板凳等 普通木质平面</t>
  </si>
  <si>
    <t>新石器时代后</t>
  </si>
  <si>
    <t>3/20 m²</t>
  </si>
  <si>
    <t>自行车</t>
  </si>
  <si>
    <t>弹簧床垫</t>
  </si>
  <si>
    <t>注意：
除“规则书内的防护物”的
“注释”、“防具类型”、“护甲值”，
“规则书内的载具”的“载具类型”、“技能”、“移动力”、“体格”、“乘客护甲”、“乘客数”、“注释”外
均为非规则书内容，使用前需要和KP商议</t>
  </si>
  <si>
    <t>划艇</t>
  </si>
  <si>
    <t>驾驶：船</t>
  </si>
  <si>
    <t>-2至2</t>
  </si>
  <si>
    <t>水
上
载
具</t>
  </si>
  <si>
    <t>半米厚水泥墙</t>
  </si>
  <si>
    <t>7/45 m²</t>
  </si>
  <si>
    <t>气垫船</t>
  </si>
  <si>
    <t>-2至3</t>
  </si>
  <si>
    <t>普通玻璃</t>
  </si>
  <si>
    <t>5/10 m²</t>
  </si>
  <si>
    <t>摩托艇</t>
  </si>
  <si>
    <t>驾驶：快艇</t>
  </si>
  <si>
    <t>1立方米石块</t>
  </si>
  <si>
    <t>古埃及之后</t>
  </si>
  <si>
    <t>5/20 m²</t>
  </si>
  <si>
    <t>游轮</t>
  </si>
  <si>
    <t>0（甲板上）</t>
  </si>
  <si>
    <t>至少2200</t>
  </si>
  <si>
    <t>≤4</t>
  </si>
  <si>
    <t>粗钢筋网(网状)</t>
  </si>
  <si>
    <t>40 m²</t>
  </si>
  <si>
    <t>驾驶：轮船</t>
  </si>
  <si>
    <t>至少1800</t>
  </si>
  <si>
    <t>这些载具都需要大量的驾驶员</t>
  </si>
  <si>
    <t>土堆</t>
  </si>
  <si>
    <t>航空母舰</t>
  </si>
  <si>
    <t>驾驶：战舰</t>
  </si>
  <si>
    <t>至少3200</t>
  </si>
  <si>
    <t>≤6</t>
  </si>
  <si>
    <t>罕见/现代</t>
  </si>
  <si>
    <t>卷闸门（铁）</t>
  </si>
  <si>
    <t>分隔整个空间</t>
  </si>
  <si>
    <t>30/70</t>
  </si>
  <si>
    <t>潜水艇</t>
  </si>
  <si>
    <t>至少120</t>
  </si>
  <si>
    <t>500张A4纸</t>
  </si>
  <si>
    <t>1/9</t>
  </si>
  <si>
    <t>公共汽车</t>
  </si>
  <si>
    <t>地面载具</t>
  </si>
  <si>
    <t>书</t>
  </si>
  <si>
    <t>1500年前至今</t>
  </si>
  <si>
    <t>10/15</t>
  </si>
  <si>
    <t>双层公交车</t>
  </si>
  <si>
    <t>大型动物的部分肢体</t>
  </si>
  <si>
    <t>大客车</t>
  </si>
  <si>
    <t>厚皮毡帽</t>
  </si>
  <si>
    <t>10/35</t>
  </si>
  <si>
    <t>工业防护眼镜无论是从任何方面来看都能很容易的被破坏，
只有受到正面的飞溅物才能发挥其保护主人的效果。</t>
  </si>
  <si>
    <t>纯电动汽车</t>
  </si>
  <si>
    <t>3或4</t>
  </si>
  <si>
    <t>铁面具</t>
  </si>
  <si>
    <t>罕见</t>
  </si>
  <si>
    <t>电动摩托</t>
  </si>
  <si>
    <t>击剑面具</t>
  </si>
  <si>
    <t>头+面+颈</t>
  </si>
  <si>
    <t>25/80</t>
  </si>
  <si>
    <t>全地形车</t>
  </si>
  <si>
    <t>冰球面罩(网状)</t>
  </si>
  <si>
    <t>头+眼部(网状)</t>
  </si>
  <si>
    <t>30/110</t>
  </si>
  <si>
    <t>在欧洲文艺复兴时期的盔甲都无比豪华亮丽，
尤其是整体设计和花纹确实无与伦比
很多产品看上去已经和工业革命时期没有什么区别了。</t>
  </si>
  <si>
    <t>吉普车</t>
  </si>
  <si>
    <t>工业防护眼镜</t>
  </si>
  <si>
    <t>眼部</t>
  </si>
  <si>
    <t>平衡车</t>
  </si>
  <si>
    <t>MOV+1</t>
  </si>
  <si>
    <t>电焊面罩</t>
  </si>
  <si>
    <t>2</t>
  </si>
  <si>
    <t>1/10</t>
  </si>
  <si>
    <t>冰刀、滑板、旱冰鞋等</t>
  </si>
  <si>
    <t>全防护级防毒面具(耐毒)</t>
  </si>
  <si>
    <t>人类、有明显口鼻的生物</t>
  </si>
  <si>
    <t>35/150</t>
  </si>
  <si>
    <t>驴</t>
  </si>
  <si>
    <t>工地安全帽(耐冲击)</t>
  </si>
  <si>
    <t>头顶</t>
  </si>
  <si>
    <t>拖拉机</t>
  </si>
  <si>
    <t>全防护摩托车帽</t>
  </si>
  <si>
    <t>25/90</t>
  </si>
  <si>
    <t>工业用车（挖掘机、打桩机等）</t>
  </si>
  <si>
    <t>重型机械操作、专业训练</t>
  </si>
  <si>
    <t>维京头盔</t>
  </si>
  <si>
    <t>头顶+眼部(网状)</t>
  </si>
  <si>
    <t>古代</t>
  </si>
  <si>
    <t>再来一遍！！！注意：
除“规则书内的防护物”的
“注释”、“防具类型”、“护甲值”，
“规则书内的载具”的“载具类型”、“技能”、“移动力”、“体格”、“乘客护甲”、“乘客数”、“注释”外
均为非规则书内容，使用前需要和KP商议</t>
  </si>
  <si>
    <t>非马畜力车、雪橇</t>
  </si>
  <si>
    <t>骑乘或马车驾驶</t>
  </si>
  <si>
    <t>古罗马头盔</t>
  </si>
  <si>
    <t>头顶+面颊</t>
  </si>
  <si>
    <t>民用航空</t>
  </si>
  <si>
    <t>空中载具</t>
  </si>
  <si>
    <t>藤条盔</t>
  </si>
  <si>
    <t>专业训练</t>
  </si>
  <si>
    <t>≤1</t>
  </si>
  <si>
    <t>中世纪全防护头盔</t>
  </si>
  <si>
    <t>中世纪</t>
  </si>
  <si>
    <t>轰炸机</t>
  </si>
  <si>
    <t>无人机并不是载具，但是很常见所以写在这里。</t>
  </si>
  <si>
    <t>文艺复兴头盔</t>
  </si>
  <si>
    <t>文艺复兴</t>
  </si>
  <si>
    <t>私人飞机</t>
  </si>
  <si>
    <t>4人以上</t>
  </si>
  <si>
    <t>金质镶钻王冠</t>
  </si>
  <si>
    <t>工业革命结束前</t>
  </si>
  <si>
    <t>老鼻子贵了</t>
  </si>
  <si>
    <t>涡轮喷气机</t>
  </si>
  <si>
    <t>击剑纤维服</t>
  </si>
  <si>
    <t>四肢、躯干、颈</t>
  </si>
  <si>
    <t>50/230</t>
  </si>
  <si>
    <t>躯干或全身</t>
  </si>
  <si>
    <t>货机</t>
  </si>
  <si>
    <t>热气球几乎不具备任何动力系统
通常依靠释放一定的热气、或者靠风力移动</t>
  </si>
  <si>
    <t>对练棉甲</t>
  </si>
  <si>
    <t>躯干、双臂、颈</t>
  </si>
  <si>
    <t>超音速飞机</t>
  </si>
  <si>
    <t>20+</t>
  </si>
  <si>
    <t>关节护具</t>
  </si>
  <si>
    <t>肘、膝、四肢、头</t>
  </si>
  <si>
    <t>人类、有明显关节的生物</t>
  </si>
  <si>
    <t>5/20</t>
  </si>
  <si>
    <t>护胸板</t>
  </si>
  <si>
    <t>前胸</t>
  </si>
  <si>
    <t>无人机</t>
  </si>
  <si>
    <t>锁子甲</t>
  </si>
  <si>
    <t>双臂、大腿、躯干、颈</t>
  </si>
  <si>
    <t>扎甲</t>
  </si>
  <si>
    <t>双翼机</t>
  </si>
  <si>
    <t>1或2</t>
  </si>
  <si>
    <t>鳞甲</t>
  </si>
  <si>
    <t>米兰盔甲</t>
  </si>
  <si>
    <t>除头部、全身</t>
  </si>
  <si>
    <t>独木舟</t>
  </si>
  <si>
    <t>水上载具</t>
  </si>
  <si>
    <t>藤甲</t>
  </si>
  <si>
    <t>木筏</t>
  </si>
  <si>
    <t>最多4</t>
  </si>
  <si>
    <t>板甲</t>
  </si>
  <si>
    <t>现代帆船</t>
  </si>
  <si>
    <t>驾驶：帆船</t>
  </si>
  <si>
    <t>胴丸</t>
  </si>
  <si>
    <t>比赛帆船</t>
  </si>
  <si>
    <t>纸甲</t>
  </si>
  <si>
    <t>渡河小船</t>
  </si>
  <si>
    <t>古代至今</t>
  </si>
  <si>
    <t>防刺服</t>
  </si>
  <si>
    <t>快艇</t>
  </si>
  <si>
    <t>常规防弹衣</t>
  </si>
  <si>
    <t>货轮</t>
  </si>
  <si>
    <t>15+</t>
  </si>
  <si>
    <t>防刺西服</t>
  </si>
  <si>
    <t>除头部、除手脚、全身</t>
  </si>
  <si>
    <t>客船</t>
  </si>
  <si>
    <t>600+</t>
  </si>
  <si>
    <t>军用防暴服</t>
  </si>
  <si>
    <t>海上移动钻井平台</t>
  </si>
  <si>
    <t>重型机械操作</t>
  </si>
  <si>
    <t>50左右</t>
  </si>
  <si>
    <t>≤5</t>
  </si>
  <si>
    <t>防化服</t>
  </si>
  <si>
    <t>地铁</t>
  </si>
  <si>
    <t>1800+</t>
  </si>
  <si>
    <t>固定路线载具</t>
  </si>
  <si>
    <t>工作手套</t>
  </si>
  <si>
    <t>双手</t>
  </si>
  <si>
    <t>拥有五指型手掌的生物</t>
  </si>
  <si>
    <t>0.1/3</t>
  </si>
  <si>
    <t>手脚四肢</t>
  </si>
  <si>
    <t>防刺手套</t>
  </si>
  <si>
    <t xml:space="preserve">空中轨道列车 </t>
  </si>
  <si>
    <t>11</t>
  </si>
  <si>
    <t>300+</t>
  </si>
  <si>
    <t>MOV与速度对照值</t>
  </si>
  <si>
    <t>冰球手套</t>
  </si>
  <si>
    <t>观光缆车</t>
  </si>
  <si>
    <t>8</t>
  </si>
  <si>
    <t>2或4</t>
  </si>
  <si>
    <t>军用特种手套</t>
  </si>
  <si>
    <t>高速铁路</t>
  </si>
  <si>
    <t>15</t>
  </si>
  <si>
    <t>MPH</t>
  </si>
  <si>
    <t>电焊手套</t>
  </si>
  <si>
    <t>磁悬浮列车</t>
  </si>
  <si>
    <t>16</t>
  </si>
  <si>
    <t>500+</t>
  </si>
  <si>
    <t>铁手甲</t>
  </si>
  <si>
    <t>轨道公交车</t>
  </si>
  <si>
    <t>13</t>
  </si>
  <si>
    <t>200+</t>
  </si>
  <si>
    <t>雨靴</t>
  </si>
  <si>
    <t>双脚</t>
  </si>
  <si>
    <t>拥有站立功能的双腿的生物</t>
  </si>
  <si>
    <t>0.5/10</t>
  </si>
  <si>
    <t>铁靴</t>
  </si>
  <si>
    <t>工业防护靴</t>
  </si>
  <si>
    <t>3/15</t>
  </si>
  <si>
    <t>PC防暴盾</t>
  </si>
  <si>
    <t>人类、可以拿起物品的生物</t>
  </si>
  <si>
    <t>盾</t>
  </si>
  <si>
    <t>用来阻止对方武器的进攻路线，以达到防护的目的</t>
  </si>
  <si>
    <t>这是一种非常小的盾牌，最小的种类半径不超过15厘米，与其说是让对方的武器打中盾牌以抵挡伤害，不如说是主动用盾牌去撞对方的武器。
一般来说需要用【斗殴】判断有没有格挡下伤害。</t>
  </si>
  <si>
    <t>金属镇暴盾</t>
  </si>
  <si>
    <t>MPH：英里每小时</t>
  </si>
  <si>
    <t>防弹钢盾</t>
  </si>
  <si>
    <t>术语解释/规则（凡例）</t>
  </si>
  <si>
    <t>格斗盾</t>
  </si>
  <si>
    <t>拳前</t>
  </si>
  <si>
    <t>人类、有手的生物</t>
  </si>
  <si>
    <t>MOV（移动速度）：在追逐中载具的速度和可操作性（maneuverability）的衡量等级。这些等级是为了现代载具
设定的，1920s 的载具需要减少大约 20%（尽管在 1920s 有能够超过 100MPH 的车）。</t>
  </si>
  <si>
    <t>圆木盾</t>
  </si>
  <si>
    <t>剑柄与剑身间相隔的突出部分，欧洲剑通常拥有剑格，通常来说都是用来格挡攻击的，也有用于装饰的。
虽然不是盾但是和盾的作用类似所以归在盾类型内。</t>
  </si>
  <si>
    <t>筝形盾</t>
  </si>
  <si>
    <t>圆铁盾</t>
  </si>
  <si>
    <t>Build（体格）：对于载具的力量和尺寸的衡量等级。当降低到 0 时，载具就会无法运转。每满 10 点伤害降低载具
1 点体格（小数点后舍去）；任何 10 以下的伤害会被无视。（或许也可以用于防具的护甲值）</t>
  </si>
  <si>
    <t>剑格、护手</t>
  </si>
  <si>
    <t>选择防具</t>
  </si>
  <si>
    <t>如果载具的体格降低到开始的一半（小数点后舍去）或更低，它就受到损伤。所有的汽车驾驶技能（或其他合适的技能）都要应用一个惩罚骰。</t>
  </si>
  <si>
    <t>如果在一次事故中载具承受了等同于它所有体格的伤害（小数点后舍去）载具会以一种令人非常印象深刻的方式完全的报废了。它可能爆炸、起火、滚动或以上几种的组合。所有载具上的乘客很可能会死。调查员是否拥有幸存的机会取决于守秘人：可以进行幸运骰。那些幸运的被扔出载具的人，尽管还是建议让他们承受至少 2d10 的伤害</t>
  </si>
  <si>
    <t>如果载具的体格累积的受到损伤（例如：比载具初始体格值低的较小值（in increments of less than the vehicle’s starting build value））减到了 0，
它便无法驾驶、慢慢停下来。根据情况（或许是幸运骰）这可能会导致异常交通事故，对驾驶员和每个乘客造成 1d10 损伤。</t>
  </si>
  <si>
    <t>术语解释</t>
  </si>
  <si>
    <t>Armor for people（乘客护甲）：这个护甲等级是为了乘客和驾驶员提供的，表明载具提供的对外界攻击的护甲值</t>
  </si>
  <si>
    <t>护甲 ：护甲可以降低角色受到的伤害，从伤害中减去护甲数值。</t>
  </si>
  <si>
    <t xml:space="preserve"> 躯干：是指大腿以上，锁骨以下以内的身体部位</t>
  </si>
  <si>
    <t>Passengers and crew（乘客和工作人员）：可以住宿的在在居上的人数。</t>
  </si>
  <si>
    <t>防利器穿刺：指的是带有利刃的冷兵器无法直接穿透该物体伤害到本体，并不是代表冷兵器不可破坏该物体</t>
  </si>
  <si>
    <t>网状：这种物品都有较大的空隙，最小足以将手指伸出去但头不能伸出去。</t>
  </si>
  <si>
    <t>√：表示肯定 ×：表示否定 ?：表示该物品在这方面的数据完全未知，或因情况有异</t>
  </si>
  <si>
    <t>追逐轮可选规则</t>
  </si>
  <si>
    <t>选择一条道路</t>
  </si>
  <si>
    <t>随机的险境和障碍</t>
  </si>
  <si>
    <t>在调查员被追逐的情况下，KP应当将调查员附近的环境或能选择逃跑的路径告诉调查员
这样调查员就可以选择一条更加简单或困难的通路，或是自己擅长并且可以拖住追逐者的道路。
比如田径队员会选择无比杂乱的街道，或者游泳运动员会选择一条河流来甩掉追逐者。</t>
  </si>
  <si>
    <t>通过本规则，KP可以为正在逃跑的调查员或追逐者造成一定困扰或便利。
首先骰一个1D100然后按照右表来给追逐轮填些花样。</t>
  </si>
  <si>
    <t>骰 1D100</t>
  </si>
  <si>
    <t>0-59</t>
  </si>
  <si>
    <t>畅通无阻</t>
  </si>
  <si>
    <t>60-84</t>
  </si>
  <si>
    <t>一个 普通 的险境or阻碍</t>
  </si>
  <si>
    <t>85-95</t>
  </si>
  <si>
    <t>一个 困难 的险境or阻碍</t>
  </si>
  <si>
    <t>95-100</t>
  </si>
  <si>
    <t>一个 致命 的险境or阻碍</t>
  </si>
  <si>
    <t>如果目前的道路或调查员的行为存在着严重的隐患，那么创造危险的骰子将会增加一个惩罚骰
比如在醉酒的情况下开车，或横穿车来车往的高速路等。</t>
  </si>
  <si>
    <t>突发险境</t>
  </si>
  <si>
    <t>这里看起来挺安全的，真的挺安全吗？</t>
  </si>
  <si>
    <t>猛踩油门</t>
  </si>
  <si>
    <t>一个地方一时安全不代表一世安全
马路上突然冲出来的车，没有拴好的狗，高空坠物，泥石流，地震，甚至恐怖袭击都是可能出现的
遛狗不拴狗等于狗遛狗</t>
  </si>
  <si>
    <t>在追逐轮内，无论何时，只要调查员或守秘人希望发生突发事件，那么kp就可以要求进行一次群体幸运骰。</t>
  </si>
  <si>
    <t>通常情况下，载具都是可以通过踩油门、推动制动杆、添柴等各种方法进行加速的。
这将可以使其移动力增加2-5倍</t>
  </si>
  <si>
    <t>正常情况下</t>
  </si>
  <si>
    <t>交通法还是很靠谱的，正常开不会有什么问题</t>
  </si>
  <si>
    <t>选择2-3倍移速</t>
  </si>
  <si>
    <t>滴，您已超速请慢行
这种速度下遇到任何险境都会增加一个惩罚骰</t>
  </si>
  <si>
    <t>如果幸运通过
那么突发事件将会按调查员所期望的发生</t>
  </si>
  <si>
    <t>如果幸运失败
KP就应该为调查员们指定一次突发事件</t>
  </si>
  <si>
    <t>突发事件的影响应该为正常难度。</t>
  </si>
  <si>
    <t>比如，一个行动力为4的汽车，正常情况下一轮只能移动4个位置。
但是如果全速开动，在这轮中很可能直接移动20个位置！</t>
  </si>
  <si>
    <t>选择4-5倍移速</t>
  </si>
  <si>
    <t>滴，您构成危害公众安全罪
这种速度下遇到任何险境都会增加两个惩罚骰</t>
  </si>
  <si>
    <t>当调查员要求了突发事件之后，直到kp要求突发事件之前都不能再次要求，反之亦然。
当追逐轮持续时间过长kp可以提升突发时间的难度。</t>
  </si>
  <si>
    <t>加速前，KP应该骰骰子决定调查员能看见多远的距离，这是判断加速是否安全最基本的办法。 具体骰子见左下角。</t>
  </si>
  <si>
    <t>但是超速怎么可能没有危险呢，见右栏</t>
  </si>
  <si>
    <t>拥挤的城市</t>
  </si>
  <si>
    <t>1d3</t>
  </si>
  <si>
    <t>城市内到处都是堵车和转角很难看到远方</t>
  </si>
  <si>
    <t>超速过程中遭遇险境虽然应该增加惩罚骰，但是如果该陷阱是障碍物的话这个惩罚骰可以视情况免除。
因为高速行驶对破坏障碍物是十分有利的。</t>
  </si>
  <si>
    <t>郊外</t>
  </si>
  <si>
    <t>1d6</t>
  </si>
  <si>
    <t>少了高楼大厦就能很清楚的看到前方的路了</t>
  </si>
  <si>
    <t>笔直的道路</t>
  </si>
  <si>
    <t>这种情况下可以看超~远der</t>
  </si>
  <si>
    <t>交通事故</t>
  </si>
  <si>
    <t>事故</t>
  </si>
  <si>
    <t>举例</t>
  </si>
  <si>
    <t>轻微事故：普通难度的险境一般都归在这里了，
虽然可能就是轻轻擦一下或者刮掉一块漆，但是还是可能发生危险的</t>
  </si>
  <si>
    <t>1D3-1
build</t>
  </si>
  <si>
    <t>被其他载具从侧面或后面冲撞     擦到路灯柱     撞到杆子上     撞到人或小型生物</t>
  </si>
  <si>
    <t>中等事故：一般都是困难难度的险境，可能导致严重的伤害，甚至会破坏汽车</t>
  </si>
  <si>
    <t>1D6
build</t>
  </si>
  <si>
    <t>撞到牛或鹿     和重型摩托或经济型轿车发生碰撞</t>
  </si>
  <si>
    <t>轻微事故：大部分极难难度的险境，很可能完全摧毁汽车。</t>
  </si>
  <si>
    <t>1D10
build</t>
  </si>
  <si>
    <t>和标准车     灯柱发生正面冲撞</t>
  </si>
  <si>
    <t>蓄意伤害：就算是货运汽车也可能被完全摧毁，普通汽车几乎没有生路。</t>
  </si>
  <si>
    <t>2D10
build</t>
  </si>
  <si>
    <t>和货运汽车     长途公车     成熟的树木发生冲撞</t>
  </si>
  <si>
    <t>马路杀手：如字面的意思，会杀死马路，还有上面的东西</t>
  </si>
  <si>
    <t>5D10
build</t>
  </si>
  <si>
    <t>和强大的破坏力、火车发生冲撞      被陨石砸中</t>
  </si>
  <si>
    <t>英文原版</t>
  </si>
  <si>
    <t>中文名称</t>
  </si>
  <si>
    <t>日译</t>
  </si>
  <si>
    <t>咒文描述</t>
  </si>
  <si>
    <t>施法用时</t>
  </si>
  <si>
    <t>EXILE EIHORT</t>
  </si>
  <si>
    <t>艾霍特流放术</t>
  </si>
  <si>
    <r>
      <rPr>
        <sz val="14"/>
        <color rgb="FF000000"/>
        <rFont val="MS Gothic"/>
        <charset val="134"/>
      </rPr>
      <t>アイホートを</t>
    </r>
    <r>
      <rPr>
        <sz val="14"/>
        <color rgb="FF000000"/>
        <rFont val="宋体"/>
        <charset val="134"/>
      </rPr>
      <t>追放</t>
    </r>
    <r>
      <rPr>
        <sz val="14"/>
        <color rgb="FF000000"/>
        <rFont val="MS Gothic"/>
        <charset val="134"/>
      </rPr>
      <t>する</t>
    </r>
  </si>
  <si>
    <r>
      <rPr>
        <sz val="14"/>
        <color rgb="FF000000"/>
        <rFont val="宋体"/>
        <charset val="134"/>
      </rPr>
      <t>艾霍特流放术〔驱〕</t>
    </r>
    <r>
      <rPr>
        <sz val="14"/>
        <color rgb="FF000000"/>
        <rFont val="Resource Han Rounded CN Normal"/>
        <charset val="134"/>
      </rPr>
      <t xml:space="preserve">
Exile Eihort
</t>
    </r>
    <r>
      <rPr>
        <sz val="14"/>
        <color rgb="FF000000"/>
        <rFont val="宋体"/>
        <charset val="134"/>
      </rPr>
      <t>消耗：可变的魔法值；</t>
    </r>
    <r>
      <rPr>
        <sz val="14"/>
        <color rgb="FF000000"/>
        <rFont val="Resource Han Rounded CN Normal"/>
        <charset val="134"/>
      </rPr>
      <t>1D4</t>
    </r>
    <r>
      <rPr>
        <sz val="14"/>
        <color rgb="FF000000"/>
        <rFont val="宋体"/>
        <charset val="134"/>
      </rPr>
      <t>点理智值（每名参与者）</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t>
    </r>
    <r>
      <rPr>
        <sz val="14"/>
        <color rgb="FF000000"/>
        <rFont val="宋体"/>
        <charset val="134"/>
      </rPr>
      <t>轮</t>
    </r>
    <r>
      <rPr>
        <sz val="14"/>
        <color rgb="FF000000"/>
        <rFont val="Resource Han Rounded CN Normal"/>
        <charset val="134"/>
      </rPr>
      <t xml:space="preserve">
</t>
    </r>
    <r>
      <rPr>
        <sz val="14"/>
        <color rgb="FF000000"/>
        <rFont val="宋体"/>
        <charset val="134"/>
      </rPr>
      <t>令旧日支配者艾霍特在英格兰的地下迷宫里呆上一年零一天。施法者和其他参与者（必须知道本法术）可以投入任意点魔法值。其他参与者（不知道本法术的）如果和施法者有物理接触，每人也可以投入</t>
    </r>
    <r>
      <rPr>
        <sz val="14"/>
        <color rgb="FF000000"/>
        <rFont val="Resource Han Rounded CN Normal"/>
        <charset val="134"/>
      </rPr>
      <t>1</t>
    </r>
    <r>
      <rPr>
        <sz val="14"/>
        <color rgb="FF000000"/>
        <rFont val="宋体"/>
        <charset val="134"/>
      </rPr>
      <t>点。每名参与者各自支付理智值消耗。将投入法术的魔法值乘以五，得到的百分值用来让施法者和艾霍特</t>
    </r>
    <r>
      <rPr>
        <sz val="14"/>
        <color rgb="FF000000"/>
        <rFont val="Resource Han Rounded CN Normal"/>
        <charset val="134"/>
      </rPr>
      <t>150</t>
    </r>
    <r>
      <rPr>
        <sz val="14"/>
        <color rgb="FF000000"/>
        <rFont val="宋体"/>
        <charset val="134"/>
      </rPr>
      <t>点的</t>
    </r>
    <r>
      <rPr>
        <sz val="14"/>
        <color rgb="FF000000"/>
        <rFont val="Resource Han Rounded CN Normal"/>
        <charset val="134"/>
      </rPr>
      <t>POW</t>
    </r>
    <r>
      <rPr>
        <sz val="14"/>
        <color rgb="FF000000"/>
        <rFont val="宋体"/>
        <charset val="134"/>
      </rPr>
      <t>进行对抗检定。如果施法者胜出，则法术成功，艾霍特将</t>
    </r>
    <r>
      <rPr>
        <sz val="14"/>
        <color rgb="FF000000"/>
        <rFont val="Resource Han Rounded CN Normal"/>
        <charset val="134"/>
      </rPr>
      <t>366</t>
    </r>
    <r>
      <rPr>
        <sz val="14"/>
        <color rgb="FF000000"/>
        <rFont val="宋体"/>
        <charset val="134"/>
      </rPr>
      <t>天不能离开它的迷宫。</t>
    </r>
    <r>
      <rPr>
        <sz val="14"/>
        <color rgb="FF000000"/>
        <rFont val="Resource Han Rounded CN Normal"/>
        <charset val="134"/>
      </rPr>
      <t xml:space="preserve">
</t>
    </r>
    <r>
      <rPr>
        <sz val="14"/>
        <color rgb="FF000000"/>
        <rFont val="宋体"/>
        <charset val="134"/>
      </rPr>
      <t>别名：艾霍特的驱逐</t>
    </r>
  </si>
  <si>
    <t>艾霍特流放术〔驱〕</t>
  </si>
  <si>
    <r>
      <rPr>
        <sz val="14"/>
        <color rgb="FF000000"/>
        <rFont val="宋体"/>
        <charset val="134"/>
      </rPr>
      <t>可变的魔法值；</t>
    </r>
    <r>
      <rPr>
        <sz val="14"/>
        <color rgb="FF000000"/>
        <rFont val="Resource Han Rounded CN Normal"/>
        <charset val="134"/>
      </rPr>
      <t>1D4</t>
    </r>
    <r>
      <rPr>
        <sz val="14"/>
        <color rgb="FF000000"/>
        <rFont val="宋体"/>
        <charset val="134"/>
      </rPr>
      <t>点理智值（每名参与者）</t>
    </r>
  </si>
  <si>
    <r>
      <rPr>
        <sz val="14"/>
        <color rgb="FF000000"/>
        <rFont val="Resource Han Rounded CN Normal"/>
        <charset val="134"/>
      </rPr>
      <t>3</t>
    </r>
    <r>
      <rPr>
        <sz val="14"/>
        <color rgb="FF000000"/>
        <rFont val="宋体"/>
        <charset val="134"/>
      </rPr>
      <t>轮</t>
    </r>
  </si>
  <si>
    <t>艾霍特的驱逐</t>
  </si>
  <si>
    <t>CAST OUT  THE DEVIL</t>
  </si>
  <si>
    <t>悪魔退散</t>
  </si>
  <si>
    <r>
      <rPr>
        <sz val="14"/>
        <color rgb="FF000000"/>
        <rFont val="宋体"/>
        <charset val="134"/>
      </rPr>
      <t>魔鬼逐出术〔驱〕</t>
    </r>
    <r>
      <rPr>
        <sz val="14"/>
        <color rgb="FF000000"/>
        <rFont val="Resource Han Rounded CN Normal"/>
        <charset val="134"/>
      </rPr>
      <t xml:space="preserve">
Cast Out The Devil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1D4</t>
    </r>
    <r>
      <rPr>
        <sz val="14"/>
        <color rgb="FF000000"/>
        <rFont val="宋体"/>
        <charset val="134"/>
      </rPr>
      <t>点理智值施法用时：</t>
    </r>
    <r>
      <rPr>
        <sz val="14"/>
        <color rgb="FF000000"/>
        <rFont val="Resource Han Rounded CN Normal"/>
        <charset val="134"/>
      </rPr>
      <t>1</t>
    </r>
    <r>
      <rPr>
        <sz val="14"/>
        <color rgb="FF000000"/>
        <rFont val="宋体"/>
        <charset val="134"/>
      </rPr>
      <t>天</t>
    </r>
    <r>
      <rPr>
        <sz val="14"/>
        <color rgb="FF000000"/>
        <rFont val="Resource Han Rounded CN Normal"/>
        <charset val="134"/>
      </rPr>
      <t xml:space="preserve">
</t>
    </r>
    <r>
      <rPr>
        <sz val="14"/>
        <color rgb="FF000000"/>
        <rFont val="宋体"/>
        <charset val="134"/>
      </rPr>
      <t>从异界存在手中释放被占据的目标。这个复杂而费力的法术需要一整天来施放，并且需要许多部族魔法的成分。施法者须和占据目标的存在进行一次</t>
    </r>
    <r>
      <rPr>
        <sz val="14"/>
        <color rgb="FF000000"/>
        <rFont val="Resource Han Rounded CN Normal"/>
        <charset val="134"/>
      </rPr>
      <t>POW</t>
    </r>
    <r>
      <rPr>
        <sz val="14"/>
        <color rgb="FF000000"/>
        <rFont val="宋体"/>
        <charset val="134"/>
      </rPr>
      <t>对抗检定并胜出，法术才能生效。</t>
    </r>
    <r>
      <rPr>
        <sz val="14"/>
        <color rgb="FF000000"/>
        <rFont val="Resource Han Rounded CN Normal"/>
        <charset val="134"/>
      </rPr>
      <t xml:space="preserve">
</t>
    </r>
    <r>
      <rPr>
        <sz val="14"/>
        <color rgb="FF000000"/>
        <rFont val="宋体"/>
        <charset val="134"/>
      </rPr>
      <t>最多可以有两名协助者参与，他们必须知道本法术，可以向施法者支援</t>
    </r>
    <r>
      <rPr>
        <sz val="14"/>
        <color rgb="FF000000"/>
        <rFont val="Resource Han Rounded CN Normal"/>
        <charset val="134"/>
      </rPr>
      <t>10</t>
    </r>
    <r>
      <rPr>
        <sz val="14"/>
        <color rgb="FF000000"/>
        <rFont val="宋体"/>
        <charset val="134"/>
      </rPr>
      <t>点魔法值，为检定增加一颗奖励骰。本法术很少在没有协助的情况下施放。</t>
    </r>
    <r>
      <rPr>
        <sz val="14"/>
        <color rgb="FF000000"/>
        <rFont val="Resource Han Rounded CN Normal"/>
        <charset val="134"/>
      </rPr>
      <t xml:space="preserve">
</t>
    </r>
    <r>
      <rPr>
        <sz val="14"/>
        <color rgb="FF000000"/>
        <rFont val="宋体"/>
        <charset val="134"/>
      </rPr>
      <t>不同文化中，比如非洲、凯尔特、阿拉伯群体，存在本法术的不同形式。需要的法术成分要体现施法者的文化传统。</t>
    </r>
    <r>
      <rPr>
        <sz val="14"/>
        <color rgb="FF000000"/>
        <rFont val="Resource Han Rounded CN Normal"/>
        <charset val="134"/>
      </rPr>
      <t xml:space="preserve">
</t>
    </r>
    <r>
      <rPr>
        <sz val="14"/>
        <color rgb="FF000000"/>
        <rFont val="宋体"/>
        <charset val="134"/>
      </rPr>
      <t>本法术可以对许多敌人使用</t>
    </r>
    <r>
      <rPr>
        <sz val="14"/>
        <color rgb="FF000000"/>
        <rFont val="Resource Han Rounded CN Normal"/>
        <charset val="134"/>
      </rPr>
      <t>——</t>
    </r>
    <r>
      <rPr>
        <sz val="14"/>
        <color rgb="FF000000"/>
        <rFont val="宋体"/>
        <charset val="134"/>
      </rPr>
      <t>帮助被伊戈罗纳克、伟大种族伊斯的精神、艾霍特的幼体等等占据的人。如果从目标身体里出现的存在是可见的，在驱魔现场的所有人都要进行相应的理智检定。</t>
    </r>
    <r>
      <rPr>
        <sz val="14"/>
        <color rgb="FF000000"/>
        <rFont val="Resource Han Rounded CN Normal"/>
        <charset val="134"/>
      </rPr>
      <t xml:space="preserve">
</t>
    </r>
    <r>
      <rPr>
        <sz val="14"/>
        <color rgb="FF000000"/>
        <rFont val="宋体"/>
        <charset val="134"/>
      </rPr>
      <t>别名：驱魔仪式、强迫恶魔、灵魂谋杀</t>
    </r>
  </si>
  <si>
    <t>魔鬼逐出术〔驱〕</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</si>
  <si>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1D4</t>
    </r>
    <r>
      <rPr>
        <sz val="14"/>
        <color rgb="FF000000"/>
        <rFont val="宋体"/>
        <charset val="134"/>
      </rPr>
      <t>点理智值</t>
    </r>
  </si>
  <si>
    <r>
      <rPr>
        <sz val="14"/>
        <color rgb="FF000000"/>
        <rFont val="Resource Han Rounded CN Normal"/>
        <charset val="134"/>
      </rPr>
      <t>1</t>
    </r>
    <r>
      <rPr>
        <sz val="14"/>
        <color rgb="FF000000"/>
        <rFont val="宋体"/>
        <charset val="134"/>
      </rPr>
      <t>天</t>
    </r>
  </si>
  <si>
    <t>驱魔仪式、强迫恶魔、灵魂谋杀</t>
  </si>
  <si>
    <t>UNMASK DEMON</t>
  </si>
  <si>
    <t>恶魔揭露术</t>
  </si>
  <si>
    <r>
      <rPr>
        <sz val="14"/>
        <color rgb="FF000000"/>
        <rFont val="宋体"/>
        <charset val="134"/>
      </rPr>
      <t>悪魔</t>
    </r>
    <r>
      <rPr>
        <sz val="14"/>
        <color rgb="FF000000"/>
        <rFont val="MS Gothic"/>
        <charset val="134"/>
      </rPr>
      <t>の</t>
    </r>
    <r>
      <rPr>
        <sz val="14"/>
        <color rgb="FF000000"/>
        <rFont val="宋体"/>
        <charset val="134"/>
      </rPr>
      <t>暴露</t>
    </r>
  </si>
  <si>
    <r>
      <rPr>
        <sz val="14"/>
        <color rgb="FF000000"/>
        <rFont val="宋体"/>
        <charset val="134"/>
      </rPr>
      <t>恶魔揭露术〔驱〕</t>
    </r>
    <r>
      <rPr>
        <sz val="14"/>
        <color rgb="FF000000"/>
        <rFont val="Resource Han Rounded CN Normal"/>
        <charset val="134"/>
      </rPr>
      <t xml:space="preserve">
Unmask Demon
</t>
    </r>
    <r>
      <rPr>
        <sz val="14"/>
        <color rgb="FF000000"/>
        <rFont val="宋体"/>
        <charset val="134"/>
      </rPr>
      <t>施法用时：（每名参与者）</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1D4+1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t>
    </r>
    <r>
      <rPr>
        <sz val="14"/>
        <color rgb="FF000000"/>
        <rFont val="宋体"/>
        <charset val="134"/>
      </rPr>
      <t>轮</t>
    </r>
    <r>
      <rPr>
        <sz val="14"/>
        <color rgb="FF000000"/>
        <rFont val="Resource Han Rounded CN Normal"/>
        <charset val="134"/>
      </rPr>
      <t xml:space="preserve">
</t>
    </r>
    <r>
      <rPr>
        <sz val="14"/>
        <color rgb="FF000000"/>
        <rFont val="宋体"/>
        <charset val="134"/>
      </rPr>
      <t>本法术通过神秘的姿势和咒语，破除一个活物的所有魔法伪装。本法术需要至少三人的团体参与施法，他们要清晰且有节奏地吟诵，领唱者还要同时打破一枚未受精的生蛋，蛋上面要画好目标的形象。施法者须和目标进行一次</t>
    </r>
    <r>
      <rPr>
        <sz val="14"/>
        <color rgb="FF000000"/>
        <rFont val="Resource Han Rounded CN Normal"/>
        <charset val="134"/>
      </rPr>
      <t>POW</t>
    </r>
    <r>
      <rPr>
        <sz val="14"/>
        <color rgb="FF000000"/>
        <rFont val="宋体"/>
        <charset val="134"/>
      </rPr>
      <t>对</t>
    </r>
    <r>
      <rPr>
        <sz val="14"/>
        <color rgb="FF000000"/>
        <rFont val="Resource Han Rounded CN Normal"/>
        <charset val="134"/>
      </rPr>
      <t xml:space="preserve">
</t>
    </r>
    <r>
      <rPr>
        <sz val="14"/>
        <color rgb="FF000000"/>
        <rFont val="宋体"/>
        <charset val="134"/>
      </rPr>
      <t>抗检定并胜出，法术才能生效。若成功，法术的参与者将在下一次观察目标时看到他的真实身份。当目标的真实身份揭露出来时，可能会损失理智值。</t>
    </r>
    <r>
      <rPr>
        <sz val="14"/>
        <color rgb="FF000000"/>
        <rFont val="Resource Han Rounded CN Normal"/>
        <charset val="134"/>
      </rPr>
      <t xml:space="preserve">
</t>
    </r>
    <r>
      <rPr>
        <sz val="14"/>
        <color rgb="FF000000"/>
        <rFont val="宋体"/>
        <charset val="134"/>
      </rPr>
      <t>别名：现汝蛇形、观察之咏、揭去面纱</t>
    </r>
  </si>
  <si>
    <t>恶魔揭露术〔驱〕</t>
  </si>
  <si>
    <r>
      <rPr>
        <sz val="14"/>
        <color rgb="FF000000"/>
        <rFont val="宋体"/>
        <charset val="134"/>
      </rPr>
      <t>（每名参与者）</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1D4+1</t>
    </r>
    <r>
      <rPr>
        <sz val="14"/>
        <color rgb="FF000000"/>
        <rFont val="宋体"/>
        <charset val="134"/>
      </rPr>
      <t>点理智值</t>
    </r>
  </si>
  <si>
    <t>现汝蛇形、观察之咏、揭去面纱</t>
  </si>
  <si>
    <t>NIGHTMARE</t>
  </si>
  <si>
    <t>梦魇术</t>
  </si>
  <si>
    <t>悪夢</t>
  </si>
  <si>
    <r>
      <rPr>
        <sz val="14"/>
        <color rgb="FF000000"/>
        <rFont val="宋体"/>
        <charset val="134"/>
      </rPr>
      <t>梦魇术（甲型）〔害、支〕</t>
    </r>
    <r>
      <rPr>
        <sz val="14"/>
        <color rgb="FF000000"/>
        <rFont val="Resource Han Rounded CN Normal"/>
        <charset val="134"/>
      </rPr>
      <t xml:space="preserve">
Nightmare
</t>
    </r>
    <r>
      <rPr>
        <sz val="14"/>
        <color rgb="FF000000"/>
        <rFont val="宋体"/>
        <charset val="134"/>
      </rPr>
      <t>消耗：</t>
    </r>
    <r>
      <rPr>
        <sz val="14"/>
        <color rgb="FF000000"/>
        <rFont val="Resource Han Rounded CN Normal"/>
        <charset val="134"/>
      </rPr>
      <t>8</t>
    </r>
    <r>
      <rPr>
        <sz val="14"/>
        <color rgb="FF000000"/>
        <rFont val="宋体"/>
        <charset val="134"/>
      </rPr>
      <t>点魔法值；</t>
    </r>
    <r>
      <rPr>
        <sz val="14"/>
        <color rgb="FF000000"/>
        <rFont val="Resource Han Rounded CN Normal"/>
        <charset val="134"/>
      </rPr>
      <t>1</t>
    </r>
    <r>
      <rPr>
        <sz val="14"/>
        <color rgb="FF000000"/>
        <rFont val="宋体"/>
        <charset val="134"/>
      </rPr>
      <t>点理智值施法用时：</t>
    </r>
    <r>
      <rPr>
        <sz val="14"/>
        <color rgb="FF000000"/>
        <rFont val="Resource Han Rounded CN Normal"/>
        <charset val="134"/>
      </rPr>
      <t>2</t>
    </r>
    <r>
      <rPr>
        <sz val="14"/>
        <color rgb="FF000000"/>
        <rFont val="宋体"/>
        <charset val="134"/>
      </rPr>
      <t>轮</t>
    </r>
    <r>
      <rPr>
        <sz val="14"/>
        <color rgb="FF000000"/>
        <rFont val="Resource Han Rounded CN Normal"/>
        <charset val="134"/>
      </rPr>
      <t xml:space="preserve">
</t>
    </r>
    <r>
      <rPr>
        <sz val="14"/>
        <color rgb="FF000000"/>
        <rFont val="宋体"/>
        <charset val="134"/>
      </rPr>
      <t>使目标经受可怕的梦魇，损失</t>
    </r>
    <r>
      <rPr>
        <sz val="14"/>
        <color rgb="FF000000"/>
        <rFont val="Resource Han Rounded CN Normal"/>
        <charset val="134"/>
      </rPr>
      <t>1D3</t>
    </r>
    <r>
      <rPr>
        <sz val="14"/>
        <color rgb="FF000000"/>
        <rFont val="宋体"/>
        <charset val="134"/>
      </rPr>
      <t>点理智值。</t>
    </r>
    <r>
      <rPr>
        <sz val="14"/>
        <color rgb="FF000000"/>
        <rFont val="Resource Han Rounded CN Normal"/>
        <charset val="134"/>
      </rPr>
      <t xml:space="preserve">
</t>
    </r>
    <r>
      <rPr>
        <sz val="14"/>
        <color rgb="FF000000"/>
        <rFont val="宋体"/>
        <charset val="134"/>
      </rPr>
      <t>只要施法者认识目标，本法术就可以在任何距离生效。震惊不已的受害者将无法回忆起梦魇的内容，除非其他人对他使用「精神分析」技能并检定成功。</t>
    </r>
    <r>
      <rPr>
        <sz val="14"/>
        <color rgb="FF000000"/>
        <rFont val="Resource Han Rounded CN Normal"/>
        <charset val="134"/>
      </rPr>
      <t>KP</t>
    </r>
    <r>
      <rPr>
        <sz val="14"/>
        <color rgb="FF000000"/>
        <rFont val="宋体"/>
        <charset val="134"/>
      </rPr>
      <t>决定梦魇的内容，他可以谨慎地提供线索和警示。</t>
    </r>
    <r>
      <rPr>
        <sz val="14"/>
        <color rgb="FF000000"/>
        <rFont val="Resource Han Rounded CN Normal"/>
        <charset val="134"/>
      </rPr>
      <t xml:space="preserve">
</t>
    </r>
    <r>
      <rPr>
        <sz val="14"/>
        <color rgb="FF000000"/>
        <rFont val="宋体"/>
        <charset val="134"/>
      </rPr>
      <t>别名：黑暗的想象、惊恐的睡眠、昏昏欲睡的折磨</t>
    </r>
  </si>
  <si>
    <t>梦魇术（甲型）〔害、支〕</t>
  </si>
  <si>
    <r>
      <rPr>
        <sz val="14"/>
        <color rgb="FF000000"/>
        <rFont val="Resource Han Rounded CN Normal"/>
        <charset val="134"/>
      </rPr>
      <t>8</t>
    </r>
    <r>
      <rPr>
        <sz val="14"/>
        <color rgb="FF000000"/>
        <rFont val="宋体"/>
        <charset val="134"/>
      </rPr>
      <t>点魔法值；</t>
    </r>
    <r>
      <rPr>
        <sz val="14"/>
        <color rgb="FF000000"/>
        <rFont val="Resource Han Rounded CN Normal"/>
        <charset val="134"/>
      </rPr>
      <t>1</t>
    </r>
    <r>
      <rPr>
        <sz val="14"/>
        <color rgb="FF000000"/>
        <rFont val="宋体"/>
        <charset val="134"/>
      </rPr>
      <t>点理智值</t>
    </r>
  </si>
  <si>
    <r>
      <rPr>
        <sz val="14"/>
        <color rgb="FF000000"/>
        <rFont val="Resource Han Rounded CN Normal"/>
        <charset val="134"/>
      </rPr>
      <t>2</t>
    </r>
    <r>
      <rPr>
        <sz val="14"/>
        <color rgb="FF000000"/>
        <rFont val="宋体"/>
        <charset val="134"/>
      </rPr>
      <t>轮</t>
    </r>
  </si>
  <si>
    <t>黑暗的想象、惊恐的睡眠、昏昏欲睡的折磨</t>
  </si>
  <si>
    <t>DREAD CURSE OF AZATHOTH</t>
  </si>
  <si>
    <t>阿撒托斯的恐怖诅咒</t>
  </si>
  <si>
    <r>
      <rPr>
        <sz val="14"/>
        <color rgb="FF000000"/>
        <rFont val="MS Gothic"/>
        <charset val="134"/>
      </rPr>
      <t>アザトースの</t>
    </r>
    <r>
      <rPr>
        <sz val="14"/>
        <color rgb="FF000000"/>
        <rFont val="宋体"/>
        <charset val="134"/>
      </rPr>
      <t>呪詛</t>
    </r>
  </si>
  <si>
    <r>
      <rPr>
        <sz val="14"/>
        <color rgb="FF000000"/>
        <rFont val="宋体"/>
        <charset val="134"/>
      </rPr>
      <t>阿撒托斯的恐怖诅咒〔战〕</t>
    </r>
    <r>
      <rPr>
        <sz val="14"/>
        <color rgb="FF000000"/>
        <rFont val="Resource Han Rounded CN Normal"/>
        <charset val="134"/>
      </rPr>
      <t xml:space="preserve">
Dread Curse of Azatoth
</t>
    </r>
    <r>
      <rPr>
        <sz val="14"/>
        <color rgb="FF000000"/>
        <rFont val="宋体"/>
        <charset val="134"/>
      </rPr>
      <t>消耗：</t>
    </r>
    <r>
      <rPr>
        <sz val="14"/>
        <color rgb="FF000000"/>
        <rFont val="Resource Han Rounded CN Normal"/>
        <charset val="134"/>
      </rPr>
      <t>4</t>
    </r>
    <r>
      <rPr>
        <sz val="14"/>
        <color rgb="FF000000"/>
        <rFont val="宋体"/>
        <charset val="134"/>
      </rPr>
      <t>点魔法值；</t>
    </r>
    <r>
      <rPr>
        <sz val="14"/>
        <color rgb="FF000000"/>
        <rFont val="Resource Han Rounded CN Normal"/>
        <charset val="134"/>
      </rPr>
      <t>1D6</t>
    </r>
    <r>
      <rPr>
        <sz val="14"/>
        <color rgb="FF000000"/>
        <rFont val="宋体"/>
        <charset val="134"/>
      </rPr>
      <t>点理智值施法用时：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施法者利用外神的力量直接从目标身上抽取意志。通过反复念诵阿撒托斯的名讳，可以让任何精通克苏鲁神话的人敬畏，因为知道这个名讳，</t>
    </r>
    <r>
      <rPr>
        <sz val="14"/>
        <color rgb="FF000000"/>
        <rFont val="Resource Han Rounded CN Normal"/>
        <charset val="134"/>
      </rPr>
      <t xml:space="preserve">
</t>
    </r>
    <r>
      <rPr>
        <sz val="14"/>
        <color rgb="FF000000"/>
        <rFont val="宋体"/>
        <charset val="134"/>
      </rPr>
      <t>意味着这个人知道秘密的</t>
    </r>
    <r>
      <rPr>
        <sz val="14"/>
        <color rgb="FF000000"/>
        <rFont val="Resource Han Rounded CN Normal"/>
        <charset val="134"/>
      </rPr>
      <t>“</t>
    </r>
    <r>
      <rPr>
        <sz val="14"/>
        <color rgb="FF000000"/>
        <rFont val="宋体"/>
        <charset val="134"/>
      </rPr>
      <t>最后音节</t>
    </r>
    <r>
      <rPr>
        <sz val="14"/>
        <color rgb="FF000000"/>
        <rFont val="Resource Han Rounded CN Normal"/>
        <charset val="134"/>
      </rPr>
      <t>(theLastSyllable)”</t>
    </r>
    <r>
      <rPr>
        <sz val="14"/>
        <color rgb="FF000000"/>
        <rFont val="宋体"/>
        <charset val="134"/>
      </rPr>
      <t>。</t>
    </r>
    <r>
      <rPr>
        <sz val="14"/>
        <color rgb="FF000000"/>
        <rFont val="Resource Han Rounded CN Normal"/>
        <charset val="134"/>
      </rPr>
      <t>“</t>
    </r>
    <r>
      <rPr>
        <sz val="14"/>
        <color rgb="FF000000"/>
        <rFont val="宋体"/>
        <charset val="134"/>
      </rPr>
      <t>最后音节</t>
    </r>
    <r>
      <rPr>
        <sz val="14"/>
        <color rgb="FF000000"/>
        <rFont val="Resource Han Rounded CN Normal"/>
        <charset val="134"/>
      </rPr>
      <t>”</t>
    </r>
    <r>
      <rPr>
        <sz val="14"/>
        <color rgb="FF000000"/>
        <rFont val="宋体"/>
        <charset val="134"/>
      </rPr>
      <t>单独念诵时可以对准一名敌人。施法者须和目标进行一次</t>
    </r>
    <r>
      <rPr>
        <sz val="14"/>
        <color rgb="FF000000"/>
        <rFont val="Resource Han Rounded CN Normal"/>
        <charset val="134"/>
      </rPr>
      <t>POW</t>
    </r>
    <r>
      <rPr>
        <sz val="14"/>
        <color rgb="FF000000"/>
        <rFont val="宋体"/>
        <charset val="134"/>
      </rPr>
      <t>对抗检</t>
    </r>
    <r>
      <rPr>
        <sz val="14"/>
        <color rgb="FF000000"/>
        <rFont val="Resource Han Rounded CN Normal"/>
        <charset val="134"/>
      </rPr>
      <t xml:space="preserve">
</t>
    </r>
    <r>
      <rPr>
        <sz val="14"/>
        <color rgb="FF000000"/>
        <rFont val="宋体"/>
        <charset val="134"/>
      </rPr>
      <t>定并胜出，法术才能生效。若施法成功，目标损</t>
    </r>
    <r>
      <rPr>
        <sz val="14"/>
        <color rgb="FF000000"/>
        <rFont val="Resource Han Rounded CN Normal"/>
        <charset val="134"/>
      </rPr>
      <t xml:space="preserve">
</t>
    </r>
    <r>
      <rPr>
        <sz val="14"/>
        <color rgb="FF000000"/>
        <rFont val="宋体"/>
        <charset val="134"/>
      </rPr>
      <t>失</t>
    </r>
    <r>
      <rPr>
        <sz val="14"/>
        <color rgb="FF000000"/>
        <rFont val="Resource Han Rounded CN Normal"/>
        <charset val="134"/>
      </rPr>
      <t>3D6</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 xml:space="preserve">
</t>
    </r>
    <r>
      <rPr>
        <sz val="14"/>
        <color rgb="FF000000"/>
        <rFont val="宋体"/>
        <charset val="134"/>
      </rPr>
      <t>深层魔法：真正强大的巫师能获得吸取的</t>
    </r>
    <r>
      <rPr>
        <sz val="14"/>
        <color rgb="FF000000"/>
        <rFont val="Resource Han Rounded CN Normal"/>
        <charset val="134"/>
      </rPr>
      <t xml:space="preserve">
POW</t>
    </r>
    <r>
      <rPr>
        <sz val="14"/>
        <color rgb="FF000000"/>
        <rFont val="宋体"/>
        <charset val="134"/>
      </rPr>
      <t>，以增加他们自己的</t>
    </r>
    <r>
      <rPr>
        <sz val="14"/>
        <color rgb="FF000000"/>
        <rFont val="Resource Han Rounded CN Normal"/>
        <charset val="134"/>
      </rPr>
      <t>POW</t>
    </r>
    <r>
      <rPr>
        <sz val="14"/>
        <color rgb="FF000000"/>
        <rFont val="宋体"/>
        <charset val="134"/>
      </rPr>
      <t>值（和魔法值）。</t>
    </r>
    <r>
      <rPr>
        <sz val="14"/>
        <color rgb="FF000000"/>
        <rFont val="Resource Han Rounded CN Normal"/>
        <charset val="134"/>
      </rPr>
      <t xml:space="preserve">
</t>
    </r>
    <r>
      <rPr>
        <sz val="14"/>
        <color rgb="FF000000"/>
        <rFont val="宋体"/>
        <charset val="134"/>
      </rPr>
      <t>别名：最后音节的发声、消沉吸取、假借真名，以竭汝力</t>
    </r>
  </si>
  <si>
    <t>AWAKE ABHOTH</t>
  </si>
  <si>
    <t>阿布霍斯唤醒术</t>
  </si>
  <si>
    <r>
      <rPr>
        <sz val="14"/>
        <color rgb="FF000000"/>
        <rFont val="MS Gothic"/>
        <charset val="134"/>
      </rPr>
      <t>アブホースを</t>
    </r>
    <r>
      <rPr>
        <sz val="14"/>
        <color rgb="FF000000"/>
        <rFont val="宋体"/>
        <charset val="134"/>
      </rPr>
      <t>目覚</t>
    </r>
    <r>
      <rPr>
        <sz val="14"/>
        <color rgb="FF000000"/>
        <rFont val="MS Gothic"/>
        <charset val="134"/>
      </rPr>
      <t>めさせる</t>
    </r>
  </si>
  <si>
    <r>
      <rPr>
        <sz val="14"/>
        <color rgb="FF000000"/>
        <rFont val="宋体"/>
        <charset val="134"/>
      </rPr>
      <t>阿布霍斯唤醒术〔召〕</t>
    </r>
    <r>
      <rPr>
        <sz val="14"/>
        <color rgb="FF000000"/>
        <rFont val="Resource Han Rounded CN Normal"/>
        <charset val="134"/>
      </rPr>
      <t xml:space="preserve">
Awake Abhoth
</t>
    </r>
    <r>
      <rPr>
        <sz val="14"/>
        <color rgb="FF000000"/>
        <rFont val="宋体"/>
        <charset val="134"/>
      </rPr>
      <t>消耗：</t>
    </r>
    <r>
      <rPr>
        <sz val="14"/>
        <color rgb="FF000000"/>
        <rFont val="Resource Han Rounded CN Normal"/>
        <charset val="134"/>
      </rPr>
      <t>12</t>
    </r>
    <r>
      <rPr>
        <sz val="14"/>
        <color rgb="FF000000"/>
        <rFont val="宋体"/>
        <charset val="134"/>
      </rPr>
      <t>点魔法值；</t>
    </r>
    <r>
      <rPr>
        <sz val="14"/>
        <color rgb="FF000000"/>
        <rFont val="Resource Han Rounded CN Normal"/>
        <charset val="134"/>
      </rPr>
      <t>1D10+2</t>
    </r>
    <r>
      <rPr>
        <sz val="14"/>
        <color rgb="FF000000"/>
        <rFont val="宋体"/>
        <charset val="134"/>
      </rPr>
      <t>点理智值施法用时：</t>
    </r>
    <r>
      <rPr>
        <sz val="14"/>
        <color rgb="FF000000"/>
        <rFont val="Resource Han Rounded CN Normal"/>
        <charset val="134"/>
      </rPr>
      <t>36</t>
    </r>
    <r>
      <rPr>
        <sz val="14"/>
        <color rgb="FF000000"/>
        <rFont val="宋体"/>
        <charset val="134"/>
      </rPr>
      <t>小时</t>
    </r>
    <r>
      <rPr>
        <sz val="14"/>
        <color rgb="FF000000"/>
        <rFont val="Resource Han Rounded CN Normal"/>
        <charset val="134"/>
      </rPr>
      <t xml:space="preserve">
</t>
    </r>
    <r>
      <rPr>
        <sz val="14"/>
        <color rgb="FF000000"/>
        <rFont val="宋体"/>
        <charset val="134"/>
      </rPr>
      <t>本法术应用范围十分狭窄。以前带旧日支配者阿布霍斯来到我们世界的尝试常常失败。有些尝试中，阿布霍斯的化身在我们的世界与它的黑暗栖身之所分离了；这些情况下，部分现身的阿布霍斯并不具有任何意识，在我们的世界实际上是昏睡的状态。本法术可以唤醒沉眠的外神阿布霍斯，许诺展开它所渴望的盛大飨宴。施法者须用三场仪式证明自己对阿布霍斯的忠诚，每个部分都需要请愿者进行更多的自我牺牲。为所有仪式合计支付法术消耗。阿布霍斯是否愿意屈尊醒来、醒来多久，都是未知的。</t>
    </r>
    <r>
      <rPr>
        <sz val="14"/>
        <color rgb="FF000000"/>
        <rFont val="Resource Han Rounded CN Normal"/>
        <charset val="134"/>
      </rPr>
      <t xml:space="preserve">
</t>
    </r>
    <r>
      <rPr>
        <sz val="14"/>
        <color rgb="FF000000"/>
        <rFont val="宋体"/>
        <charset val="134"/>
      </rPr>
      <t>别名：唤起恩凯伊的住客、唤醒享筵者的三重仪式</t>
    </r>
  </si>
  <si>
    <t>阿撒托斯的恐怖诅咒〔战〕</t>
  </si>
  <si>
    <r>
      <rPr>
        <sz val="14"/>
        <color rgb="FF000000"/>
        <rFont val="Resource Han Rounded CN Normal"/>
        <charset val="134"/>
      </rPr>
      <t>4</t>
    </r>
    <r>
      <rPr>
        <sz val="14"/>
        <color rgb="FF000000"/>
        <rFont val="宋体"/>
        <charset val="134"/>
      </rPr>
      <t>点魔法值；</t>
    </r>
    <r>
      <rPr>
        <sz val="14"/>
        <color rgb="FF000000"/>
        <rFont val="Resource Han Rounded CN Normal"/>
        <charset val="134"/>
      </rPr>
      <t>1D6</t>
    </r>
    <r>
      <rPr>
        <sz val="14"/>
        <color rgb="FF000000"/>
        <rFont val="宋体"/>
        <charset val="134"/>
      </rPr>
      <t>点理智值</t>
    </r>
  </si>
  <si>
    <r>
      <rPr>
        <sz val="14"/>
        <color rgb="FF000000"/>
        <rFont val="Resource Han Rounded CN Normal"/>
        <charset val="134"/>
      </rPr>
      <t>1</t>
    </r>
    <r>
      <rPr>
        <sz val="14"/>
        <color rgb="FF000000"/>
        <rFont val="宋体"/>
        <charset val="134"/>
      </rPr>
      <t>轮</t>
    </r>
  </si>
  <si>
    <t>最后音节的发声、消沉吸取、假借真名，以竭汝力</t>
  </si>
  <si>
    <t>CURSE OF DARKNESS</t>
  </si>
  <si>
    <t>黑暗诅咒</t>
  </si>
  <si>
    <r>
      <rPr>
        <sz val="14"/>
        <color rgb="FF000000"/>
        <rFont val="宋体"/>
        <charset val="134"/>
      </rPr>
      <t>暗黒</t>
    </r>
    <r>
      <rPr>
        <sz val="14"/>
        <color rgb="FF000000"/>
        <rFont val="MS Gothic"/>
        <charset val="134"/>
      </rPr>
      <t>の</t>
    </r>
    <r>
      <rPr>
        <sz val="14"/>
        <color rgb="FF000000"/>
        <rFont val="宋体"/>
        <charset val="134"/>
      </rPr>
      <t>呪</t>
    </r>
    <r>
      <rPr>
        <sz val="14"/>
        <color rgb="FF000000"/>
        <rFont val="MS Gothic"/>
        <charset val="134"/>
      </rPr>
      <t>い</t>
    </r>
  </si>
  <si>
    <r>
      <rPr>
        <sz val="14"/>
        <color rgb="FF000000"/>
        <rFont val="宋体"/>
        <charset val="134"/>
      </rPr>
      <t>黑暗诅咒〔驱〕</t>
    </r>
    <r>
      <rPr>
        <sz val="14"/>
        <color rgb="FF000000"/>
        <rFont val="Resource Han Rounded CN Normal"/>
        <charset val="134"/>
      </rPr>
      <t xml:space="preserve">
Curse of Darkness
</t>
    </r>
    <r>
      <rPr>
        <sz val="14"/>
        <color rgb="FF000000"/>
        <rFont val="宋体"/>
        <charset val="134"/>
      </rPr>
      <t>消耗：可变的</t>
    </r>
    <r>
      <rPr>
        <sz val="14"/>
        <color rgb="FF000000"/>
        <rFont val="Resource Han Rounded CN Normal"/>
        <charset val="134"/>
      </rPr>
      <t>POW</t>
    </r>
    <r>
      <rPr>
        <sz val="14"/>
        <color rgb="FF000000"/>
        <rFont val="宋体"/>
        <charset val="134"/>
      </rPr>
      <t>；</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强迫一个外星生物或异空间的存在返回来的地方。要有一群人包围施法者；所有人都要知道本法术，并齐声吟唱咒语至少三分钟。每名参与者必须牺牲</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，施法者可以不贡献</t>
    </r>
    <r>
      <rPr>
        <sz val="14"/>
        <color rgb="FF000000"/>
        <rFont val="Resource Han Rounded CN Normal"/>
        <charset val="134"/>
      </rPr>
      <t>POW</t>
    </r>
    <r>
      <rPr>
        <sz val="14"/>
        <color rgb="FF000000"/>
        <rFont val="宋体"/>
        <charset val="134"/>
      </rPr>
      <t>，也可以贡献任意数量。每牺牲</t>
    </r>
    <r>
      <rPr>
        <sz val="14"/>
        <color rgb="FF000000"/>
        <rFont val="Resource Han Rounded CN Normal"/>
        <charset val="134"/>
      </rPr>
      <t>1</t>
    </r>
    <r>
      <rPr>
        <sz val="14"/>
        <color rgb="FF000000"/>
        <rFont val="宋体"/>
        <charset val="134"/>
      </rPr>
      <t>点</t>
    </r>
    <r>
      <rPr>
        <sz val="14"/>
        <color rgb="FF000000"/>
        <rFont val="Resource Han Rounded CN Normal"/>
        <charset val="134"/>
      </rPr>
      <t>POW</t>
    </r>
    <r>
      <rPr>
        <sz val="14"/>
        <color rgb="FF000000"/>
        <rFont val="宋体"/>
        <charset val="134"/>
      </rPr>
      <t>，成功概率就上升</t>
    </r>
    <r>
      <rPr>
        <sz val="14"/>
        <color rgb="FF000000"/>
        <rFont val="Resource Han Rounded CN Normal"/>
        <charset val="134"/>
      </rPr>
      <t>2</t>
    </r>
    <r>
      <rPr>
        <sz val="14"/>
        <color rgb="FF000000"/>
        <rFont val="宋体"/>
        <charset val="134"/>
      </rPr>
      <t>个百分点。只要法术开始，目标就很难有机会抵抗或逃脱法术了。要使法术生效，必须先知道目标的名字，或者包围圈中的参与者或施法者曾经见过它一次。此生物必须在附近，相距几英里远。</t>
    </r>
    <r>
      <rPr>
        <sz val="14"/>
        <color rgb="FF000000"/>
        <rFont val="Resource Han Rounded CN Normal"/>
        <charset val="134"/>
      </rPr>
      <t xml:space="preserve">
</t>
    </r>
    <r>
      <rPr>
        <sz val="14"/>
        <color rgb="FF000000"/>
        <rFont val="宋体"/>
        <charset val="134"/>
      </rPr>
      <t>别名：恶秽驱逐、回返仪式</t>
    </r>
  </si>
  <si>
    <t>阿布霍斯唤醒术〔召〕</t>
  </si>
  <si>
    <r>
      <rPr>
        <sz val="14"/>
        <color rgb="FF000000"/>
        <rFont val="Resource Han Rounded CN Normal"/>
        <charset val="134"/>
      </rPr>
      <t>12</t>
    </r>
    <r>
      <rPr>
        <sz val="14"/>
        <color rgb="FF000000"/>
        <rFont val="宋体"/>
        <charset val="134"/>
      </rPr>
      <t>点魔法值；</t>
    </r>
    <r>
      <rPr>
        <sz val="14"/>
        <color rgb="FF000000"/>
        <rFont val="Resource Han Rounded CN Normal"/>
        <charset val="134"/>
      </rPr>
      <t>1D10+2</t>
    </r>
    <r>
      <rPr>
        <sz val="14"/>
        <color rgb="FF000000"/>
        <rFont val="宋体"/>
        <charset val="134"/>
      </rPr>
      <t>点理智值</t>
    </r>
  </si>
  <si>
    <r>
      <rPr>
        <sz val="14"/>
        <color rgb="FF000000"/>
        <rFont val="Resource Han Rounded CN Normal"/>
        <charset val="134"/>
      </rPr>
      <t>36</t>
    </r>
    <r>
      <rPr>
        <sz val="14"/>
        <color rgb="FF000000"/>
        <rFont val="宋体"/>
        <charset val="134"/>
      </rPr>
      <t>小时</t>
    </r>
  </si>
  <si>
    <t>唤起恩凯伊的住客、唤醒享筵者的三重仪式</t>
  </si>
  <si>
    <t>BANISHMENT OF YDE ETAD</t>
  </si>
  <si>
    <r>
      <rPr>
        <sz val="14"/>
        <color rgb="FF000000"/>
        <rFont val="宋体"/>
        <charset val="134"/>
      </rPr>
      <t>耶德</t>
    </r>
    <r>
      <rPr>
        <sz val="14"/>
        <color rgb="FF000000"/>
        <rFont val="Resource Han Rounded CN Normal"/>
        <charset val="134"/>
      </rPr>
      <t>·</t>
    </r>
    <r>
      <rPr>
        <sz val="14"/>
        <color rgb="FF000000"/>
        <rFont val="宋体"/>
        <charset val="134"/>
      </rPr>
      <t>艾塔德放逐术</t>
    </r>
  </si>
  <si>
    <r>
      <rPr>
        <sz val="14"/>
        <color rgb="FF000000"/>
        <rFont val="MS Gothic"/>
        <charset val="134"/>
      </rPr>
      <t>イーデ・エタドの</t>
    </r>
    <r>
      <rPr>
        <sz val="14"/>
        <color rgb="FF000000"/>
        <rFont val="宋体"/>
        <charset val="134"/>
      </rPr>
      <t>放逐</t>
    </r>
  </si>
  <si>
    <r>
      <rPr>
        <sz val="14"/>
        <color rgb="FF000000"/>
        <rFont val="宋体"/>
        <charset val="134"/>
      </rPr>
      <t>耶德</t>
    </r>
    <r>
      <rPr>
        <sz val="14"/>
        <color rgb="FF000000"/>
        <rFont val="Resource Han Rounded CN Normal"/>
        <charset val="134"/>
      </rPr>
      <t>·</t>
    </r>
    <r>
      <rPr>
        <sz val="14"/>
        <color rgb="FF000000"/>
        <rFont val="宋体"/>
        <charset val="134"/>
      </rPr>
      <t>艾塔德放逐术〔驱〕</t>
    </r>
    <r>
      <rPr>
        <sz val="14"/>
        <color rgb="FF000000"/>
        <rFont val="Resource Han Rounded CN Normal"/>
        <charset val="134"/>
      </rPr>
      <t xml:space="preserve">
Banishment of YdeEtad
</t>
    </r>
    <r>
      <rPr>
        <sz val="14"/>
        <color rgb="FF000000"/>
        <rFont val="宋体"/>
        <charset val="134"/>
      </rPr>
      <t>消耗：</t>
    </r>
    <r>
      <rPr>
        <sz val="14"/>
        <color rgb="FF000000"/>
        <rFont val="Resource Han Rounded CN Normal"/>
        <charset val="134"/>
      </rPr>
      <t>1D4+3</t>
    </r>
    <r>
      <rPr>
        <sz val="14"/>
        <color rgb="FF000000"/>
        <rFont val="宋体"/>
        <charset val="134"/>
      </rPr>
      <t>点魔法值；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施法用时：可变（至少</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本法术可以驱逐绝大多数穿越时空的人类以及类人智慧生物。本法术对所有受外族役使的种族均无效。如果正确地施放的话，该放逐将是永久且不可取消的。每个放逐皆是针对单独的个体，而非某一类或某一种怪物的。</t>
    </r>
    <r>
      <rPr>
        <sz val="14"/>
        <color rgb="FF000000"/>
        <rFont val="Resource Han Rounded CN Normal"/>
        <charset val="134"/>
      </rPr>
      <t xml:space="preserve">
</t>
    </r>
    <r>
      <rPr>
        <sz val="14"/>
        <color rgb="FF000000"/>
        <rFont val="宋体"/>
        <charset val="134"/>
      </rPr>
      <t>本法术至少需要三个人来施放（且每个人要各自支付消耗）。所有参与者都要掌握本法术。参与者越多，效果越好；但是参与者的总人数必须是三的倍数。</t>
    </r>
    <r>
      <rPr>
        <sz val="14"/>
        <color rgb="FF000000"/>
        <rFont val="Resource Han Rounded CN Normal"/>
        <charset val="134"/>
      </rPr>
      <t xml:space="preserve">
</t>
    </r>
    <r>
      <rPr>
        <sz val="14"/>
        <color rgb="FF000000"/>
        <rFont val="宋体"/>
        <charset val="134"/>
      </rPr>
      <t>本法术必须在午夜的户外进行，最好是选在和目标有联系的具有力量的地点。可以选择知名的鬼屋、目标的最后目击地或它进入这个时空的地点。施法者需要分成两部分：三分之一的人要站在一个保护圈外，其他人站在圈内。</t>
    </r>
    <r>
      <rPr>
        <sz val="14"/>
        <color rgb="FF000000"/>
        <rFont val="Resource Han Rounded CN Normal"/>
        <charset val="134"/>
      </rPr>
      <t xml:space="preserve">
</t>
    </r>
    <r>
      <rPr>
        <sz val="14"/>
        <color rgb="FF000000"/>
        <rFont val="宋体"/>
        <charset val="134"/>
      </rPr>
      <t>该放逐生效的方式是通过仪式之火，烧毁代表目标的咒印。目标的私印是最理想的，但是也可以根据咒语中给出的方案，采用代替品。</t>
    </r>
    <r>
      <rPr>
        <sz val="14"/>
        <color rgb="FF000000"/>
        <rFont val="Resource Han Rounded CN Normal"/>
        <charset val="134"/>
      </rPr>
      <t>POW</t>
    </r>
    <r>
      <rPr>
        <sz val="14"/>
        <color rgb="FF000000"/>
        <rFont val="宋体"/>
        <charset val="134"/>
      </rPr>
      <t>最高的施法者须和目标进行一次</t>
    </r>
    <r>
      <rPr>
        <sz val="14"/>
        <color rgb="FF000000"/>
        <rFont val="Resource Han Rounded CN Normal"/>
        <charset val="134"/>
      </rPr>
      <t>POW</t>
    </r>
    <r>
      <rPr>
        <sz val="14"/>
        <color rgb="FF000000"/>
        <rFont val="宋体"/>
        <charset val="134"/>
      </rPr>
      <t>对抗检定并胜出，法术才能生效；每有额外的三名（一组）施法者参与，检定时施法者的</t>
    </r>
    <r>
      <rPr>
        <sz val="14"/>
        <color rgb="FF000000"/>
        <rFont val="Resource Han Rounded CN Normal"/>
        <charset val="134"/>
      </rPr>
      <t>POW</t>
    </r>
    <r>
      <rPr>
        <sz val="14"/>
        <color rgb="FF000000"/>
        <rFont val="宋体"/>
        <charset val="134"/>
      </rPr>
      <t>增加</t>
    </r>
    <r>
      <rPr>
        <sz val="14"/>
        <color rgb="FF000000"/>
        <rFont val="Resource Han Rounded CN Normal"/>
        <charset val="134"/>
      </rPr>
      <t>5%</t>
    </r>
    <r>
      <rPr>
        <sz val="14"/>
        <color rgb="FF000000"/>
        <rFont val="宋体"/>
        <charset val="134"/>
      </rPr>
      <t>。</t>
    </r>
    <r>
      <rPr>
        <sz val="14"/>
        <color rgb="FF000000"/>
        <rFont val="Resource Han Rounded CN Normal"/>
        <charset val="134"/>
      </rPr>
      <t xml:space="preserve">
</t>
    </r>
    <r>
      <rPr>
        <sz val="14"/>
        <color rgb="FF000000"/>
        <rFont val="宋体"/>
        <charset val="134"/>
      </rPr>
      <t>别名：驱逐七重地狱之物、驱逐恶魔、驱逐魔鬼、恶火的诅咒</t>
    </r>
  </si>
  <si>
    <t>黑暗诅咒〔驱〕</t>
  </si>
  <si>
    <r>
      <rPr>
        <sz val="14"/>
        <color rgb="FF000000"/>
        <rFont val="宋体"/>
        <charset val="134"/>
      </rPr>
      <t>可变的</t>
    </r>
    <r>
      <rPr>
        <sz val="14"/>
        <color rgb="FF000000"/>
        <rFont val="Resource Han Rounded CN Normal"/>
        <charset val="134"/>
      </rPr>
      <t>POW</t>
    </r>
    <r>
      <rPr>
        <sz val="14"/>
        <color rgb="FF000000"/>
        <rFont val="宋体"/>
        <charset val="134"/>
      </rPr>
      <t>；</t>
    </r>
    <r>
      <rPr>
        <sz val="14"/>
        <color rgb="FF000000"/>
        <rFont val="Resource Han Rounded CN Normal"/>
        <charset val="134"/>
      </rPr>
      <t>1D6</t>
    </r>
    <r>
      <rPr>
        <sz val="14"/>
        <color rgb="FF000000"/>
        <rFont val="宋体"/>
        <charset val="134"/>
      </rPr>
      <t>点理智值</t>
    </r>
  </si>
  <si>
    <t>至少三分钟</t>
  </si>
  <si>
    <t>恶秽驱逐、回返仪式</t>
  </si>
  <si>
    <t>SEAL OF ISIS</t>
  </si>
  <si>
    <t>伊希斯的封印</t>
  </si>
  <si>
    <r>
      <rPr>
        <sz val="14"/>
        <color rgb="FF000000"/>
        <rFont val="MS Gothic"/>
        <charset val="134"/>
      </rPr>
      <t>イシスの</t>
    </r>
    <r>
      <rPr>
        <sz val="14"/>
        <color rgb="FF000000"/>
        <rFont val="宋体"/>
        <charset val="134"/>
      </rPr>
      <t>封印</t>
    </r>
  </si>
  <si>
    <r>
      <rPr>
        <sz val="14"/>
        <color rgb="FF000000"/>
        <rFont val="宋体"/>
        <charset val="134"/>
      </rPr>
      <t>伊希斯的封印〔保〕</t>
    </r>
    <r>
      <rPr>
        <sz val="14"/>
        <color rgb="FF000000"/>
        <rFont val="Resource Han Rounded CN Normal"/>
        <charset val="134"/>
      </rPr>
      <t xml:space="preserve">
Seal of Isis
</t>
    </r>
    <r>
      <rPr>
        <sz val="14"/>
        <color rgb="FF000000"/>
        <rFont val="宋体"/>
        <charset val="134"/>
      </rPr>
      <t>消耗：可变的魔法值；</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保护无生命的物体免受魔法攻击。施法者投入任意点魔法值。如果魔法攻击（法术）进入了守护范围（</t>
    </r>
    <r>
      <rPr>
        <sz val="14"/>
        <color rgb="FF000000"/>
        <rFont val="Resource Han Rounded CN Normal"/>
        <charset val="134"/>
      </rPr>
      <t>50</t>
    </r>
    <r>
      <rPr>
        <sz val="14"/>
        <color rgb="FF000000"/>
        <rFont val="宋体"/>
        <charset val="134"/>
      </rPr>
      <t>尺的立方体），攻击方的施法者必须用自己的</t>
    </r>
    <r>
      <rPr>
        <sz val="14"/>
        <color rgb="FF000000"/>
        <rFont val="Resource Han Rounded CN Normal"/>
        <charset val="134"/>
      </rPr>
      <t>POW</t>
    </r>
    <r>
      <rPr>
        <sz val="14"/>
        <color rgb="FF000000"/>
        <rFont val="宋体"/>
        <charset val="134"/>
      </rPr>
      <t>与投入本法术魔法值的</t>
    </r>
    <r>
      <rPr>
        <sz val="14"/>
        <color rgb="FF000000"/>
        <rFont val="Resource Han Rounded CN Normal"/>
        <charset val="134"/>
      </rPr>
      <t>5</t>
    </r>
    <r>
      <rPr>
        <sz val="14"/>
        <color rgb="FF000000"/>
        <rFont val="宋体"/>
        <charset val="134"/>
      </rPr>
      <t>倍进行一次</t>
    </r>
    <r>
      <rPr>
        <sz val="14"/>
        <color rgb="FF000000"/>
        <rFont val="Resource Han Rounded CN Normal"/>
        <charset val="134"/>
      </rPr>
      <t>POW</t>
    </r>
    <r>
      <rPr>
        <sz val="14"/>
        <color rgb="FF000000"/>
        <rFont val="宋体"/>
        <charset val="134"/>
      </rPr>
      <t>对抗检定。如果攻击者获胜，则法术穿入守护，可能伤害内部的物体</t>
    </r>
    <r>
      <rPr>
        <sz val="14"/>
        <color rgb="FF000000"/>
        <rFont val="Resource Han Rounded CN Normal"/>
        <charset val="134"/>
      </rPr>
      <t>——</t>
    </r>
    <r>
      <rPr>
        <sz val="14"/>
        <color rgb="FF000000"/>
        <rFont val="宋体"/>
        <charset val="134"/>
      </rPr>
      <t>守护也可能被破坏（用投入本法术魔法值的</t>
    </r>
    <r>
      <rPr>
        <sz val="14"/>
        <color rgb="FF000000"/>
        <rFont val="Resource Han Rounded CN Normal"/>
        <charset val="134"/>
      </rPr>
      <t>5</t>
    </r>
    <r>
      <rPr>
        <sz val="14"/>
        <color rgb="FF000000"/>
        <rFont val="宋体"/>
        <charset val="134"/>
      </rPr>
      <t>倍作目标值进行检定：若失败，守护被破坏）</t>
    </r>
    <r>
      <rPr>
        <sz val="14"/>
        <color rgb="FF000000"/>
        <rFont val="Resource Han Rounded CN Normal"/>
        <charset val="134"/>
      </rPr>
      <t xml:space="preserve">
</t>
    </r>
    <r>
      <rPr>
        <sz val="14"/>
        <color rgb="FF000000"/>
        <rFont val="宋体"/>
        <charset val="134"/>
      </rPr>
      <t>注意，</t>
    </r>
    <r>
      <rPr>
        <sz val="14"/>
        <color rgb="FF000000"/>
        <rFont val="Resource Han Rounded CN Normal"/>
        <charset val="134"/>
      </rPr>
      <t>“</t>
    </r>
    <r>
      <rPr>
        <sz val="14"/>
        <color rgb="FF000000"/>
        <rFont val="宋体"/>
        <charset val="134"/>
      </rPr>
      <t>伊西丝的封印</t>
    </r>
    <r>
      <rPr>
        <sz val="14"/>
        <color rgb="FF000000"/>
        <rFont val="Resource Han Rounded CN Normal"/>
        <charset val="134"/>
      </rPr>
      <t>”</t>
    </r>
    <r>
      <rPr>
        <sz val="14"/>
        <color rgb="FF000000"/>
        <rFont val="宋体"/>
        <charset val="134"/>
      </rPr>
      <t>不能保护人类，也不是阻挡侵入者的物理屏障</t>
    </r>
    <r>
      <rPr>
        <sz val="14"/>
        <color rgb="FF000000"/>
        <rFont val="Resource Han Rounded CN Normal"/>
        <charset val="134"/>
      </rPr>
      <t>——</t>
    </r>
    <r>
      <rPr>
        <sz val="14"/>
        <color rgb="FF000000"/>
        <rFont val="宋体"/>
        <charset val="134"/>
      </rPr>
      <t>它只能在守护区域中保护无生命的物体。</t>
    </r>
    <r>
      <rPr>
        <sz val="14"/>
        <color rgb="FF000000"/>
        <rFont val="Resource Han Rounded CN Normal"/>
        <charset val="134"/>
      </rPr>
      <t xml:space="preserve">
</t>
    </r>
    <r>
      <rPr>
        <sz val="14"/>
        <color rgb="FF000000"/>
        <rFont val="宋体"/>
        <charset val="134"/>
      </rPr>
      <t>别名：保护欲、赫典娜</t>
    </r>
    <r>
      <rPr>
        <sz val="14"/>
        <color rgb="FF000000"/>
        <rFont val="Resource Han Rounded CN Normal"/>
        <charset val="134"/>
      </rPr>
      <t>(Xthena)</t>
    </r>
    <r>
      <rPr>
        <sz val="14"/>
        <color rgb="FF000000"/>
        <rFont val="宋体"/>
        <charset val="134"/>
      </rPr>
      <t>的封印、涅弗伦</t>
    </r>
    <r>
      <rPr>
        <sz val="14"/>
        <color rgb="FF000000"/>
        <rFont val="Resource Han Rounded CN Normal"/>
        <charset val="134"/>
      </rPr>
      <t>-</t>
    </r>
    <r>
      <rPr>
        <sz val="14"/>
        <color rgb="FF000000"/>
        <rFont val="宋体"/>
        <charset val="134"/>
      </rPr>
      <t>卡的封印</t>
    </r>
  </si>
  <si>
    <r>
      <rPr>
        <sz val="14"/>
        <color rgb="FF000000"/>
        <rFont val="宋体"/>
        <charset val="134"/>
      </rPr>
      <t>耶德</t>
    </r>
    <r>
      <rPr>
        <sz val="14"/>
        <color rgb="FF000000"/>
        <rFont val="Resource Han Rounded CN Normal"/>
        <charset val="134"/>
      </rPr>
      <t>·</t>
    </r>
    <r>
      <rPr>
        <sz val="14"/>
        <color rgb="FF000000"/>
        <rFont val="宋体"/>
        <charset val="134"/>
      </rPr>
      <t>艾塔德放逐术〔驱〕</t>
    </r>
  </si>
  <si>
    <r>
      <rPr>
        <sz val="14"/>
        <color rgb="FF000000"/>
        <rFont val="Resource Han Rounded CN Normal"/>
        <charset val="134"/>
      </rPr>
      <t>1D4+3</t>
    </r>
    <r>
      <rPr>
        <sz val="14"/>
        <color rgb="FF000000"/>
        <rFont val="宋体"/>
        <charset val="134"/>
      </rPr>
      <t>点魔法值；</t>
    </r>
    <r>
      <rPr>
        <sz val="14"/>
        <color rgb="FF000000"/>
        <rFont val="Resource Han Rounded CN Normal"/>
        <charset val="134"/>
      </rPr>
      <t>1D4</t>
    </r>
    <r>
      <rPr>
        <sz val="14"/>
        <color rgb="FF000000"/>
        <rFont val="宋体"/>
        <charset val="134"/>
      </rPr>
      <t>点理智值</t>
    </r>
  </si>
  <si>
    <r>
      <rPr>
        <sz val="14"/>
        <color rgb="FF000000"/>
        <rFont val="宋体"/>
        <charset val="134"/>
      </rPr>
      <t>可变（至少</t>
    </r>
    <r>
      <rPr>
        <sz val="14"/>
        <color rgb="FF000000"/>
        <rFont val="Resource Han Rounded CN Normal"/>
        <charset val="134"/>
      </rPr>
      <t>1</t>
    </r>
    <r>
      <rPr>
        <sz val="14"/>
        <color rgb="FF000000"/>
        <rFont val="宋体"/>
        <charset val="134"/>
      </rPr>
      <t>小时）</t>
    </r>
  </si>
  <si>
    <t>驱逐七重地狱之物、驱逐恶魔、驱逐魔鬼、恶火的诅咒</t>
  </si>
  <si>
    <t>CURSE OF THE STONE</t>
  </si>
  <si>
    <t>石板诅咒</t>
  </si>
  <si>
    <r>
      <rPr>
        <sz val="14"/>
        <color rgb="FF000000"/>
        <rFont val="宋体"/>
        <charset val="134"/>
      </rPr>
      <t>石</t>
    </r>
    <r>
      <rPr>
        <sz val="14"/>
        <color rgb="FF000000"/>
        <rFont val="MS Gothic"/>
        <charset val="134"/>
      </rPr>
      <t>の</t>
    </r>
    <r>
      <rPr>
        <sz val="14"/>
        <color rgb="FF000000"/>
        <rFont val="宋体"/>
        <charset val="134"/>
      </rPr>
      <t>呪</t>
    </r>
    <r>
      <rPr>
        <sz val="14"/>
        <color rgb="FF000000"/>
        <rFont val="MS Gothic"/>
        <charset val="134"/>
      </rPr>
      <t>い</t>
    </r>
  </si>
  <si>
    <r>
      <rPr>
        <sz val="14"/>
        <color rgb="FF000000"/>
        <rFont val="宋体"/>
        <charset val="134"/>
      </rPr>
      <t>石板诅咒〔战〕</t>
    </r>
    <r>
      <rPr>
        <sz val="14"/>
        <color rgb="FF000000"/>
        <rFont val="Resource Han Rounded CN Normal"/>
        <charset val="134"/>
      </rPr>
      <t xml:space="preserve">
Curse of the Stone
</t>
    </r>
    <r>
      <rPr>
        <sz val="14"/>
        <color rgb="FF000000"/>
        <rFont val="宋体"/>
        <charset val="134"/>
      </rPr>
      <t>消耗：</t>
    </r>
    <r>
      <rPr>
        <sz val="14"/>
        <color rgb="FF000000"/>
        <rFont val="Resource Han Rounded CN Normal"/>
        <charset val="134"/>
      </rPr>
      <t>9</t>
    </r>
    <r>
      <rPr>
        <sz val="14"/>
        <color rgb="FF000000"/>
        <rFont val="宋体"/>
        <charset val="134"/>
      </rPr>
      <t>点魔法值；</t>
    </r>
    <r>
      <rPr>
        <sz val="14"/>
        <color rgb="FF000000"/>
        <rFont val="Resource Han Rounded CN Normal"/>
        <charset val="134"/>
      </rPr>
      <t>1D10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t>
    </r>
    <r>
      <rPr>
        <sz val="14"/>
        <color rgb="FF000000"/>
        <rFont val="宋体"/>
        <charset val="134"/>
      </rPr>
      <t>轮</t>
    </r>
    <r>
      <rPr>
        <sz val="14"/>
        <color rgb="FF000000"/>
        <rFont val="Resource Han Rounded CN Normal"/>
        <charset val="134"/>
      </rPr>
      <t xml:space="preserve">
</t>
    </r>
    <r>
      <rPr>
        <sz val="14"/>
        <color rgb="FF000000"/>
        <rFont val="宋体"/>
        <charset val="134"/>
      </rPr>
      <t>在目标的精神当中产生可怕的幻觉。需要一块附魔的石板</t>
    </r>
    <r>
      <rPr>
        <sz val="14"/>
        <color rgb="FF000000"/>
        <rFont val="Resource Han Rounded CN Normal"/>
        <charset val="134"/>
      </rPr>
      <t>,</t>
    </r>
    <r>
      <rPr>
        <sz val="14"/>
        <color rgb="FF000000"/>
        <rFont val="宋体"/>
        <charset val="134"/>
      </rPr>
      <t>用于本法术的石板可以用一块小石板上凿一个咒印并牺牲</t>
    </r>
    <r>
      <rPr>
        <sz val="14"/>
        <color rgb="FF000000"/>
        <rFont val="Resource Han Rounded CN Normal"/>
        <charset val="134"/>
      </rPr>
      <t>4</t>
    </r>
    <r>
      <rPr>
        <sz val="14"/>
        <color rgb="FF000000"/>
        <rFont val="宋体"/>
        <charset val="134"/>
      </rPr>
      <t>点魔法值</t>
    </r>
    <r>
      <rPr>
        <sz val="14"/>
        <color rgb="FF000000"/>
        <rFont val="Resource Han Rounded CN Normal"/>
        <charset val="134"/>
      </rPr>
      <t>,</t>
    </r>
    <r>
      <rPr>
        <sz val="14"/>
        <color rgb="FF000000"/>
        <rFont val="宋体"/>
        <charset val="134"/>
      </rPr>
      <t>也可以使用</t>
    </r>
    <r>
      <rPr>
        <sz val="14"/>
        <color rgb="FF000000"/>
        <rFont val="Resource Han Rounded CN Normal"/>
        <charset val="134"/>
      </rPr>
      <t>“</t>
    </r>
    <r>
      <rPr>
        <sz val="14"/>
        <color rgb="FF000000"/>
        <rFont val="宋体"/>
        <charset val="134"/>
      </rPr>
      <t>石板附魔术</t>
    </r>
    <r>
      <rPr>
        <sz val="14"/>
        <color rgb="FF000000"/>
        <rFont val="Resource Han Rounded CN Normal"/>
        <charset val="134"/>
      </rPr>
      <t>”(P111)</t>
    </r>
    <r>
      <rPr>
        <sz val="14"/>
        <color rgb="FF000000"/>
        <rFont val="宋体"/>
        <charset val="134"/>
      </rPr>
      <t>。施法者或者目标必须有人拿着石板</t>
    </r>
    <r>
      <rPr>
        <sz val="14"/>
        <color rgb="FF000000"/>
        <rFont val="Resource Han Rounded CN Normal"/>
        <charset val="134"/>
      </rPr>
      <t>,</t>
    </r>
    <r>
      <rPr>
        <sz val="14"/>
        <color rgb="FF000000"/>
        <rFont val="宋体"/>
        <charset val="134"/>
      </rPr>
      <t>目标必须在施法者视野范围内。施法者须和目标进行一次</t>
    </r>
    <r>
      <rPr>
        <sz val="14"/>
        <color rgb="FF000000"/>
        <rFont val="Resource Han Rounded CN Normal"/>
        <charset val="134"/>
      </rPr>
      <t>POW</t>
    </r>
    <r>
      <rPr>
        <sz val="14"/>
        <color rgb="FF000000"/>
        <rFont val="宋体"/>
        <charset val="134"/>
      </rPr>
      <t>对抗检定并胜出</t>
    </r>
    <r>
      <rPr>
        <sz val="14"/>
        <color rgb="FF000000"/>
        <rFont val="Resource Han Rounded CN Normal"/>
        <charset val="134"/>
      </rPr>
      <t>,</t>
    </r>
    <r>
      <rPr>
        <sz val="14"/>
        <color rgb="FF000000"/>
        <rFont val="宋体"/>
        <charset val="134"/>
      </rPr>
      <t>法术才能生效。若生效</t>
    </r>
    <r>
      <rPr>
        <sz val="14"/>
        <color rgb="FF000000"/>
        <rFont val="Resource Han Rounded CN Normal"/>
        <charset val="134"/>
      </rPr>
      <t>,</t>
    </r>
    <r>
      <rPr>
        <sz val="14"/>
        <color rgb="FF000000"/>
        <rFont val="宋体"/>
        <charset val="134"/>
      </rPr>
      <t>目标将立刻被可怖的幻觉压制</t>
    </r>
    <r>
      <rPr>
        <sz val="14"/>
        <color rgb="FF000000"/>
        <rFont val="Resource Han Rounded CN Normal"/>
        <charset val="134"/>
      </rPr>
      <t>,</t>
    </r>
    <r>
      <rPr>
        <sz val="14"/>
        <color rgb="FF000000"/>
        <rFont val="宋体"/>
        <charset val="134"/>
      </rPr>
      <t>失去</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t>
    </r>
    <r>
      <rPr>
        <sz val="14"/>
        <color rgb="FF000000"/>
        <rFont val="宋体"/>
        <charset val="134"/>
      </rPr>
      <t>且每轮都会目盲、迷失在幻影中</t>
    </r>
    <r>
      <rPr>
        <sz val="14"/>
        <color rgb="FF000000"/>
        <rFont val="Resource Han Rounded CN Normal"/>
        <charset val="134"/>
      </rPr>
      <t>,</t>
    </r>
    <r>
      <rPr>
        <sz val="14"/>
        <color rgb="FF000000"/>
        <rFont val="宋体"/>
        <charset val="134"/>
      </rPr>
      <t>直到他们的</t>
    </r>
    <r>
      <rPr>
        <sz val="14"/>
        <color rgb="FF000000"/>
        <rFont val="Resource Han Rounded CN Normal"/>
        <charset val="134"/>
      </rPr>
      <t>POW</t>
    </r>
    <r>
      <rPr>
        <sz val="14"/>
        <color rgb="FF000000"/>
        <rFont val="宋体"/>
        <charset val="134"/>
      </rPr>
      <t>检定成功为止</t>
    </r>
    <r>
      <rPr>
        <sz val="14"/>
        <color rgb="FF000000"/>
        <rFont val="Resource Han Rounded CN Normal"/>
        <charset val="134"/>
      </rPr>
      <t>(</t>
    </r>
    <r>
      <rPr>
        <sz val="14"/>
        <color rgb="FF000000"/>
        <rFont val="宋体"/>
        <charset val="134"/>
      </rPr>
      <t>法术生效的下轮起</t>
    </r>
    <r>
      <rPr>
        <sz val="14"/>
        <color rgb="FF000000"/>
        <rFont val="Resource Han Rounded CN Normal"/>
        <charset val="134"/>
      </rPr>
      <t>)</t>
    </r>
    <r>
      <rPr>
        <sz val="14"/>
        <color rgb="FF000000"/>
        <rFont val="宋体"/>
        <charset val="134"/>
      </rPr>
      <t>。在目标的</t>
    </r>
    <r>
      <rPr>
        <sz val="14"/>
        <color rgb="FF000000"/>
        <rFont val="Resource Han Rounded CN Normal"/>
        <charset val="134"/>
      </rPr>
      <t>POW</t>
    </r>
    <r>
      <rPr>
        <sz val="14"/>
        <color rgb="FF000000"/>
        <rFont val="宋体"/>
        <charset val="134"/>
      </rPr>
      <t>检定成功之后此人仍然会受到梦魇的折磨</t>
    </r>
    <r>
      <rPr>
        <sz val="14"/>
        <color rgb="FF000000"/>
        <rFont val="Resource Han Rounded CN Normal"/>
        <charset val="134"/>
      </rPr>
      <t>(</t>
    </r>
    <r>
      <rPr>
        <sz val="14"/>
        <color rgb="FF000000"/>
        <rFont val="宋体"/>
        <charset val="134"/>
      </rPr>
      <t>每晚损失</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t>
    </r>
    <r>
      <rPr>
        <sz val="14"/>
        <color rgb="FF000000"/>
        <rFont val="宋体"/>
        <charset val="134"/>
      </rPr>
      <t>。想取消这个诅咒</t>
    </r>
    <r>
      <rPr>
        <sz val="14"/>
        <color rgb="FF000000"/>
        <rFont val="Resource Han Rounded CN Normal"/>
        <charset val="134"/>
      </rPr>
      <t>,</t>
    </r>
    <r>
      <rPr>
        <sz val="14"/>
        <color rgb="FF000000"/>
        <rFont val="宋体"/>
        <charset val="134"/>
      </rPr>
      <t>目标需要巧妙设计</t>
    </r>
    <r>
      <rPr>
        <sz val="14"/>
        <color rgb="FF000000"/>
        <rFont val="Resource Han Rounded CN Normal"/>
        <charset val="134"/>
      </rPr>
      <t>--</t>
    </r>
    <r>
      <rPr>
        <sz val="14"/>
        <color rgb="FF000000"/>
        <rFont val="宋体"/>
        <charset val="134"/>
      </rPr>
      <t>或是杀死施法者</t>
    </r>
    <r>
      <rPr>
        <sz val="14"/>
        <color rgb="FF000000"/>
        <rFont val="Resource Han Rounded CN Normal"/>
        <charset val="134"/>
      </rPr>
      <t>,</t>
    </r>
    <r>
      <rPr>
        <sz val="14"/>
        <color rgb="FF000000"/>
        <rFont val="宋体"/>
        <charset val="134"/>
      </rPr>
      <t>或是迫使施法者撤回法术。</t>
    </r>
    <r>
      <rPr>
        <sz val="14"/>
        <color rgb="FF000000"/>
        <rFont val="Resource Han Rounded CN Normal"/>
        <charset val="134"/>
      </rPr>
      <t xml:space="preserve">
</t>
    </r>
    <r>
      <rPr>
        <sz val="14"/>
        <color rgb="FF000000"/>
        <rFont val="宋体"/>
        <charset val="134"/>
      </rPr>
      <t>别名：召唤不虔的梦魇、精神恶魔、幻影的刺痛</t>
    </r>
  </si>
  <si>
    <t>伊希斯的封印〔保〕</t>
  </si>
  <si>
    <r>
      <rPr>
        <sz val="14"/>
        <color rgb="FF000000"/>
        <rFont val="宋体"/>
        <charset val="134"/>
      </rPr>
      <t>可变的魔法值；</t>
    </r>
    <r>
      <rPr>
        <sz val="14"/>
        <color rgb="FF000000"/>
        <rFont val="Resource Han Rounded CN Normal"/>
        <charset val="134"/>
      </rPr>
      <t>1</t>
    </r>
    <r>
      <rPr>
        <sz val="14"/>
        <color rgb="FF000000"/>
        <rFont val="宋体"/>
        <charset val="134"/>
      </rPr>
      <t>点理智值</t>
    </r>
  </si>
  <si>
    <r>
      <rPr>
        <sz val="14"/>
        <color rgb="FF000000"/>
        <rFont val="Resource Han Rounded CN Normal"/>
        <charset val="134"/>
      </rPr>
      <t>1</t>
    </r>
    <r>
      <rPr>
        <sz val="14"/>
        <color rgb="FF000000"/>
        <rFont val="宋体"/>
        <charset val="134"/>
      </rPr>
      <t>小时</t>
    </r>
  </si>
  <si>
    <r>
      <rPr>
        <sz val="14"/>
        <color rgb="FF000000"/>
        <rFont val="宋体"/>
        <charset val="134"/>
      </rPr>
      <t>保护欲、赫典娜</t>
    </r>
    <r>
      <rPr>
        <sz val="14"/>
        <color rgb="FF000000"/>
        <rFont val="Resource Han Rounded CN Normal"/>
        <charset val="134"/>
      </rPr>
      <t>(Xthena)</t>
    </r>
    <r>
      <rPr>
        <sz val="14"/>
        <color rgb="FF000000"/>
        <rFont val="宋体"/>
        <charset val="134"/>
      </rPr>
      <t>的封印、涅弗伦</t>
    </r>
    <r>
      <rPr>
        <sz val="14"/>
        <color rgb="FF000000"/>
        <rFont val="Resource Han Rounded CN Normal"/>
        <charset val="134"/>
      </rPr>
      <t>-</t>
    </r>
    <r>
      <rPr>
        <sz val="14"/>
        <color rgb="FF000000"/>
        <rFont val="宋体"/>
        <charset val="134"/>
      </rPr>
      <t>卡的封印</t>
    </r>
  </si>
  <si>
    <t>SHRIVELLING</t>
  </si>
  <si>
    <t>枯萎术</t>
  </si>
  <si>
    <t>萎縮</t>
  </si>
  <si>
    <r>
      <rPr>
        <sz val="14"/>
        <color rgb="FF000000"/>
        <rFont val="宋体"/>
        <charset val="134"/>
      </rPr>
      <t>枯萎术〔战〕</t>
    </r>
    <r>
      <rPr>
        <sz val="14"/>
        <color rgb="FF000000"/>
        <rFont val="Resource Han Rounded CN Normal"/>
        <charset val="134"/>
      </rPr>
      <t xml:space="preserve">
Shrivelling
</t>
    </r>
    <r>
      <rPr>
        <sz val="14"/>
        <color rgb="FF000000"/>
        <rFont val="宋体"/>
        <charset val="134"/>
      </rPr>
      <t>消耗：可变的魔法值和理智值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本法术是强力的攻击法术，会对一名目标造成物理伤害。施法者消耗任意数量的魔法值，理智值的消耗是魔法值的一半。施法者须和目标进行一次</t>
    </r>
    <r>
      <rPr>
        <sz val="14"/>
        <color rgb="FF000000"/>
        <rFont val="Resource Han Rounded CN Normal"/>
        <charset val="134"/>
      </rPr>
      <t>POW</t>
    </r>
    <r>
      <rPr>
        <sz val="14"/>
        <color rgb="FF000000"/>
        <rFont val="宋体"/>
        <charset val="134"/>
      </rPr>
      <t>对抗检定并胜出，法术才能生效。</t>
    </r>
    <r>
      <rPr>
        <sz val="14"/>
        <color rgb="FF000000"/>
        <rFont val="Resource Han Rounded CN Normal"/>
        <charset val="134"/>
      </rPr>
      <t xml:space="preserve">
</t>
    </r>
    <r>
      <rPr>
        <sz val="14"/>
        <color rgb="FF000000"/>
        <rFont val="宋体"/>
        <charset val="134"/>
      </rPr>
      <t>若成功，目标会突然之间遭到一股可怕能量的冲击，使得血肉焦黑凋零。每在法术中投入</t>
    </r>
    <r>
      <rPr>
        <sz val="14"/>
        <color rgb="FF000000"/>
        <rFont val="Resource Han Rounded CN Normal"/>
        <charset val="134"/>
      </rPr>
      <t>1</t>
    </r>
    <r>
      <rPr>
        <sz val="14"/>
        <color rgb="FF000000"/>
        <rFont val="宋体"/>
        <charset val="134"/>
      </rPr>
      <t>点魔法值，目标就会损失</t>
    </r>
    <r>
      <rPr>
        <sz val="14"/>
        <color rgb="FF000000"/>
        <rFont val="Resource Han Rounded CN Normal"/>
        <charset val="134"/>
      </rPr>
      <t>1</t>
    </r>
    <r>
      <rPr>
        <sz val="14"/>
        <color rgb="FF000000"/>
        <rFont val="宋体"/>
        <charset val="134"/>
      </rPr>
      <t>点耐久值。</t>
    </r>
    <r>
      <rPr>
        <sz val="14"/>
        <color rgb="FF000000"/>
        <rFont val="Resource Han Rounded CN Normal"/>
        <charset val="134"/>
      </rPr>
      <t xml:space="preserve">
</t>
    </r>
    <r>
      <rPr>
        <sz val="14"/>
        <color rgb="FF000000"/>
        <rFont val="宋体"/>
        <charset val="134"/>
      </rPr>
      <t>深层魔法：召唤出神话的巨大能量是一回事，通过理解和领悟去塑造能量又是一回事。有些施法者无需</t>
    </r>
    <r>
      <rPr>
        <sz val="14"/>
        <color rgb="FF000000"/>
        <rFont val="Resource Han Rounded CN Normal"/>
        <charset val="134"/>
      </rPr>
      <t>POW</t>
    </r>
    <r>
      <rPr>
        <sz val="14"/>
        <color rgb="FF000000"/>
        <rFont val="宋体"/>
        <charset val="134"/>
      </rPr>
      <t>检定即可达成法术。而且，施法</t>
    </r>
    <r>
      <rPr>
        <sz val="14"/>
        <color rgb="FF000000"/>
        <rFont val="Resource Han Rounded CN Normal"/>
        <charset val="134"/>
      </rPr>
      <t xml:space="preserve">
</t>
    </r>
    <r>
      <rPr>
        <sz val="14"/>
        <color rgb="FF000000"/>
        <rFont val="宋体"/>
        <charset val="134"/>
      </rPr>
      <t>者可以选择对目标施加更多精神上的恐怖；当被能量冲击击中时，目标会相信自己遭到恐怖的神话生物攻击，进行一次理智检定，损失</t>
    </r>
    <r>
      <rPr>
        <sz val="14"/>
        <color rgb="FF000000"/>
        <rFont val="Resource Han Rounded CN Normal"/>
        <charset val="134"/>
      </rPr>
      <t>1/1D6</t>
    </r>
    <r>
      <rPr>
        <sz val="14"/>
        <color rgb="FF000000"/>
        <rFont val="宋体"/>
        <charset val="134"/>
      </rPr>
      <t>点理智值。</t>
    </r>
    <r>
      <rPr>
        <sz val="14"/>
        <color rgb="FF000000"/>
        <rFont val="Resource Han Rounded CN Normal"/>
        <charset val="134"/>
      </rPr>
      <t xml:space="preserve">
</t>
    </r>
    <r>
      <rPr>
        <sz val="14"/>
        <color rgb="FF000000"/>
        <rFont val="宋体"/>
        <charset val="134"/>
      </rPr>
      <t>别名：忏悔术</t>
    </r>
    <r>
      <rPr>
        <sz val="14"/>
        <color rgb="FF000000"/>
        <rFont val="Resource Han Rounded CN Normal"/>
        <charset val="134"/>
      </rPr>
      <t>[36]</t>
    </r>
    <r>
      <rPr>
        <sz val="14"/>
        <color rgb="FF000000"/>
        <rFont val="宋体"/>
        <charset val="134"/>
      </rPr>
      <t>、死亡的凋零一击</t>
    </r>
  </si>
  <si>
    <t>石板诅咒〔战〕</t>
  </si>
  <si>
    <r>
      <rPr>
        <sz val="14"/>
        <color rgb="FF000000"/>
        <rFont val="Resource Han Rounded CN Normal"/>
        <charset val="134"/>
      </rPr>
      <t>9</t>
    </r>
    <r>
      <rPr>
        <sz val="14"/>
        <color rgb="FF000000"/>
        <rFont val="宋体"/>
        <charset val="134"/>
      </rPr>
      <t>点魔法值；</t>
    </r>
    <r>
      <rPr>
        <sz val="14"/>
        <color rgb="FF000000"/>
        <rFont val="Resource Han Rounded CN Normal"/>
        <charset val="134"/>
      </rPr>
      <t>1D10</t>
    </r>
    <r>
      <rPr>
        <sz val="14"/>
        <color rgb="FF000000"/>
        <rFont val="宋体"/>
        <charset val="134"/>
      </rPr>
      <t>点理智值</t>
    </r>
  </si>
  <si>
    <t>召唤不虔的梦魇、精神恶魔、幻影的刺痛</t>
  </si>
  <si>
    <t>FOOD OF LIFE</t>
  </si>
  <si>
    <t>生命食粮术</t>
  </si>
  <si>
    <r>
      <rPr>
        <sz val="14"/>
        <color rgb="FF000000"/>
        <rFont val="宋体"/>
        <charset val="134"/>
      </rPr>
      <t>命</t>
    </r>
    <r>
      <rPr>
        <sz val="14"/>
        <color rgb="FF000000"/>
        <rFont val="MS Gothic"/>
        <charset val="134"/>
      </rPr>
      <t>の</t>
    </r>
    <r>
      <rPr>
        <sz val="14"/>
        <color rgb="FF000000"/>
        <rFont val="宋体"/>
        <charset val="134"/>
      </rPr>
      <t>糧</t>
    </r>
  </si>
  <si>
    <r>
      <rPr>
        <sz val="14"/>
        <color rgb="FF000000"/>
        <rFont val="宋体"/>
        <charset val="134"/>
      </rPr>
      <t>生命食粮术〔续〕</t>
    </r>
    <r>
      <rPr>
        <sz val="14"/>
        <color rgb="FF000000"/>
        <rFont val="Resource Han Rounded CN Normal"/>
        <charset val="134"/>
      </rPr>
      <t xml:space="preserve">
Food of Life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1D8+1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t>
    </r>
    <r>
      <rPr>
        <sz val="14"/>
        <color rgb="FF000000"/>
        <rFont val="宋体"/>
        <charset val="134"/>
      </rPr>
      <t>天</t>
    </r>
    <r>
      <rPr>
        <sz val="14"/>
        <color rgb="FF000000"/>
        <rFont val="Resource Han Rounded CN Normal"/>
        <charset val="134"/>
      </rPr>
      <t xml:space="preserve">
</t>
    </r>
    <r>
      <rPr>
        <sz val="14"/>
        <color rgb="FF000000"/>
        <rFont val="宋体"/>
        <charset val="134"/>
      </rPr>
      <t>为一个人残酷且不自然地延长寿命。仪式的</t>
    </r>
    <r>
      <rPr>
        <sz val="14"/>
        <color rgb="FF000000"/>
        <rFont val="Resource Han Rounded CN Normal"/>
        <charset val="134"/>
      </rPr>
      <t xml:space="preserve">
</t>
    </r>
    <r>
      <rPr>
        <sz val="14"/>
        <color rgb="FF000000"/>
        <rFont val="宋体"/>
        <charset val="134"/>
      </rPr>
      <t>关键是一场持续数天（通常是</t>
    </r>
    <r>
      <rPr>
        <sz val="14"/>
        <color rgb="FF000000"/>
        <rFont val="Resource Han Rounded CN Normal"/>
        <charset val="134"/>
      </rPr>
      <t>3</t>
    </r>
    <r>
      <rPr>
        <sz val="14"/>
        <color rgb="FF000000"/>
        <rFont val="宋体"/>
        <charset val="134"/>
      </rPr>
      <t>天）的不洁食人</t>
    </r>
    <r>
      <rPr>
        <sz val="14"/>
        <color rgb="FF000000"/>
        <rFont val="Resource Han Rounded CN Normal"/>
        <charset val="134"/>
      </rPr>
      <t xml:space="preserve">
</t>
    </r>
    <r>
      <rPr>
        <sz val="14"/>
        <color rgb="FF000000"/>
        <rFont val="宋体"/>
        <charset val="134"/>
      </rPr>
      <t>筵宴。每在宴会中消耗</t>
    </r>
    <r>
      <rPr>
        <sz val="14"/>
        <color rgb="FF000000"/>
        <rFont val="Resource Han Rounded CN Normal"/>
        <charset val="134"/>
      </rPr>
      <t>5</t>
    </r>
    <r>
      <rPr>
        <sz val="14"/>
        <color rgb="FF000000"/>
        <rFont val="宋体"/>
        <charset val="134"/>
      </rPr>
      <t>点</t>
    </r>
    <r>
      <rPr>
        <sz val="14"/>
        <color rgb="FF000000"/>
        <rFont val="Resource Han Rounded CN Normal"/>
        <charset val="134"/>
      </rPr>
      <t>SIZ</t>
    </r>
    <r>
      <rPr>
        <sz val="14"/>
        <color rgb="FF000000"/>
        <rFont val="宋体"/>
        <charset val="134"/>
      </rPr>
      <t>相当的人肉，食人巫师就能延长一个月的寿命。</t>
    </r>
    <r>
      <rPr>
        <sz val="14"/>
        <color rgb="FF000000"/>
        <rFont val="Resource Han Rounded CN Normal"/>
        <charset val="134"/>
      </rPr>
      <t xml:space="preserve">
</t>
    </r>
    <r>
      <rPr>
        <sz val="14"/>
        <color rgb="FF000000"/>
        <rFont val="宋体"/>
        <charset val="134"/>
      </rPr>
      <t>别名：活肉吞食术、食敌术、特异宴会</t>
    </r>
  </si>
  <si>
    <t>枯萎术〔战〕</t>
  </si>
  <si>
    <t>可变的魔法值和理智值</t>
  </si>
  <si>
    <t>即时</t>
  </si>
  <si>
    <r>
      <rPr>
        <sz val="14"/>
        <color rgb="FF000000"/>
        <rFont val="宋体"/>
        <charset val="134"/>
      </rPr>
      <t>忏悔术</t>
    </r>
    <r>
      <rPr>
        <sz val="14"/>
        <color rgb="FF000000"/>
        <rFont val="Resource Han Rounded CN Normal"/>
        <charset val="134"/>
      </rPr>
      <t>[36]</t>
    </r>
    <r>
      <rPr>
        <sz val="14"/>
        <color rgb="FF000000"/>
        <rFont val="宋体"/>
        <charset val="134"/>
      </rPr>
      <t>、死亡的凋零一击</t>
    </r>
  </si>
  <si>
    <t>POWDER OF IBN-GHAZI</t>
  </si>
  <si>
    <r>
      <rPr>
        <sz val="14"/>
        <color rgb="FF000000"/>
        <rFont val="宋体"/>
        <charset val="134"/>
      </rPr>
      <t>伊本</t>
    </r>
    <r>
      <rPr>
        <sz val="14"/>
        <color rgb="FF000000"/>
        <rFont val="Resource Han Rounded CN Normal"/>
        <charset val="134"/>
      </rPr>
      <t>-</t>
    </r>
    <r>
      <rPr>
        <sz val="14"/>
        <color rgb="FF000000"/>
        <rFont val="宋体"/>
        <charset val="134"/>
      </rPr>
      <t>加齐之粉</t>
    </r>
  </si>
  <si>
    <r>
      <rPr>
        <sz val="14"/>
        <color rgb="FF000000"/>
        <rFont val="MS Gothic"/>
        <charset val="134"/>
      </rPr>
      <t>イブンーグハジの</t>
    </r>
    <r>
      <rPr>
        <sz val="14"/>
        <color rgb="FF000000"/>
        <rFont val="宋体"/>
        <charset val="134"/>
      </rPr>
      <t>粉</t>
    </r>
  </si>
  <si>
    <r>
      <rPr>
        <sz val="14"/>
        <color rgb="FF000000"/>
        <rFont val="宋体"/>
        <charset val="134"/>
      </rPr>
      <t>伊本</t>
    </r>
    <r>
      <rPr>
        <sz val="14"/>
        <color rgb="FF000000"/>
        <rFont val="Resource Han Rounded CN Normal"/>
        <charset val="134"/>
      </rPr>
      <t>-</t>
    </r>
    <r>
      <rPr>
        <sz val="14"/>
        <color rgb="FF000000"/>
        <rFont val="宋体"/>
        <charset val="134"/>
      </rPr>
      <t>加齐之粉〔驱、战〕</t>
    </r>
    <r>
      <rPr>
        <sz val="14"/>
        <color rgb="FF000000"/>
        <rFont val="Resource Han Rounded CN Normal"/>
        <charset val="134"/>
      </rPr>
      <t xml:space="preserve">
Powder of Ibn-Ghazi
</t>
    </r>
    <r>
      <rPr>
        <sz val="14"/>
        <color rgb="FF000000"/>
        <rFont val="宋体"/>
        <charset val="134"/>
      </rPr>
      <t>消耗：</t>
    </r>
    <r>
      <rPr>
        <sz val="14"/>
        <color rgb="FF000000"/>
        <rFont val="Resource Han Rounded CN Normal"/>
        <charset val="134"/>
      </rPr>
      <t>1</t>
    </r>
    <r>
      <rPr>
        <sz val="14"/>
        <color rgb="FF000000"/>
        <rFont val="宋体"/>
        <charset val="134"/>
      </rPr>
      <t>点魔法值（每剂）</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t>
    </r>
    <r>
      <rPr>
        <sz val="14"/>
        <color rgb="FF000000"/>
        <rFont val="宋体"/>
        <charset val="134"/>
      </rPr>
      <t>天准备（每剂），</t>
    </r>
    <r>
      <rPr>
        <sz val="14"/>
        <color rgb="FF000000"/>
        <rFont val="Resource Han Rounded CN Normal"/>
        <charset val="134"/>
      </rPr>
      <t>1</t>
    </r>
    <r>
      <rPr>
        <sz val="14"/>
        <color rgb="FF000000"/>
        <rFont val="宋体"/>
        <charset val="134"/>
      </rPr>
      <t>轮使用</t>
    </r>
    <r>
      <rPr>
        <sz val="14"/>
        <color rgb="FF000000"/>
        <rFont val="Resource Han Rounded CN Normal"/>
        <charset val="134"/>
      </rPr>
      <t xml:space="preserve">
</t>
    </r>
    <r>
      <rPr>
        <sz val="14"/>
        <color rgb="FF000000"/>
        <rFont val="宋体"/>
        <charset val="134"/>
      </rPr>
      <t>通过对隐形存在吹撒粉末，本法术可以让魔法的隐形存在现身。粉末需要根据苛刻的指令仔细混合，里面还有三种特殊原料，每剂要牺牲</t>
    </r>
    <r>
      <rPr>
        <sz val="14"/>
        <color rgb="FF000000"/>
        <rFont val="Resource Han Rounded CN Normal"/>
        <charset val="134"/>
      </rPr>
      <t>1</t>
    </r>
    <r>
      <rPr>
        <sz val="14"/>
        <color rgb="FF000000"/>
        <rFont val="宋体"/>
        <charset val="134"/>
      </rPr>
      <t>点魔法值。每剂可以使用一次。</t>
    </r>
    <r>
      <rPr>
        <sz val="14"/>
        <color rgb="FF000000"/>
        <rFont val="Resource Han Rounded CN Normal"/>
        <charset val="134"/>
      </rPr>
      <t>KP</t>
    </r>
    <r>
      <rPr>
        <sz val="14"/>
        <color rgb="FF000000"/>
        <rFont val="宋体"/>
        <charset val="134"/>
      </rPr>
      <t>决定特殊原料为何。</t>
    </r>
    <r>
      <rPr>
        <sz val="14"/>
        <color rgb="FF000000"/>
        <rFont val="Resource Han Rounded CN Normal"/>
        <charset val="134"/>
      </rPr>
      <t xml:space="preserve">
</t>
    </r>
    <r>
      <rPr>
        <sz val="14"/>
        <color rgb="FF000000"/>
        <rFont val="宋体"/>
        <charset val="134"/>
      </rPr>
      <t>粉末可以从管中吹出或者撒到目标身上。被粉末撒到的存在，显形的时间最多为心跳十次的时间。</t>
    </r>
    <r>
      <rPr>
        <sz val="14"/>
        <color rgb="FF000000"/>
        <rFont val="Resource Han Rounded CN Normal"/>
        <charset val="134"/>
      </rPr>
      <t xml:space="preserve">
</t>
    </r>
    <r>
      <rPr>
        <sz val="14"/>
        <color rgb="FF000000"/>
        <rFont val="宋体"/>
        <charset val="134"/>
      </rPr>
      <t>可以现形的隐形存在包括：施放请神术的附魔地点引出的魔法线、时空门附近的灵光、正常情况下不可视的生物（星之精等）。使用这种粉末不损失理智值，但在看到它显示了什么东西时可能引发理智检定。</t>
    </r>
    <r>
      <rPr>
        <sz val="14"/>
        <color rgb="FF000000"/>
        <rFont val="Resource Han Rounded CN Normal"/>
        <charset val="134"/>
      </rPr>
      <t xml:space="preserve">
</t>
    </r>
    <r>
      <rPr>
        <sz val="14"/>
        <color rgb="FF000000"/>
        <rFont val="宋体"/>
        <charset val="134"/>
      </rPr>
      <t>别名：真视之尘、见所未见术、感知的混合物</t>
    </r>
  </si>
  <si>
    <t>生命食粮术〔续〕</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</si>
  <si>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1D8+1</t>
    </r>
    <r>
      <rPr>
        <sz val="14"/>
        <color rgb="FF000000"/>
        <rFont val="宋体"/>
        <charset val="134"/>
      </rPr>
      <t>点理智值</t>
    </r>
  </si>
  <si>
    <r>
      <rPr>
        <sz val="14"/>
        <color rgb="FF000000"/>
        <rFont val="Resource Han Rounded CN Normal"/>
        <charset val="134"/>
      </rPr>
      <t>3</t>
    </r>
    <r>
      <rPr>
        <sz val="14"/>
        <color rgb="FF000000"/>
        <rFont val="宋体"/>
        <charset val="134"/>
      </rPr>
      <t>天</t>
    </r>
  </si>
  <si>
    <t>活肉吞食术、食敌术、特异宴会</t>
  </si>
  <si>
    <t>HEAL</t>
  </si>
  <si>
    <t>治疗术</t>
  </si>
  <si>
    <r>
      <rPr>
        <sz val="14"/>
        <color rgb="FF000000"/>
        <rFont val="宋体"/>
        <charset val="134"/>
      </rPr>
      <t>癒</t>
    </r>
    <r>
      <rPr>
        <sz val="14"/>
        <color rgb="FF000000"/>
        <rFont val="MS Gothic"/>
        <charset val="134"/>
      </rPr>
      <t>し</t>
    </r>
  </si>
  <si>
    <r>
      <rPr>
        <sz val="14"/>
        <color rgb="FF000000"/>
        <rFont val="宋体"/>
        <charset val="134"/>
      </rPr>
      <t>治疗术</t>
    </r>
    <r>
      <rPr>
        <sz val="14"/>
        <color rgb="FF000000"/>
        <rFont val="Resource Han Rounded CN Normal"/>
        <charset val="134"/>
      </rPr>
      <t xml:space="preserve">
Heal
</t>
    </r>
    <r>
      <rPr>
        <sz val="14"/>
        <color rgb="FF000000"/>
        <rFont val="宋体"/>
        <charset val="134"/>
      </rPr>
      <t>此咒文可使所受的伤害得到最大限度的恢复。在自然恢复时，每周可以恢复</t>
    </r>
    <r>
      <rPr>
        <sz val="14"/>
        <color rgb="FF000000"/>
        <rFont val="Resource Han Rounded CN Normal"/>
        <charset val="134"/>
      </rPr>
      <t>3</t>
    </r>
    <r>
      <rPr>
        <sz val="14"/>
        <color rgb="FF000000"/>
        <rFont val="宋体"/>
        <charset val="134"/>
      </rPr>
      <t>点耐久，如果受伤时成功使用了急救技能，则第一周可以恢复</t>
    </r>
    <r>
      <rPr>
        <sz val="14"/>
        <color rgb="FF000000"/>
        <rFont val="Resource Han Rounded CN Normal"/>
        <charset val="134"/>
      </rPr>
      <t>6</t>
    </r>
    <r>
      <rPr>
        <sz val="14"/>
        <color rgb="FF000000"/>
        <rFont val="宋体"/>
        <charset val="134"/>
      </rPr>
      <t>点耐久。如果成功使用了医学技能，第一周可以恢复</t>
    </r>
    <r>
      <rPr>
        <sz val="14"/>
        <color rgb="FF000000"/>
        <rFont val="Resource Han Rounded CN Normal"/>
        <charset val="134"/>
      </rPr>
      <t>9</t>
    </r>
    <r>
      <rPr>
        <sz val="14"/>
        <color rgb="FF000000"/>
        <rFont val="宋体"/>
        <charset val="134"/>
      </rPr>
      <t>点耐久。施法者须支付</t>
    </r>
    <r>
      <rPr>
        <sz val="14"/>
        <color rgb="FF000000"/>
        <rFont val="Resource Han Rounded CN Normal"/>
        <charset val="134"/>
      </rPr>
      <t>3</t>
    </r>
    <r>
      <rPr>
        <sz val="14"/>
        <color rgb="FF000000"/>
        <rFont val="宋体"/>
        <charset val="134"/>
      </rPr>
      <t>点魔法值，无需支付理智值。施法时间为</t>
    </r>
    <r>
      <rPr>
        <sz val="14"/>
        <color rgb="FF000000"/>
        <rFont val="Resource Han Rounded CN Normal"/>
        <charset val="134"/>
      </rPr>
      <t>25</t>
    </r>
    <r>
      <rPr>
        <sz val="14"/>
        <color rgb="FF000000"/>
        <rFont val="宋体"/>
        <charset val="134"/>
      </rPr>
      <t>轮，在此期间，施法者必须一直触碰受施法者的身体。此外，若想让此咒文每周都发挥作用，就必须每周都施放一遍。</t>
    </r>
  </si>
  <si>
    <r>
      <rPr>
        <sz val="14"/>
        <color rgb="FF000000"/>
        <rFont val="宋体"/>
        <charset val="134"/>
      </rPr>
      <t>伊本</t>
    </r>
    <r>
      <rPr>
        <sz val="14"/>
        <color rgb="FF000000"/>
        <rFont val="Resource Han Rounded CN Normal"/>
        <charset val="134"/>
      </rPr>
      <t>-</t>
    </r>
    <r>
      <rPr>
        <sz val="14"/>
        <color rgb="FF000000"/>
        <rFont val="宋体"/>
        <charset val="134"/>
      </rPr>
      <t>加齐之粉〔驱、战〕</t>
    </r>
  </si>
  <si>
    <r>
      <rPr>
        <sz val="14"/>
        <color rgb="FF000000"/>
        <rFont val="Resource Han Rounded CN Normal"/>
        <charset val="134"/>
      </rPr>
      <t>1</t>
    </r>
    <r>
      <rPr>
        <sz val="14"/>
        <color rgb="FF000000"/>
        <rFont val="宋体"/>
        <charset val="134"/>
      </rPr>
      <t>点魔法值（每剂）</t>
    </r>
  </si>
  <si>
    <r>
      <rPr>
        <sz val="14"/>
        <color rgb="FF000000"/>
        <rFont val="Resource Han Rounded CN Normal"/>
        <charset val="134"/>
      </rPr>
      <t>2</t>
    </r>
    <r>
      <rPr>
        <sz val="14"/>
        <color rgb="FF000000"/>
        <rFont val="宋体"/>
        <charset val="134"/>
      </rPr>
      <t>天准备（每剂），</t>
    </r>
    <r>
      <rPr>
        <sz val="14"/>
        <color rgb="FF000000"/>
        <rFont val="Resource Han Rounded CN Normal"/>
        <charset val="134"/>
      </rPr>
      <t>1</t>
    </r>
    <r>
      <rPr>
        <sz val="14"/>
        <color rgb="FF000000"/>
        <rFont val="宋体"/>
        <charset val="134"/>
      </rPr>
      <t>轮使用</t>
    </r>
  </si>
  <si>
    <t>真视之尘、见所未见术、感知的混合物</t>
  </si>
  <si>
    <t>VOORISH SIGN</t>
  </si>
  <si>
    <t>维瑞之印</t>
  </si>
  <si>
    <r>
      <rPr>
        <sz val="14"/>
        <color rgb="FF000000"/>
        <rFont val="MS Gothic"/>
        <charset val="134"/>
      </rPr>
      <t>ヴールの</t>
    </r>
    <r>
      <rPr>
        <sz val="14"/>
        <color rgb="FF000000"/>
        <rFont val="宋体"/>
        <charset val="134"/>
      </rPr>
      <t>印</t>
    </r>
  </si>
  <si>
    <r>
      <rPr>
        <sz val="14"/>
        <color rgb="FF000000"/>
        <rFont val="宋体"/>
        <charset val="134"/>
      </rPr>
      <t>维瑞之印〔驱、他〕</t>
    </r>
    <r>
      <rPr>
        <sz val="14"/>
        <color rgb="FF000000"/>
        <rFont val="Resource Han Rounded CN Normal"/>
        <charset val="134"/>
      </rPr>
      <t xml:space="preserve">
Voorish Sign
</t>
    </r>
    <r>
      <rPr>
        <sz val="14"/>
        <color rgb="FF000000"/>
        <rFont val="宋体"/>
        <charset val="134"/>
      </rPr>
      <t>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巫师使用的古老又强大的手势，对其他法术的施法有益。它可以减少消耗、缩短施法用时或者略微提高法术效果，随当前法术不同而变（准确的效果由</t>
    </r>
    <r>
      <rPr>
        <sz val="14"/>
        <color rgb="FF000000"/>
        <rFont val="Resource Han Rounded CN Normal"/>
        <charset val="134"/>
      </rPr>
      <t>KP</t>
    </r>
    <r>
      <rPr>
        <sz val="14"/>
        <color rgb="FF000000"/>
        <rFont val="宋体"/>
        <charset val="134"/>
      </rPr>
      <t>决定）。维瑞之印必须在它要加强的法术前一轮施放。</t>
    </r>
    <r>
      <rPr>
        <sz val="14"/>
        <color rgb="FF000000"/>
        <rFont val="Resource Han Rounded CN Normal"/>
        <charset val="134"/>
      </rPr>
      <t xml:space="preserve">
</t>
    </r>
    <r>
      <rPr>
        <sz val="14"/>
        <color rgb="FF000000"/>
        <rFont val="宋体"/>
        <charset val="134"/>
      </rPr>
      <t>相传维瑞之印可以暂时克制神话生物</t>
    </r>
    <r>
      <rPr>
        <sz val="14"/>
        <color rgb="FF000000"/>
        <rFont val="Resource Han Rounded CN Normal"/>
        <charset val="134"/>
      </rPr>
      <t>——</t>
    </r>
    <r>
      <rPr>
        <sz val="14"/>
        <color rgb="FF000000"/>
        <rFont val="宋体"/>
        <charset val="134"/>
      </rPr>
      <t>这些生物对此印十分谨慎，会延迟攻击，直到它们知道巫师的目的为止。</t>
    </r>
    <r>
      <rPr>
        <sz val="14"/>
        <color rgb="FF000000"/>
        <rFont val="Resource Han Rounded CN Normal"/>
        <charset val="134"/>
      </rPr>
      <t xml:space="preserve">
</t>
    </r>
    <r>
      <rPr>
        <sz val="14"/>
        <color rgb="FF000000"/>
        <rFont val="宋体"/>
        <charset val="134"/>
      </rPr>
      <t>别名：超能之印、狡猾的通行证</t>
    </r>
  </si>
  <si>
    <t>1点魔法值；1点理智值</t>
  </si>
  <si>
    <t>施法者须一直触碰受施法者身体，每周需重新施放以保持效果</t>
  </si>
  <si>
    <t>KEENNESS OF TWO ALIKE</t>
  </si>
  <si>
    <t>相似的敏锐</t>
  </si>
  <si>
    <r>
      <rPr>
        <sz val="14"/>
        <color rgb="FF000000"/>
        <rFont val="宋体"/>
        <charset val="134"/>
      </rPr>
      <t>鋭敏</t>
    </r>
    <r>
      <rPr>
        <sz val="14"/>
        <color rgb="FF000000"/>
        <rFont val="MS Gothic"/>
        <charset val="134"/>
      </rPr>
      <t>な</t>
    </r>
    <r>
      <rPr>
        <sz val="14"/>
        <color rgb="FF000000"/>
        <rFont val="Resource Han Rounded CN Normal"/>
        <charset val="134"/>
      </rPr>
      <t>2</t>
    </r>
    <r>
      <rPr>
        <sz val="14"/>
        <color rgb="FF000000"/>
        <rFont val="宋体"/>
        <charset val="134"/>
      </rPr>
      <t>人</t>
    </r>
  </si>
  <si>
    <r>
      <rPr>
        <sz val="14"/>
        <color rgb="FF000000"/>
        <rFont val="宋体"/>
        <charset val="134"/>
      </rPr>
      <t>相似的敏锐〔他〕</t>
    </r>
    <r>
      <rPr>
        <sz val="14"/>
        <color rgb="FF000000"/>
        <rFont val="Resource Han Rounded CN Normal"/>
        <charset val="134"/>
      </rPr>
      <t xml:space="preserve">
Keenness of Two Alike
</t>
    </r>
    <r>
      <rPr>
        <sz val="14"/>
        <color rgb="FF000000"/>
        <rFont val="宋体"/>
        <charset val="134"/>
      </rPr>
      <t>消耗：</t>
    </r>
    <r>
      <rPr>
        <sz val="14"/>
        <color rgb="FF000000"/>
        <rFont val="Resource Han Rounded CN Normal"/>
        <charset val="134"/>
      </rPr>
      <t>4</t>
    </r>
    <r>
      <rPr>
        <sz val="14"/>
        <color rgb="FF000000"/>
        <rFont val="宋体"/>
        <charset val="134"/>
      </rPr>
      <t>点魔法值；</t>
    </r>
    <r>
      <rPr>
        <sz val="14"/>
        <color rgb="FF000000"/>
        <rFont val="Resource Han Rounded CN Normal"/>
        <charset val="134"/>
      </rPr>
      <t>1</t>
    </r>
    <r>
      <rPr>
        <sz val="14"/>
        <color rgb="FF000000"/>
        <rFont val="宋体"/>
        <charset val="134"/>
      </rPr>
      <t>点理智值施法用时：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在</t>
    </r>
    <r>
      <rPr>
        <sz val="14"/>
        <color rgb="FF000000"/>
        <rFont val="Resource Han Rounded CN Normal"/>
        <charset val="134"/>
      </rPr>
      <t>1D4+4</t>
    </r>
    <r>
      <rPr>
        <sz val="14"/>
        <color rgb="FF000000"/>
        <rFont val="宋体"/>
        <charset val="134"/>
      </rPr>
      <t>小时之内，提高精神的明晰度、集中力和记忆力。法术需要两名有血缘关系的施法者（他们各自支付施法消耗），法术生效期间理解或认识到的结论在法术结束后仍然能记得，但推导这个结论的过程就成了谜。两名施法者要按照精心设计的仪式，使他们的精神在根本上为解决智力问题或谜题协同起来；一名施法者获得暂时的智力提升，在之后的</t>
    </r>
    <r>
      <rPr>
        <sz val="14"/>
        <color rgb="FF000000"/>
        <rFont val="Resource Han Rounded CN Normal"/>
        <charset val="134"/>
      </rPr>
      <t>1</t>
    </r>
    <r>
      <rPr>
        <sz val="14"/>
        <color rgb="FF000000"/>
        <rFont val="宋体"/>
        <charset val="134"/>
      </rPr>
      <t>小时中，</t>
    </r>
    <r>
      <rPr>
        <sz val="14"/>
        <color rgb="FF000000"/>
        <rFont val="Resource Han Rounded CN Normal"/>
        <charset val="134"/>
      </rPr>
      <t>INT</t>
    </r>
    <r>
      <rPr>
        <sz val="14"/>
        <color rgb="FF000000"/>
        <rFont val="宋体"/>
        <charset val="134"/>
      </rPr>
      <t>检定获得一颗奖励骰。</t>
    </r>
    <r>
      <rPr>
        <sz val="14"/>
        <color rgb="FF000000"/>
        <rFont val="Resource Han Rounded CN Normal"/>
        <charset val="134"/>
      </rPr>
      <t xml:space="preserve">
</t>
    </r>
    <r>
      <rPr>
        <sz val="14"/>
        <color rgb="FF000000"/>
        <rFont val="宋体"/>
        <charset val="134"/>
      </rPr>
      <t>获得的理解层级和解决特定问题的能力由</t>
    </r>
    <r>
      <rPr>
        <sz val="14"/>
        <color rgb="FF000000"/>
        <rFont val="Resource Han Rounded CN Normal"/>
        <charset val="134"/>
      </rPr>
      <t>KP</t>
    </r>
    <r>
      <rPr>
        <sz val="14"/>
        <color rgb="FF000000"/>
        <rFont val="宋体"/>
        <charset val="134"/>
      </rPr>
      <t>决定。</t>
    </r>
    <r>
      <rPr>
        <sz val="14"/>
        <color rgb="FF000000"/>
        <rFont val="Resource Han Rounded CN Normal"/>
        <charset val="134"/>
      </rPr>
      <t xml:space="preserve">
</t>
    </r>
    <r>
      <rPr>
        <sz val="14"/>
        <color rgb="FF000000"/>
        <rFont val="宋体"/>
        <charset val="134"/>
      </rPr>
      <t>别名：精神结合术、双子解读术</t>
    </r>
  </si>
  <si>
    <t>维瑞之印〔驱、他〕</t>
  </si>
  <si>
    <r>
      <rPr>
        <sz val="14"/>
        <color rgb="FF000000"/>
        <rFont val="Resource Han Rounded CN Normal"/>
        <charset val="134"/>
      </rPr>
      <t>1</t>
    </r>
    <r>
      <rPr>
        <sz val="14"/>
        <color rgb="FF000000"/>
        <rFont val="宋体"/>
        <charset val="134"/>
      </rPr>
      <t>点魔法值；</t>
    </r>
    <r>
      <rPr>
        <sz val="14"/>
        <color rgb="FF000000"/>
        <rFont val="Resource Han Rounded CN Normal"/>
        <charset val="134"/>
      </rPr>
      <t>1</t>
    </r>
    <r>
      <rPr>
        <sz val="14"/>
        <color rgb="FF000000"/>
        <rFont val="宋体"/>
        <charset val="134"/>
      </rPr>
      <t>点理智值</t>
    </r>
  </si>
  <si>
    <t>超能之印、狡猾的通行证</t>
  </si>
  <si>
    <t>EIBON'S WHEEL OF MIST</t>
  </si>
  <si>
    <t>伊波恩雾轮术</t>
  </si>
  <si>
    <r>
      <rPr>
        <sz val="14"/>
        <color rgb="FF000000"/>
        <rFont val="MS Gothic"/>
        <charset val="134"/>
      </rPr>
      <t>エイボンの</t>
    </r>
    <r>
      <rPr>
        <sz val="14"/>
        <color rgb="FF000000"/>
        <rFont val="宋体"/>
        <charset val="134"/>
      </rPr>
      <t>霧</t>
    </r>
    <r>
      <rPr>
        <sz val="14"/>
        <color rgb="FF000000"/>
        <rFont val="MS Gothic"/>
        <charset val="134"/>
      </rPr>
      <t>の</t>
    </r>
    <r>
      <rPr>
        <sz val="14"/>
        <color rgb="FF000000"/>
        <rFont val="宋体"/>
        <charset val="134"/>
      </rPr>
      <t>車輪</t>
    </r>
  </si>
  <si>
    <r>
      <rPr>
        <sz val="14"/>
        <color rgb="FF000000"/>
        <rFont val="宋体"/>
        <charset val="134"/>
      </rPr>
      <t>伊波恩雾轮术〔保〕</t>
    </r>
    <r>
      <rPr>
        <sz val="14"/>
        <color rgb="FF000000"/>
        <rFont val="Resource Han Rounded CN Normal"/>
        <charset val="134"/>
      </rPr>
      <t xml:space="preserve">
Eibon's Wheel of Mist
</t>
    </r>
    <r>
      <rPr>
        <sz val="14"/>
        <color rgb="FF000000"/>
        <rFont val="宋体"/>
        <charset val="134"/>
      </rPr>
      <t>消耗：</t>
    </r>
    <r>
      <rPr>
        <sz val="14"/>
        <color rgb="FF000000"/>
        <rFont val="Resource Han Rounded CN Normal"/>
        <charset val="134"/>
      </rPr>
      <t>1</t>
    </r>
    <r>
      <rPr>
        <sz val="14"/>
        <color rgb="FF000000"/>
        <rFont val="宋体"/>
        <charset val="134"/>
      </rPr>
      <t>点魔法值（每英尺高度）；</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1D3</t>
    </r>
    <r>
      <rPr>
        <sz val="14"/>
        <color rgb="FF000000"/>
        <rFont val="宋体"/>
        <charset val="134"/>
      </rPr>
      <t>分钟</t>
    </r>
    <r>
      <rPr>
        <sz val="14"/>
        <color rgb="FF000000"/>
        <rFont val="Resource Han Rounded CN Normal"/>
        <charset val="134"/>
      </rPr>
      <t xml:space="preserve">
</t>
    </r>
    <r>
      <rPr>
        <sz val="14"/>
        <color rgb="FF000000"/>
        <rFont val="宋体"/>
        <charset val="134"/>
      </rPr>
      <t>产生一个旋转的柱状区域，一人或多人可以在里面躲过某些神话生物。需要一张蚀刻有特殊秘法符号的小铜盘。施法者将铜盘放在地面上，站在上面，吟唱法术所用的咒语，并支付法术的消耗。若施法成功，法术将在施法者周围产生直径五英尺的、旋转的蓝色轮形迷雾。在旋转的柱形迷雾内，一切物体都被完全遮蔽。雾轮需要</t>
    </r>
    <r>
      <rPr>
        <sz val="14"/>
        <color rgb="FF000000"/>
        <rFont val="Resource Han Rounded CN Normal"/>
        <charset val="134"/>
      </rPr>
      <t>1D3</t>
    </r>
    <r>
      <rPr>
        <sz val="14"/>
        <color rgb="FF000000"/>
        <rFont val="宋体"/>
        <charset val="134"/>
      </rPr>
      <t>分钟来完全成型，持续</t>
    </r>
    <r>
      <rPr>
        <sz val="14"/>
        <color rgb="FF000000"/>
        <rFont val="Resource Han Rounded CN Normal"/>
        <charset val="134"/>
      </rPr>
      <t>1D20+10</t>
    </r>
    <r>
      <rPr>
        <sz val="14"/>
        <color rgb="FF000000"/>
        <rFont val="宋体"/>
        <charset val="134"/>
      </rPr>
      <t>分钟，然后消散。</t>
    </r>
    <r>
      <rPr>
        <sz val="14"/>
        <color rgb="FF000000"/>
        <rFont val="Resource Han Rounded CN Normal"/>
        <charset val="134"/>
      </rPr>
      <t xml:space="preserve">
</t>
    </r>
    <r>
      <rPr>
        <sz val="14"/>
        <color rgb="FF000000"/>
        <rFont val="宋体"/>
        <charset val="134"/>
      </rPr>
      <t>迷雾可以让人在奈亚拉托提普召唤的、或以奈亚拉托提普之名召唤的怪物眼中隐形。这些生物会将迷雾和雾中隐蔽的人视为不存在。它们也不会走到雾轮的位置，绝无意外。如果雾轮阻挡了道路，这些生物会停下来或者原路返回，原因不明。雾轮只会影响召唤生物，无法影响奈亚拉托提普。</t>
    </r>
    <r>
      <rPr>
        <sz val="14"/>
        <color rgb="FF000000"/>
        <rFont val="Resource Han Rounded CN Normal"/>
        <charset val="134"/>
      </rPr>
      <t xml:space="preserve">
</t>
    </r>
    <r>
      <rPr>
        <sz val="14"/>
        <color rgb="FF000000"/>
        <rFont val="宋体"/>
        <charset val="134"/>
      </rPr>
      <t>雾轮当中可以挤进许多人；但是，一旦有人的脚、手、头等露出来，法术将完全失效（这方面由</t>
    </r>
    <r>
      <rPr>
        <sz val="14"/>
        <color rgb="FF000000"/>
        <rFont val="Resource Han Rounded CN Normal"/>
        <charset val="134"/>
      </rPr>
      <t>KP</t>
    </r>
    <r>
      <rPr>
        <sz val="14"/>
        <color rgb="FF000000"/>
        <rFont val="宋体"/>
        <charset val="134"/>
      </rPr>
      <t>裁定）。要隐藏一队正常身高的调查员，需要</t>
    </r>
    <r>
      <rPr>
        <sz val="14"/>
        <color rgb="FF000000"/>
        <rFont val="Resource Han Rounded CN Normal"/>
        <charset val="134"/>
      </rPr>
      <t>7</t>
    </r>
    <r>
      <rPr>
        <sz val="14"/>
        <color rgb="FF000000"/>
        <rFont val="宋体"/>
        <charset val="134"/>
      </rPr>
      <t>点魔法值。</t>
    </r>
    <r>
      <rPr>
        <sz val="14"/>
        <color rgb="FF000000"/>
        <rFont val="Resource Han Rounded CN Normal"/>
        <charset val="134"/>
      </rPr>
      <t xml:space="preserve">
</t>
    </r>
    <r>
      <rPr>
        <sz val="14"/>
        <color rgb="FF000000"/>
        <rFont val="宋体"/>
        <charset val="134"/>
      </rPr>
      <t>在雾轮术施法之前登场的生物、不由奈亚拉托提普的力量召唤的生物，能够看见雾轮并移动进去。人可以从雾轮里走出来，但如果此人被发现，或者将任何东西（如子弹、刀剑等）穿过雾轮，幻象就会破坏。只要怪物注意到了异常，发现了有正在运行的幻象，法术的保护就失效了。</t>
    </r>
    <r>
      <rPr>
        <sz val="14"/>
        <color rgb="FF000000"/>
        <rFont val="Resource Han Rounded CN Normal"/>
        <charset val="134"/>
      </rPr>
      <t xml:space="preserve">
</t>
    </r>
    <r>
      <rPr>
        <sz val="14"/>
        <color rgb="FF000000"/>
        <rFont val="宋体"/>
        <charset val="134"/>
      </rPr>
      <t>别名：巫师的罩幕、欺诈的蓝雾、藏身处</t>
    </r>
  </si>
  <si>
    <t>相似的敏锐〔他〕</t>
  </si>
  <si>
    <r>
      <rPr>
        <sz val="14"/>
        <color rgb="FF000000"/>
        <rFont val="Resource Han Rounded CN Normal"/>
        <charset val="134"/>
      </rPr>
      <t>4</t>
    </r>
    <r>
      <rPr>
        <sz val="14"/>
        <color rgb="FF000000"/>
        <rFont val="宋体"/>
        <charset val="134"/>
      </rPr>
      <t>点魔法值；</t>
    </r>
    <r>
      <rPr>
        <sz val="14"/>
        <color rgb="FF000000"/>
        <rFont val="Resource Han Rounded CN Normal"/>
        <charset val="134"/>
      </rPr>
      <t>1</t>
    </r>
    <r>
      <rPr>
        <sz val="14"/>
        <color rgb="FF000000"/>
        <rFont val="宋体"/>
        <charset val="134"/>
      </rPr>
      <t>点理智值</t>
    </r>
  </si>
  <si>
    <t>精神结合术、双子解读术</t>
  </si>
  <si>
    <t>SUMMON PLAGUE</t>
  </si>
  <si>
    <t>瘟疫召唤术</t>
  </si>
  <si>
    <r>
      <rPr>
        <sz val="14"/>
        <color rgb="FF000000"/>
        <rFont val="宋体"/>
        <charset val="134"/>
      </rPr>
      <t>疫病</t>
    </r>
    <r>
      <rPr>
        <sz val="14"/>
        <color rgb="FF000000"/>
        <rFont val="MS Gothic"/>
        <charset val="134"/>
      </rPr>
      <t>の</t>
    </r>
    <r>
      <rPr>
        <sz val="14"/>
        <color rgb="FF000000"/>
        <rFont val="宋体"/>
        <charset val="134"/>
      </rPr>
      <t>召喚</t>
    </r>
  </si>
  <si>
    <r>
      <rPr>
        <sz val="14"/>
        <color rgb="FF000000"/>
        <rFont val="宋体"/>
        <charset val="134"/>
      </rPr>
      <t>瘟疫召唤术（幻梦境）〔梦〕</t>
    </r>
    <r>
      <rPr>
        <sz val="14"/>
        <color rgb="FF000000"/>
        <rFont val="Resource Han Rounded CN Normal"/>
        <charset val="134"/>
      </rPr>
      <t xml:space="preserve">
Summon Plague
</t>
    </r>
    <r>
      <rPr>
        <sz val="14"/>
        <color rgb="FF000000"/>
        <rFont val="宋体"/>
        <charset val="134"/>
      </rPr>
      <t>消耗：</t>
    </r>
    <r>
      <rPr>
        <sz val="14"/>
        <color rgb="FF000000"/>
        <rFont val="Resource Han Rounded CN Normal"/>
        <charset val="134"/>
      </rPr>
      <t>20</t>
    </r>
    <r>
      <rPr>
        <sz val="14"/>
        <color rgb="FF000000"/>
        <rFont val="宋体"/>
        <charset val="134"/>
      </rPr>
      <t>点魔法值；</t>
    </r>
    <r>
      <rPr>
        <sz val="14"/>
        <color rgb="FF000000"/>
        <rFont val="Resource Han Rounded CN Normal"/>
        <charset val="134"/>
      </rPr>
      <t>2D10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本法术只能在幻梦境才能成功施放。令携带病原的鼠群和虫群涌向某个地区，传播可怕的瘟疫。被蜇咬的目标自动染病，初期症状在</t>
    </r>
    <r>
      <rPr>
        <sz val="14"/>
        <color rgb="FF000000"/>
        <rFont val="Resource Han Rounded CN Normal"/>
        <charset val="134"/>
      </rPr>
      <t>1D3</t>
    </r>
    <r>
      <rPr>
        <sz val="14"/>
        <color rgb="FF000000"/>
        <rFont val="宋体"/>
        <charset val="134"/>
      </rPr>
      <t>天出现。此后目标每天损失</t>
    </r>
    <r>
      <rPr>
        <sz val="14"/>
        <color rgb="FF000000"/>
        <rFont val="Resource Han Rounded CN Normal"/>
        <charset val="134"/>
      </rPr>
      <t>1D20</t>
    </r>
    <r>
      <rPr>
        <sz val="14"/>
        <color rgb="FF000000"/>
        <rFont val="宋体"/>
        <charset val="134"/>
      </rPr>
      <t>点</t>
    </r>
    <r>
      <rPr>
        <sz val="14"/>
        <color rgb="FF000000"/>
        <rFont val="Resource Han Rounded CN Normal"/>
        <charset val="134"/>
      </rPr>
      <t>CON</t>
    </r>
    <r>
      <rPr>
        <sz val="14"/>
        <color rgb="FF000000"/>
        <rFont val="宋体"/>
        <charset val="134"/>
      </rPr>
      <t>，直到他死亡或痊愈为止。所有技能值也要每天减去</t>
    </r>
    <r>
      <rPr>
        <sz val="14"/>
        <color rgb="FF000000"/>
        <rFont val="Resource Han Rounded CN Normal"/>
        <charset val="134"/>
      </rPr>
      <t>10</t>
    </r>
    <r>
      <rPr>
        <sz val="14"/>
        <color rgb="FF000000"/>
        <rFont val="宋体"/>
        <charset val="134"/>
      </rPr>
      <t>点。</t>
    </r>
    <r>
      <rPr>
        <sz val="14"/>
        <color rgb="FF000000"/>
        <rFont val="Resource Han Rounded CN Normal"/>
        <charset val="134"/>
      </rPr>
      <t xml:space="preserve">
</t>
    </r>
    <r>
      <rPr>
        <sz val="14"/>
        <color rgb="FF000000"/>
        <rFont val="宋体"/>
        <charset val="134"/>
      </rPr>
      <t>染病的梦想家可以用一次成功的「医学」检定治愈，过一夜即可恢复所有丢失的</t>
    </r>
    <r>
      <rPr>
        <sz val="14"/>
        <color rgb="FF000000"/>
        <rFont val="Resource Han Rounded CN Normal"/>
        <charset val="134"/>
      </rPr>
      <t>CON</t>
    </r>
    <r>
      <rPr>
        <sz val="14"/>
        <color rgb="FF000000"/>
        <rFont val="宋体"/>
        <charset val="134"/>
      </rPr>
      <t>（和技能点）。虽然活过一次瘟疫代表对同种瘟疫的再次侵袭产生了免疫，但本法术每次使用都会产生一种不同的疾病，所以不能对此法术产生免疫。</t>
    </r>
    <r>
      <rPr>
        <sz val="14"/>
        <color rgb="FF000000"/>
        <rFont val="Resource Han Rounded CN Normal"/>
        <charset val="134"/>
      </rPr>
      <t xml:space="preserve">
</t>
    </r>
    <r>
      <rPr>
        <sz val="14"/>
        <color rgb="FF000000"/>
        <rFont val="宋体"/>
        <charset val="134"/>
      </rPr>
      <t>第一波带病生物会在</t>
    </r>
    <r>
      <rPr>
        <sz val="14"/>
        <color rgb="FF000000"/>
        <rFont val="Resource Han Rounded CN Normal"/>
        <charset val="134"/>
      </rPr>
      <t>2D10</t>
    </r>
    <r>
      <rPr>
        <sz val="14"/>
        <color rgb="FF000000"/>
        <rFont val="宋体"/>
        <charset val="134"/>
      </rPr>
      <t>分钟后出现，再过</t>
    </r>
    <r>
      <rPr>
        <sz val="14"/>
        <color rgb="FF000000"/>
        <rFont val="Resource Han Rounded CN Normal"/>
        <charset val="134"/>
      </rPr>
      <t>2D10</t>
    </r>
    <r>
      <rPr>
        <sz val="14"/>
        <color rgb="FF000000"/>
        <rFont val="宋体"/>
        <charset val="134"/>
      </rPr>
      <t>分钟会出现下一波。影响地区的范围直径第一天是一英里，此后每天增加一英里，直到带病生物在</t>
    </r>
    <r>
      <rPr>
        <sz val="14"/>
        <color rgb="FF000000"/>
        <rFont val="Resource Han Rounded CN Normal"/>
        <charset val="134"/>
      </rPr>
      <t>2D6</t>
    </r>
    <r>
      <rPr>
        <sz val="14"/>
        <color rgb="FF000000"/>
        <rFont val="宋体"/>
        <charset val="134"/>
      </rPr>
      <t>天后死尽，或者瘟疫被某些方法驱散。召唤出的瘟疫不会传染，它只能通过昆虫和老鼠的蜇咬传播。若染病的梦想家在死亡之前醒来，他会痊愈，下一次来到幻梦境时不会有此疾病的任何症状。</t>
    </r>
    <r>
      <rPr>
        <sz val="14"/>
        <color rgb="FF000000"/>
        <rFont val="Resource Han Rounded CN Normal"/>
        <charset val="134"/>
      </rPr>
      <t xml:space="preserve">
</t>
    </r>
    <r>
      <rPr>
        <sz val="14"/>
        <color rgb="FF000000"/>
        <rFont val="宋体"/>
        <charset val="134"/>
      </rPr>
      <t>召唤出的瘟疫可以通过逆施放本法术来成功驱散；但是染病的人仍需要「医学」检定成功，否则仍然会慢慢死去。</t>
    </r>
    <r>
      <rPr>
        <sz val="14"/>
        <color rgb="FF000000"/>
        <rFont val="Resource Han Rounded CN Normal"/>
        <charset val="134"/>
      </rPr>
      <t xml:space="preserve">
</t>
    </r>
    <r>
      <rPr>
        <sz val="14"/>
        <color rgb="FF000000"/>
        <rFont val="宋体"/>
        <charset val="134"/>
      </rPr>
      <t>别名：引瘟虫群、瘟疫之鞭</t>
    </r>
  </si>
  <si>
    <t>伊波恩雾轮术〔保〕</t>
  </si>
  <si>
    <r>
      <rPr>
        <sz val="14"/>
        <color rgb="FF000000"/>
        <rFont val="Resource Han Rounded CN Normal"/>
        <charset val="134"/>
      </rPr>
      <t>1</t>
    </r>
    <r>
      <rPr>
        <sz val="14"/>
        <color rgb="FF000000"/>
        <rFont val="宋体"/>
        <charset val="134"/>
      </rPr>
      <t>点魔法值（每英尺高度）；</t>
    </r>
    <r>
      <rPr>
        <sz val="14"/>
        <color rgb="FF000000"/>
        <rFont val="Resource Han Rounded CN Normal"/>
        <charset val="134"/>
      </rPr>
      <t>1</t>
    </r>
    <r>
      <rPr>
        <sz val="14"/>
        <color rgb="FF000000"/>
        <rFont val="宋体"/>
        <charset val="134"/>
      </rPr>
      <t>点理智值</t>
    </r>
  </si>
  <si>
    <r>
      <rPr>
        <sz val="14"/>
        <color rgb="FF000000"/>
        <rFont val="Resource Han Rounded CN Normal"/>
        <charset val="134"/>
      </rPr>
      <t>1D3</t>
    </r>
    <r>
      <rPr>
        <sz val="14"/>
        <color rgb="FF000000"/>
        <rFont val="宋体"/>
        <charset val="134"/>
      </rPr>
      <t>分钟</t>
    </r>
  </si>
  <si>
    <t>巫师的罩幕、欺诈的蓝雾、藏身处</t>
  </si>
  <si>
    <t>BRING PESTILENCE</t>
  </si>
  <si>
    <t>瘟疫发生术</t>
  </si>
  <si>
    <r>
      <rPr>
        <sz val="14"/>
        <color rgb="FF000000"/>
        <rFont val="宋体"/>
        <charset val="134"/>
      </rPr>
      <t>疫病</t>
    </r>
    <r>
      <rPr>
        <sz val="14"/>
        <color rgb="FF000000"/>
        <rFont val="MS Gothic"/>
        <charset val="134"/>
      </rPr>
      <t>の</t>
    </r>
    <r>
      <rPr>
        <sz val="14"/>
        <color rgb="FF000000"/>
        <rFont val="宋体"/>
        <charset val="134"/>
      </rPr>
      <t>到来</t>
    </r>
  </si>
  <si>
    <r>
      <rPr>
        <sz val="14"/>
        <color rgb="FF000000"/>
        <rFont val="宋体"/>
        <charset val="134"/>
      </rPr>
      <t>瘟疫发生术（甲型）〔害〕</t>
    </r>
    <r>
      <rPr>
        <sz val="14"/>
        <color rgb="FF000000"/>
        <rFont val="Resource Han Rounded CN Normal"/>
        <charset val="134"/>
      </rPr>
      <t xml:space="preserve">
Bring Pestilence(I)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1D10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这种邪恶的魔法能让受术者感染可怕的疾病。</t>
    </r>
    <r>
      <rPr>
        <sz val="14"/>
        <color rgb="FF000000"/>
        <rFont val="Resource Han Rounded CN Normal"/>
        <charset val="134"/>
      </rPr>
      <t xml:space="preserve">
</t>
    </r>
    <r>
      <rPr>
        <sz val="14"/>
        <color rgb="FF000000"/>
        <rFont val="宋体"/>
        <charset val="134"/>
      </rPr>
      <t>施放本法术需要一块腐烂的人肉。施法者须和目标进行一次</t>
    </r>
    <r>
      <rPr>
        <sz val="14"/>
        <color rgb="FF000000"/>
        <rFont val="Resource Han Rounded CN Normal"/>
        <charset val="134"/>
      </rPr>
      <t>POW</t>
    </r>
    <r>
      <rPr>
        <sz val="14"/>
        <color rgb="FF000000"/>
        <rFont val="宋体"/>
        <charset val="134"/>
      </rPr>
      <t>对抗检定。若施法者胜出，法术立即生效，症状会在</t>
    </r>
    <r>
      <rPr>
        <sz val="14"/>
        <color rgb="FF000000"/>
        <rFont val="Resource Han Rounded CN Normal"/>
        <charset val="134"/>
      </rPr>
      <t>1D3</t>
    </r>
    <r>
      <rPr>
        <sz val="14"/>
        <color rgb="FF000000"/>
        <rFont val="宋体"/>
        <charset val="134"/>
      </rPr>
      <t>小时内出现。病名可以根据</t>
    </r>
    <r>
      <rPr>
        <sz val="14"/>
        <color rgb="FF000000"/>
        <rFont val="Resource Han Rounded CN Normal"/>
        <charset val="134"/>
      </rPr>
      <t>KP</t>
    </r>
    <r>
      <rPr>
        <sz val="14"/>
        <color rgb="FF000000"/>
        <rFont val="宋体"/>
        <charset val="134"/>
      </rPr>
      <t>的裁定而不同，但效果相同。感染传遍全身时，目标损失</t>
    </r>
    <r>
      <rPr>
        <sz val="14"/>
        <color rgb="FF000000"/>
        <rFont val="Resource Han Rounded CN Normal"/>
        <charset val="134"/>
      </rPr>
      <t>2D10</t>
    </r>
    <r>
      <rPr>
        <sz val="14"/>
        <color rgb="FF000000"/>
        <rFont val="宋体"/>
        <charset val="134"/>
      </rPr>
      <t>点</t>
    </r>
    <r>
      <rPr>
        <sz val="14"/>
        <color rgb="FF000000"/>
        <rFont val="Resource Han Rounded CN Normal"/>
        <charset val="134"/>
      </rPr>
      <t>CON</t>
    </r>
    <r>
      <rPr>
        <sz val="14"/>
        <color rgb="FF000000"/>
        <rFont val="宋体"/>
        <charset val="134"/>
      </rPr>
      <t>；此后每天损失</t>
    </r>
    <r>
      <rPr>
        <sz val="14"/>
        <color rgb="FF000000"/>
        <rFont val="Resource Han Rounded CN Normal"/>
        <charset val="134"/>
      </rPr>
      <t>1D10</t>
    </r>
    <r>
      <rPr>
        <sz val="14"/>
        <color rgb="FF000000"/>
        <rFont val="宋体"/>
        <charset val="134"/>
      </rPr>
      <t>点</t>
    </r>
    <r>
      <rPr>
        <sz val="14"/>
        <color rgb="FF000000"/>
        <rFont val="Resource Han Rounded CN Normal"/>
        <charset val="134"/>
      </rPr>
      <t>CON</t>
    </r>
    <r>
      <rPr>
        <sz val="14"/>
        <color rgb="FF000000"/>
        <rFont val="宋体"/>
        <charset val="134"/>
      </rPr>
      <t>，直到目标的</t>
    </r>
    <r>
      <rPr>
        <sz val="14"/>
        <color rgb="FF000000"/>
        <rFont val="Resource Han Rounded CN Normal"/>
        <charset val="134"/>
      </rPr>
      <t>CON</t>
    </r>
    <r>
      <rPr>
        <sz val="14"/>
        <color rgb="FF000000"/>
        <rFont val="宋体"/>
        <charset val="134"/>
      </rPr>
      <t>归零并死亡。</t>
    </r>
    <r>
      <rPr>
        <sz val="14"/>
        <color rgb="FF000000"/>
        <rFont val="Resource Han Rounded CN Normal"/>
        <charset val="134"/>
      </rPr>
      <t xml:space="preserve">
</t>
    </r>
    <r>
      <rPr>
        <sz val="14"/>
        <color rgb="FF000000"/>
        <rFont val="宋体"/>
        <charset val="134"/>
      </rPr>
      <t>当然，在</t>
    </r>
    <r>
      <rPr>
        <sz val="14"/>
        <color rgb="FF000000"/>
        <rFont val="Resource Han Rounded CN Normal"/>
        <charset val="134"/>
      </rPr>
      <t>CON</t>
    </r>
    <r>
      <rPr>
        <sz val="14"/>
        <color rgb="FF000000"/>
        <rFont val="宋体"/>
        <charset val="134"/>
      </rPr>
      <t>减少的同时，耐久值也会减少。另外，所有技能检定均得到一颗惩罚骰。</t>
    </r>
    <r>
      <rPr>
        <sz val="14"/>
        <color rgb="FF000000"/>
        <rFont val="Resource Han Rounded CN Normal"/>
        <charset val="134"/>
      </rPr>
      <t xml:space="preserve">
</t>
    </r>
    <r>
      <rPr>
        <sz val="14"/>
        <color rgb="FF000000"/>
        <rFont val="宋体"/>
        <charset val="134"/>
      </rPr>
      <t>生病的调查员可以在医院或类似设施接受专业医疗护理，通过成功的困难「医学」检定以治愈。治愈的调查员将每天回复</t>
    </r>
    <r>
      <rPr>
        <sz val="14"/>
        <color rgb="FF000000"/>
        <rFont val="Resource Han Rounded CN Normal"/>
        <charset val="134"/>
      </rPr>
      <t>5</t>
    </r>
    <r>
      <rPr>
        <sz val="14"/>
        <color rgb="FF000000"/>
        <rFont val="宋体"/>
        <charset val="134"/>
      </rPr>
      <t>点</t>
    </r>
    <r>
      <rPr>
        <sz val="14"/>
        <color rgb="FF000000"/>
        <rFont val="Resource Han Rounded CN Normal"/>
        <charset val="134"/>
      </rPr>
      <t>CON</t>
    </r>
    <r>
      <rPr>
        <sz val="14"/>
        <color rgb="FF000000"/>
        <rFont val="宋体"/>
        <charset val="134"/>
      </rPr>
      <t>，直到完全回复。</t>
    </r>
    <r>
      <rPr>
        <sz val="14"/>
        <color rgb="FF000000"/>
        <rFont val="Resource Han Rounded CN Normal"/>
        <charset val="134"/>
      </rPr>
      <t xml:space="preserve">
</t>
    </r>
    <r>
      <rPr>
        <sz val="14"/>
        <color rgb="FF000000"/>
        <rFont val="宋体"/>
        <charset val="134"/>
      </rPr>
      <t>深层魔法：某些致命而凶险的疾病可以同时被感染，因此目标会受到成倍的病痛和苦难。这种致命结合会加速</t>
    </r>
    <r>
      <rPr>
        <sz val="14"/>
        <color rgb="FF000000"/>
        <rFont val="Resource Han Rounded CN Normal"/>
        <charset val="134"/>
      </rPr>
      <t>CON</t>
    </r>
    <r>
      <rPr>
        <sz val="14"/>
        <color rgb="FF000000"/>
        <rFont val="宋体"/>
        <charset val="134"/>
      </rPr>
      <t>的降低。治疗会更加困难，需要极难「医学」检定。这种疾病可能会造成后遗症，比如永久</t>
    </r>
    <r>
      <rPr>
        <sz val="14"/>
        <color rgb="FF000000"/>
        <rFont val="Resource Han Rounded CN Normal"/>
        <charset val="134"/>
      </rPr>
      <t>CON</t>
    </r>
    <r>
      <rPr>
        <sz val="14"/>
        <color rgb="FF000000"/>
        <rFont val="宋体"/>
        <charset val="134"/>
      </rPr>
      <t>降低（</t>
    </r>
    <r>
      <rPr>
        <sz val="14"/>
        <color rgb="FF000000"/>
        <rFont val="Resource Han Rounded CN Normal"/>
        <charset val="134"/>
      </rPr>
      <t>10</t>
    </r>
    <r>
      <rPr>
        <sz val="14"/>
        <color rgb="FF000000"/>
        <rFont val="宋体"/>
        <charset val="134"/>
      </rPr>
      <t>或</t>
    </r>
    <r>
      <rPr>
        <sz val="14"/>
        <color rgb="FF000000"/>
        <rFont val="Resource Han Rounded CN Normal"/>
        <charset val="134"/>
      </rPr>
      <t>20</t>
    </r>
    <r>
      <rPr>
        <sz val="14"/>
        <color rgb="FF000000"/>
        <rFont val="宋体"/>
        <charset val="134"/>
      </rPr>
      <t>点）、毁容（降低</t>
    </r>
    <r>
      <rPr>
        <sz val="14"/>
        <color rgb="FF000000"/>
        <rFont val="Resource Han Rounded CN Normal"/>
        <charset val="134"/>
      </rPr>
      <t>APP</t>
    </r>
    <r>
      <rPr>
        <sz val="14"/>
        <color rgb="FF000000"/>
        <rFont val="宋体"/>
        <charset val="134"/>
      </rPr>
      <t>）、或消耗症导致不可避免的截肢（降低</t>
    </r>
    <r>
      <rPr>
        <sz val="14"/>
        <color rgb="FF000000"/>
        <rFont val="Resource Han Rounded CN Normal"/>
        <charset val="134"/>
      </rPr>
      <t>STR</t>
    </r>
    <r>
      <rPr>
        <sz val="14"/>
        <color rgb="FF000000"/>
        <rFont val="宋体"/>
        <charset val="134"/>
      </rPr>
      <t>、</t>
    </r>
    <r>
      <rPr>
        <sz val="14"/>
        <color rgb="FF000000"/>
        <rFont val="Resource Han Rounded CN Normal"/>
        <charset val="134"/>
      </rPr>
      <t>DEX</t>
    </r>
    <r>
      <rPr>
        <sz val="14"/>
        <color rgb="FF000000"/>
        <rFont val="宋体"/>
        <charset val="134"/>
      </rPr>
      <t>）。</t>
    </r>
    <r>
      <rPr>
        <sz val="14"/>
        <color rgb="FF000000"/>
        <rFont val="Resource Han Rounded CN Normal"/>
        <charset val="134"/>
      </rPr>
      <t xml:space="preserve">
</t>
    </r>
    <r>
      <rPr>
        <sz val="14"/>
        <color rgb="FF000000"/>
        <rFont val="宋体"/>
        <charset val="134"/>
      </rPr>
      <t>别名：恶魔的气息瘟疫、阿提夸</t>
    </r>
    <r>
      <rPr>
        <sz val="14"/>
        <color rgb="FF000000"/>
        <rFont val="Resource Han Rounded CN Normal"/>
        <charset val="134"/>
      </rPr>
      <t>(Attiqua)</t>
    </r>
    <r>
      <rPr>
        <sz val="14"/>
        <color rgb="FF000000"/>
        <rFont val="宋体"/>
        <charset val="134"/>
      </rPr>
      <t>的苦恼、渗出起泡的令人中毒的厌恶</t>
    </r>
    <r>
      <rPr>
        <sz val="14"/>
        <color rgb="FF000000"/>
        <rFont val="Resource Han Rounded CN Normal"/>
        <charset val="134"/>
      </rPr>
      <t xml:space="preserve">
</t>
    </r>
    <r>
      <rPr>
        <sz val="14"/>
        <color rgb="FF000000"/>
        <rFont val="宋体"/>
        <charset val="134"/>
      </rPr>
      <t>瘟疫发生术（乙型）（幻梦境变体）〔梦〕</t>
    </r>
    <r>
      <rPr>
        <sz val="14"/>
        <color rgb="FF000000"/>
        <rFont val="Resource Han Rounded CN Normal"/>
        <charset val="134"/>
      </rPr>
      <t xml:space="preserve">
Bring Pestilence(II)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1D10</t>
    </r>
    <r>
      <rPr>
        <sz val="14"/>
        <color rgb="FF000000"/>
        <rFont val="宋体"/>
        <charset val="134"/>
      </rPr>
      <t>点理智值施法用时：即时</t>
    </r>
    <r>
      <rPr>
        <sz val="14"/>
        <color rgb="FF000000"/>
        <rFont val="Resource Han Rounded CN Normal"/>
        <charset val="134"/>
      </rPr>
      <t xml:space="preserve">
</t>
    </r>
    <r>
      <rPr>
        <sz val="14"/>
        <color rgb="FF000000"/>
        <rFont val="宋体"/>
        <charset val="134"/>
      </rPr>
      <t>本法术只能在幻梦境施放。疾病的症状因人而异，但在游戏机制上，法术的目标总是每天损失</t>
    </r>
    <r>
      <rPr>
        <sz val="14"/>
        <color rgb="FF000000"/>
        <rFont val="Resource Han Rounded CN Normal"/>
        <charset val="134"/>
      </rPr>
      <t>2D10</t>
    </r>
    <r>
      <rPr>
        <sz val="14"/>
        <color rgb="FF000000"/>
        <rFont val="宋体"/>
        <charset val="134"/>
      </rPr>
      <t>点</t>
    </r>
    <r>
      <rPr>
        <sz val="14"/>
        <color rgb="FF000000"/>
        <rFont val="Resource Han Rounded CN Normal"/>
        <charset val="134"/>
      </rPr>
      <t>CON</t>
    </r>
    <r>
      <rPr>
        <sz val="14"/>
        <color rgb="FF000000"/>
        <rFont val="宋体"/>
        <charset val="134"/>
      </rPr>
      <t>，直到他们痊愈或死亡为止。并且，在受疫病折磨的期间，他们所有技能检定要得到一颗惩罚骰。任何接触到得病梦想家的人（每天）有</t>
    </r>
    <r>
      <rPr>
        <sz val="14"/>
        <color rgb="FF000000"/>
        <rFont val="Resource Han Rounded CN Normal"/>
        <charset val="134"/>
      </rPr>
      <t>10%</t>
    </r>
    <r>
      <rPr>
        <sz val="14"/>
        <color rgb="FF000000"/>
        <rFont val="宋体"/>
        <charset val="134"/>
      </rPr>
      <t>的几率也得病。相消施法</t>
    </r>
    <r>
      <rPr>
        <sz val="14"/>
        <color rgb="FF000000"/>
        <rFont val="Resource Han Rounded CN Normal"/>
        <charset val="134"/>
      </rPr>
      <t>(CounterMagic)</t>
    </r>
    <r>
      <rPr>
        <sz val="14"/>
        <color rgb="FF000000"/>
        <rFont val="宋体"/>
        <charset val="134"/>
      </rPr>
      <t>、或者成功的困难「医学」检定可以治愈生病的梦想家，并令失去的</t>
    </r>
    <r>
      <rPr>
        <sz val="14"/>
        <color rgb="FF000000"/>
        <rFont val="Resource Han Rounded CN Normal"/>
        <charset val="134"/>
      </rPr>
      <t>CON</t>
    </r>
    <r>
      <rPr>
        <sz val="14"/>
        <color rgb="FF000000"/>
        <rFont val="宋体"/>
        <charset val="134"/>
      </rPr>
      <t>在</t>
    </r>
    <r>
      <rPr>
        <sz val="14"/>
        <color rgb="FF000000"/>
        <rFont val="Resource Han Rounded CN Normal"/>
        <charset val="134"/>
      </rPr>
      <t>2D6</t>
    </r>
    <r>
      <rPr>
        <sz val="14"/>
        <color rgb="FF000000"/>
        <rFont val="宋体"/>
        <charset val="134"/>
      </rPr>
      <t>小时内回复。</t>
    </r>
    <r>
      <rPr>
        <sz val="14"/>
        <color rgb="FF000000"/>
        <rFont val="Resource Han Rounded CN Normal"/>
        <charset val="134"/>
      </rPr>
      <t xml:space="preserve">
</t>
    </r>
    <r>
      <rPr>
        <sz val="14"/>
        <color rgb="FF000000"/>
        <rFont val="宋体"/>
        <charset val="134"/>
      </rPr>
      <t>如果生病的梦想家在死亡之前醒来（也就是离开幻梦境），他就得救了；下次来到幻梦境的时候不会有任何得过病的症状。</t>
    </r>
    <r>
      <rPr>
        <sz val="14"/>
        <color rgb="FF000000"/>
        <rFont val="Resource Han Rounded CN Normal"/>
        <charset val="134"/>
      </rPr>
      <t xml:space="preserve">
</t>
    </r>
    <r>
      <rPr>
        <sz val="14"/>
        <color rgb="FF000000"/>
        <rFont val="宋体"/>
        <charset val="134"/>
      </rPr>
      <t>别名：梦魇的腐败瘟疫、肮脏之触</t>
    </r>
  </si>
  <si>
    <t>瘟疫召唤术（幻梦境）〔梦〕</t>
  </si>
  <si>
    <r>
      <rPr>
        <sz val="14"/>
        <color rgb="FF000000"/>
        <rFont val="Resource Han Rounded CN Normal"/>
        <charset val="134"/>
      </rPr>
      <t>20</t>
    </r>
    <r>
      <rPr>
        <sz val="14"/>
        <color rgb="FF000000"/>
        <rFont val="宋体"/>
        <charset val="134"/>
      </rPr>
      <t>点魔法值；</t>
    </r>
    <r>
      <rPr>
        <sz val="14"/>
        <color rgb="FF000000"/>
        <rFont val="Resource Han Rounded CN Normal"/>
        <charset val="134"/>
      </rPr>
      <t>2D10</t>
    </r>
    <r>
      <rPr>
        <sz val="14"/>
        <color rgb="FF000000"/>
        <rFont val="宋体"/>
        <charset val="134"/>
      </rPr>
      <t>点理智值</t>
    </r>
  </si>
  <si>
    <t>引瘟虫群、瘟疫之鞭</t>
  </si>
  <si>
    <t>EXTEND LIFE</t>
  </si>
  <si>
    <t>续命术</t>
  </si>
  <si>
    <t>延長</t>
  </si>
  <si>
    <r>
      <rPr>
        <sz val="14"/>
        <color rgb="FF000000"/>
        <rFont val="宋体"/>
        <charset val="134"/>
      </rPr>
      <t>续命术〔续〕</t>
    </r>
    <r>
      <rPr>
        <sz val="14"/>
        <color rgb="FF000000"/>
        <rFont val="Resource Han Rounded CN Normal"/>
        <charset val="134"/>
      </rPr>
      <t xml:space="preserve">
Extend Life
</t>
    </r>
    <r>
      <rPr>
        <sz val="14"/>
        <color rgb="FF000000"/>
        <rFont val="宋体"/>
        <charset val="134"/>
      </rPr>
      <t>消耗：</t>
    </r>
    <r>
      <rPr>
        <sz val="14"/>
        <color rgb="FF000000"/>
        <rFont val="Resource Han Rounded CN Normal"/>
        <charset val="134"/>
      </rPr>
      <t>100</t>
    </r>
    <r>
      <rPr>
        <sz val="14"/>
        <color rgb="FF000000"/>
        <rFont val="宋体"/>
        <charset val="134"/>
      </rPr>
      <t>点魔法值；</t>
    </r>
    <r>
      <rPr>
        <sz val="14"/>
        <color rgb="FF000000"/>
        <rFont val="Resource Han Rounded CN Normal"/>
        <charset val="134"/>
      </rPr>
      <t>15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3D6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7</t>
    </r>
    <r>
      <rPr>
        <sz val="14"/>
        <color rgb="FF000000"/>
        <rFont val="宋体"/>
        <charset val="134"/>
      </rPr>
      <t>天</t>
    </r>
    <r>
      <rPr>
        <sz val="14"/>
        <color rgb="FF000000"/>
        <rFont val="Resource Han Rounded CN Normal"/>
        <charset val="134"/>
      </rPr>
      <t xml:space="preserve">
</t>
    </r>
    <r>
      <rPr>
        <sz val="14"/>
        <color rgb="FF000000"/>
        <rFont val="宋体"/>
        <charset val="134"/>
      </rPr>
      <t>本法术虽然消耗巨大，但可以让施法者永生不死。施法者首先燃起一团大火，然后根据精确的指导召唤一个远古的存在，不知道它的名字</t>
    </r>
    <r>
      <rPr>
        <sz val="14"/>
        <color rgb="FF000000"/>
        <rFont val="Resource Han Rounded CN Normal"/>
        <charset val="134"/>
      </rPr>
      <t>——</t>
    </r>
    <r>
      <rPr>
        <sz val="14"/>
        <color rgb="FF000000"/>
        <rFont val="宋体"/>
        <charset val="134"/>
      </rPr>
      <t>只有成功施放法术的人才知道这存在的真身为何，还没有哪个存在能有足够的暗示来被证实。</t>
    </r>
    <r>
      <rPr>
        <sz val="14"/>
        <color rgb="FF000000"/>
        <rFont val="Resource Han Rounded CN Normal"/>
        <charset val="134"/>
      </rPr>
      <t xml:space="preserve">
</t>
    </r>
    <r>
      <rPr>
        <sz val="14"/>
        <color rgb="FF000000"/>
        <rFont val="宋体"/>
        <charset val="134"/>
      </rPr>
      <t>召唤仪式漫长而复杂，考验巫师的极限。</t>
    </r>
    <r>
      <rPr>
        <sz val="14"/>
        <color rgb="FF000000"/>
        <rFont val="Resource Han Rounded CN Normal"/>
        <charset val="134"/>
      </rPr>
      <t xml:space="preserve">
</t>
    </r>
    <r>
      <rPr>
        <sz val="14"/>
        <color rgb="FF000000"/>
        <rFont val="宋体"/>
        <charset val="134"/>
      </rPr>
      <t>远古存在的出现会引发一次理智检定（损失</t>
    </r>
    <r>
      <rPr>
        <sz val="14"/>
        <color rgb="FF000000"/>
        <rFont val="Resource Han Rounded CN Normal"/>
        <charset val="134"/>
      </rPr>
      <t>1D6/1D20</t>
    </r>
    <r>
      <rPr>
        <sz val="14"/>
        <color rgb="FF000000"/>
        <rFont val="宋体"/>
        <charset val="134"/>
      </rPr>
      <t>点），如果远古存在认为请求者可以接受（没人知道按什么标准），契约就达成了。契约会让远古存在代替施法者衰老；但一旦施法者死亡，远古存在就会占据并代替地球上的施法者</t>
    </r>
    <r>
      <rPr>
        <sz val="14"/>
        <color rgb="FF000000"/>
        <rFont val="Resource Han Rounded CN Normal"/>
        <charset val="134"/>
      </rPr>
      <t>——</t>
    </r>
    <r>
      <rPr>
        <sz val="14"/>
        <color rgb="FF000000"/>
        <rFont val="宋体"/>
        <charset val="134"/>
      </rPr>
      <t>大概它会在死亡瞬间占据施法者的尸体（目击者可能会被这奇迹般的</t>
    </r>
    <r>
      <rPr>
        <sz val="14"/>
        <color rgb="FF000000"/>
        <rFont val="Resource Han Rounded CN Normal"/>
        <charset val="134"/>
      </rPr>
      <t>“</t>
    </r>
    <r>
      <rPr>
        <sz val="14"/>
        <color rgb="FF000000"/>
        <rFont val="宋体"/>
        <charset val="134"/>
      </rPr>
      <t>恢复</t>
    </r>
    <r>
      <rPr>
        <sz val="14"/>
        <color rgb="FF000000"/>
        <rFont val="Resource Han Rounded CN Normal"/>
        <charset val="134"/>
      </rPr>
      <t>”</t>
    </r>
    <r>
      <rPr>
        <sz val="14"/>
        <color rgb="FF000000"/>
        <rFont val="宋体"/>
        <charset val="134"/>
      </rPr>
      <t>吓到）。</t>
    </r>
    <r>
      <rPr>
        <sz val="14"/>
        <color rgb="FF000000"/>
        <rFont val="Resource Han Rounded CN Normal"/>
        <charset val="134"/>
      </rPr>
      <t xml:space="preserve">
</t>
    </r>
    <r>
      <rPr>
        <sz val="14"/>
        <color rgb="FF000000"/>
        <rFont val="宋体"/>
        <charset val="134"/>
      </rPr>
      <t>深层魔法：没有人知道远古存在在地球上呆了多久</t>
    </r>
    <r>
      <rPr>
        <sz val="14"/>
        <color rgb="FF000000"/>
        <rFont val="Resource Han Rounded CN Normal"/>
        <charset val="134"/>
      </rPr>
      <t>——</t>
    </r>
    <r>
      <rPr>
        <sz val="14"/>
        <color rgb="FF000000"/>
        <rFont val="宋体"/>
        <charset val="134"/>
      </rPr>
      <t>它很可能是不朽的。鉴于巫师们渴望长生不老，可以想象这个存在现在已经占据了多少地球尸体，每一具都是活跃的，虽然每个躯体之间都可能相互隔离，但每具躯体都按着一个恐怖的巨大计划行动着。</t>
    </r>
    <r>
      <rPr>
        <sz val="14"/>
        <color rgb="FF000000"/>
        <rFont val="Resource Han Rounded CN Normal"/>
        <charset val="134"/>
      </rPr>
      <t xml:space="preserve">
</t>
    </r>
    <r>
      <rPr>
        <sz val="14"/>
        <color rgb="FF000000"/>
        <rFont val="宋体"/>
        <charset val="134"/>
      </rPr>
      <t>别名：延命术、血之条约、火与交易的仪式、魔鬼的交易</t>
    </r>
  </si>
  <si>
    <t>瘟疫发生术（甲型）〔害〕</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</si>
  <si>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1D10</t>
    </r>
    <r>
      <rPr>
        <sz val="14"/>
        <color rgb="FF000000"/>
        <rFont val="宋体"/>
        <charset val="134"/>
      </rPr>
      <t>点理智值</t>
    </r>
  </si>
  <si>
    <r>
      <rPr>
        <sz val="14"/>
        <color rgb="FF000000"/>
        <rFont val="宋体"/>
        <charset val="134"/>
      </rPr>
      <t>恶魔的气息瘟疫、阿提夸</t>
    </r>
    <r>
      <rPr>
        <sz val="14"/>
        <color rgb="FF000000"/>
        <rFont val="Resource Han Rounded CN Normal"/>
        <charset val="134"/>
      </rPr>
      <t>(Attiqua)</t>
    </r>
    <r>
      <rPr>
        <sz val="14"/>
        <color rgb="FF000000"/>
        <rFont val="宋体"/>
        <charset val="134"/>
      </rPr>
      <t>的苦恼、渗出起泡的令人中毒的厌恶</t>
    </r>
  </si>
  <si>
    <t>BREW SPACE MEAD</t>
  </si>
  <si>
    <t>黄金蜂蜜酒酿造术</t>
  </si>
  <si>
    <r>
      <rPr>
        <sz val="14"/>
        <color rgb="FF000000"/>
        <rFont val="宋体"/>
        <charset val="134"/>
      </rPr>
      <t>黄金</t>
    </r>
    <r>
      <rPr>
        <sz val="14"/>
        <color rgb="FF000000"/>
        <rFont val="MS Gothic"/>
        <charset val="134"/>
      </rPr>
      <t>の</t>
    </r>
    <r>
      <rPr>
        <sz val="14"/>
        <color rgb="FF000000"/>
        <rFont val="宋体"/>
        <charset val="134"/>
      </rPr>
      <t>蜂蜜酒</t>
    </r>
    <r>
      <rPr>
        <sz val="14"/>
        <color rgb="FF000000"/>
        <rFont val="MS Gothic"/>
        <charset val="134"/>
      </rPr>
      <t>の</t>
    </r>
    <r>
      <rPr>
        <sz val="14"/>
        <color rgb="FF000000"/>
        <rFont val="宋体"/>
        <charset val="134"/>
      </rPr>
      <t>製法</t>
    </r>
  </si>
  <si>
    <r>
      <rPr>
        <sz val="14"/>
        <color rgb="FF000000"/>
        <rFont val="宋体"/>
        <charset val="134"/>
      </rPr>
      <t>黄金蜂蜜酒酿造术（甲型）〔旅〕</t>
    </r>
    <r>
      <rPr>
        <sz val="14"/>
        <color rgb="FF000000"/>
        <rFont val="Resource Han Rounded CN Normal"/>
        <charset val="134"/>
      </rPr>
      <t xml:space="preserve">
Brew Space Mead(I)
</t>
    </r>
    <r>
      <rPr>
        <sz val="14"/>
        <color rgb="FF000000"/>
        <rFont val="宋体"/>
        <charset val="134"/>
      </rPr>
      <t>消耗：每剂</t>
    </r>
    <r>
      <rPr>
        <sz val="14"/>
        <color rgb="FF000000"/>
        <rFont val="Resource Han Rounded CN Normal"/>
        <charset val="134"/>
      </rPr>
      <t>20</t>
    </r>
    <r>
      <rPr>
        <sz val="14"/>
        <color rgb="FF000000"/>
        <rFont val="宋体"/>
        <charset val="134"/>
      </rPr>
      <t>点魔法值；加上额外的魔法值和理智值消耗</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7+</t>
    </r>
    <r>
      <rPr>
        <sz val="14"/>
        <color rgb="FF000000"/>
        <rFont val="宋体"/>
        <charset val="134"/>
      </rPr>
      <t>天</t>
    </r>
    <r>
      <rPr>
        <sz val="14"/>
        <color rgb="FF000000"/>
        <rFont val="Resource Han Rounded CN Normal"/>
        <charset val="134"/>
      </rPr>
      <t xml:space="preserve">
</t>
    </r>
    <r>
      <rPr>
        <sz val="14"/>
        <color rgb="FF000000"/>
        <rFont val="宋体"/>
        <charset val="134"/>
      </rPr>
      <t>能制造出魔法的饮品，可以让人类在宇宙旅行中承受高度真空和剧烈变化的环境。酿造这种饮料和进行旅行对施法者、使用者来说是两个不同的阶段（施法者和使用者可以不同）。黄金蜂蜜酒的种类有很多，每种的效果都相同，而需要的材料各有不同。</t>
    </r>
    <r>
      <rPr>
        <sz val="14"/>
        <color rgb="FF000000"/>
        <rFont val="Resource Han Rounded CN Normal"/>
        <charset val="134"/>
      </rPr>
      <t xml:space="preserve">
</t>
    </r>
    <r>
      <rPr>
        <sz val="14"/>
        <color rgb="FF000000"/>
        <rFont val="宋体"/>
        <charset val="134"/>
      </rPr>
      <t>酿造黄金蜂蜜酒需要五种特殊材料（</t>
    </r>
    <r>
      <rPr>
        <sz val="14"/>
        <color rgb="FF000000"/>
        <rFont val="Resource Han Rounded CN Normal"/>
        <charset val="134"/>
      </rPr>
      <t>KP</t>
    </r>
    <r>
      <rPr>
        <sz val="14"/>
        <color rgb="FF000000"/>
        <rFont val="宋体"/>
        <charset val="134"/>
      </rPr>
      <t>挑选），和至少一星期的酿造时间。当酒液开始起沫冒泡时，施法者须在酿造物中牺牲每剂</t>
    </r>
    <r>
      <rPr>
        <sz val="14"/>
        <color rgb="FF000000"/>
        <rFont val="Resource Han Rounded CN Normal"/>
        <charset val="134"/>
      </rPr>
      <t>20</t>
    </r>
    <r>
      <rPr>
        <sz val="14"/>
        <color rgb="FF000000"/>
        <rFont val="宋体"/>
        <charset val="134"/>
      </rPr>
      <t>点的魔法值。这些魔法值可以分在很多天之中牺牲；点数越多，剂量越多。每一剂可以让一个人承受一次时空变幻的宇宙旅行。</t>
    </r>
    <r>
      <rPr>
        <sz val="14"/>
        <color rgb="FF000000"/>
        <rFont val="Resource Han Rounded CN Normal"/>
        <charset val="134"/>
      </rPr>
      <t xml:space="preserve">
</t>
    </r>
    <r>
      <rPr>
        <sz val="14"/>
        <color rgb="FF000000"/>
        <rFont val="宋体"/>
        <charset val="134"/>
      </rPr>
      <t>当黄金蜂蜜酒附魔完成时，旅行者必须找到旅行的工具</t>
    </r>
    <r>
      <rPr>
        <sz val="14"/>
        <color rgb="FF000000"/>
        <rFont val="Resource Han Rounded CN Normal"/>
        <charset val="134"/>
      </rPr>
      <t>——</t>
    </r>
    <r>
      <rPr>
        <sz val="14"/>
        <color rgb="FF000000"/>
        <rFont val="宋体"/>
        <charset val="134"/>
      </rPr>
      <t>通常是坐骑：其中</t>
    </r>
    <r>
      <rPr>
        <sz val="14"/>
        <color rgb="FF000000"/>
        <rFont val="Resource Han Rounded CN Normal"/>
        <charset val="134"/>
      </rPr>
      <t>“</t>
    </r>
    <r>
      <rPr>
        <sz val="14"/>
        <color rgb="FF000000"/>
        <rFont val="宋体"/>
        <charset val="134"/>
      </rPr>
      <t>拜亚基召唤术</t>
    </r>
    <r>
      <rPr>
        <sz val="14"/>
        <color rgb="FF000000"/>
        <rFont val="Resource Han Rounded CN Normal"/>
        <charset val="134"/>
      </rPr>
      <t>”(P175;P42)</t>
    </r>
    <r>
      <rPr>
        <sz val="14"/>
        <color rgb="FF000000"/>
        <rFont val="宋体"/>
        <charset val="134"/>
      </rPr>
      <t>可以提供一匹星间的骏马。</t>
    </r>
    <r>
      <rPr>
        <sz val="14"/>
        <color rgb="FF000000"/>
        <rFont val="Resource Han Rounded CN Normal"/>
        <charset val="134"/>
      </rPr>
      <t xml:space="preserve">
</t>
    </r>
    <r>
      <rPr>
        <sz val="14"/>
        <color rgb="FF000000"/>
        <rFont val="宋体"/>
        <charset val="134"/>
      </rPr>
      <t>对于这样的旅行，黄金蜂蜜酒生效时也需要消耗同等数量的魔法值和理智值，数值和服用此酒的旅行者旅行距离的光年数相关（参考黄金蜂蜜酒效果表）。旅行者服用一剂蜂蜜酒（大概也会同时带上回程用的），爬上</t>
    </r>
    <r>
      <rPr>
        <sz val="14"/>
        <color rgb="FF000000"/>
        <rFont val="Resource Han Rounded CN Normal"/>
        <charset val="134"/>
      </rPr>
      <t>“</t>
    </r>
    <r>
      <rPr>
        <sz val="14"/>
        <color rgb="FF000000"/>
        <rFont val="宋体"/>
        <charset val="134"/>
      </rPr>
      <t>骏马</t>
    </r>
    <r>
      <rPr>
        <sz val="14"/>
        <color rgb="FF000000"/>
        <rFont val="Resource Han Rounded CN Normal"/>
        <charset val="134"/>
      </rPr>
      <t>”</t>
    </r>
    <r>
      <rPr>
        <sz val="14"/>
        <color rgb="FF000000"/>
        <rFont val="宋体"/>
        <charset val="134"/>
      </rPr>
      <t>，号令坐骑，旅程就开始了。在这个时候，旅行者要支付旅行距离所需的魔法值和理智值。在太空中，旅客的精神和肉体是停滞的，几乎对周围环境毫无知觉。</t>
    </r>
    <r>
      <rPr>
        <sz val="14"/>
        <color rgb="FF000000"/>
        <rFont val="Resource Han Rounded CN Normal"/>
        <charset val="134"/>
      </rPr>
      <t xml:space="preserve">
</t>
    </r>
    <r>
      <rPr>
        <sz val="14"/>
        <color rgb="FF000000"/>
        <rFont val="宋体"/>
        <charset val="134"/>
      </rPr>
      <t>直到到达了目的地，药剂的效果才会结束，旅行者返回现实。</t>
    </r>
    <r>
      <rPr>
        <sz val="14"/>
        <color rgb="FF000000"/>
        <rFont val="Resource Han Rounded CN Normal"/>
        <charset val="134"/>
      </rPr>
      <t xml:space="preserve">
</t>
    </r>
    <r>
      <rPr>
        <sz val="14"/>
        <color rgb="FF000000"/>
        <rFont val="宋体"/>
        <charset val="134"/>
      </rPr>
      <t>黄金蜂蜜酒酿造术（乙型）（幻梦境变体）〔梦〕</t>
    </r>
    <r>
      <rPr>
        <sz val="14"/>
        <color rgb="FF000000"/>
        <rFont val="Resource Han Rounded CN Normal"/>
        <charset val="134"/>
      </rPr>
      <t xml:space="preserve">
Brew Space Mead(II)
</t>
    </r>
    <r>
      <rPr>
        <sz val="14"/>
        <color rgb="FF000000"/>
        <rFont val="宋体"/>
        <charset val="134"/>
      </rPr>
      <t>消耗：每剂</t>
    </r>
    <r>
      <rPr>
        <sz val="14"/>
        <color rgb="FF000000"/>
        <rFont val="Resource Han Rounded CN Normal"/>
        <charset val="134"/>
      </rPr>
      <t>20</t>
    </r>
    <r>
      <rPr>
        <sz val="14"/>
        <color rgb="FF000000"/>
        <rFont val="宋体"/>
        <charset val="134"/>
      </rPr>
      <t>点魔法值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7+</t>
    </r>
    <r>
      <rPr>
        <sz val="14"/>
        <color rgb="FF000000"/>
        <rFont val="宋体"/>
        <charset val="134"/>
      </rPr>
      <t>天</t>
    </r>
    <r>
      <rPr>
        <sz val="14"/>
        <color rgb="FF000000"/>
        <rFont val="Resource Han Rounded CN Normal"/>
        <charset val="134"/>
      </rPr>
      <t xml:space="preserve">
</t>
    </r>
    <r>
      <rPr>
        <sz val="14"/>
        <color rgb="FF000000"/>
        <rFont val="宋体"/>
        <charset val="134"/>
      </rPr>
      <t>本法术只能在幻梦境施放。这种黄金蜂蜜酒酿造术的变体法术看上去和清醒世界的版本一样</t>
    </r>
    <r>
      <rPr>
        <sz val="14"/>
        <color rgb="FF000000"/>
        <rFont val="Resource Han Rounded CN Normal"/>
        <charset val="134"/>
      </rPr>
      <t>,</t>
    </r>
    <r>
      <rPr>
        <sz val="14"/>
        <color rgb="FF000000"/>
        <rFont val="宋体"/>
        <charset val="134"/>
      </rPr>
      <t>但它在幻梦境的用法完全不同。这种黄金蜂蜜酒如果用来浸泡普通木船的船体，此船就可以乘着外层空间的风航行（在它从世界的边界掉落以后）。</t>
    </r>
    <r>
      <rPr>
        <sz val="14"/>
        <color rgb="FF000000"/>
        <rFont val="Resource Han Rounded CN Normal"/>
        <charset val="134"/>
      </rPr>
      <t xml:space="preserve">
</t>
    </r>
    <r>
      <rPr>
        <sz val="14"/>
        <color rgb="FF000000"/>
        <rFont val="宋体"/>
        <charset val="134"/>
      </rPr>
      <t>这道工序必须在航行几次后重新进行。这种使用方式会消耗大量的黄金蜂蜜酒</t>
    </r>
    <r>
      <rPr>
        <sz val="14"/>
        <color rgb="FF000000"/>
        <rFont val="Resource Han Rounded CN Normal"/>
        <charset val="134"/>
      </rPr>
      <t>——</t>
    </r>
    <r>
      <rPr>
        <sz val="14"/>
        <color rgb="FF000000"/>
        <rFont val="宋体"/>
        <charset val="134"/>
      </rPr>
      <t>每次需要多少剂与船体尺寸相关，</t>
    </r>
    <r>
      <rPr>
        <sz val="14"/>
        <color rgb="FF000000"/>
        <rFont val="Resource Han Rounded CN Normal"/>
        <charset val="134"/>
      </rPr>
      <t>KP</t>
    </r>
    <r>
      <rPr>
        <sz val="14"/>
        <color rgb="FF000000"/>
        <rFont val="宋体"/>
        <charset val="134"/>
      </rPr>
      <t>可以自由决定。</t>
    </r>
    <r>
      <rPr>
        <sz val="14"/>
        <color rgb="FF000000"/>
        <rFont val="Resource Han Rounded CN Normal"/>
        <charset val="134"/>
      </rPr>
      <t xml:space="preserve">
</t>
    </r>
    <r>
      <rPr>
        <sz val="14"/>
        <color rgb="FF000000"/>
        <rFont val="宋体"/>
        <charset val="134"/>
      </rPr>
      <t>备注：在幻梦境，黄金蜂蜜酒并不是空间旅行的必要品。黑色桨帆船、萨鲁布象牙船都可以直接航行而不需要这种方法。</t>
    </r>
    <r>
      <rPr>
        <sz val="14"/>
        <color rgb="FF000000"/>
        <rFont val="Resource Han Rounded CN Normal"/>
        <charset val="134"/>
      </rPr>
      <t xml:space="preserve">
KP</t>
    </r>
    <r>
      <rPr>
        <sz val="14"/>
        <color rgb="FF000000"/>
        <rFont val="宋体"/>
        <charset val="134"/>
      </rPr>
      <t>裁定：可能需要「克苏鲁神话」或「艺术</t>
    </r>
    <r>
      <rPr>
        <sz val="14"/>
        <color rgb="FF000000"/>
        <rFont val="Resource Han Rounded CN Normal"/>
        <charset val="134"/>
      </rPr>
      <t>/</t>
    </r>
    <r>
      <rPr>
        <sz val="14"/>
        <color rgb="FF000000"/>
        <rFont val="宋体"/>
        <charset val="134"/>
      </rPr>
      <t>手艺（药剂）」检定来确保酿造按照正确的步骤进行。</t>
    </r>
    <r>
      <rPr>
        <sz val="14"/>
        <color rgb="FF000000"/>
        <rFont val="Resource Han Rounded CN Normal"/>
        <charset val="134"/>
      </rPr>
      <t xml:space="preserve">
</t>
    </r>
    <r>
      <rPr>
        <sz val="14"/>
        <color rgb="FF000000"/>
        <rFont val="宋体"/>
        <charset val="134"/>
      </rPr>
      <t>别名：抹船油制作术、风间飞行药膏</t>
    </r>
  </si>
  <si>
    <t>瘟疫发生术（乙型）（幻梦境变体）〔梦〕</t>
  </si>
  <si>
    <t>梦魇的腐败瘟疫、肮脏之触</t>
  </si>
  <si>
    <t>APPORTION KA</t>
  </si>
  <si>
    <t>灵魂分配术</t>
  </si>
  <si>
    <r>
      <rPr>
        <sz val="14"/>
        <color rgb="FF000000"/>
        <rFont val="MS Gothic"/>
        <charset val="134"/>
      </rPr>
      <t>カーの</t>
    </r>
    <r>
      <rPr>
        <sz val="14"/>
        <color rgb="FF000000"/>
        <rFont val="宋体"/>
        <charset val="134"/>
      </rPr>
      <t>分配</t>
    </r>
  </si>
  <si>
    <r>
      <rPr>
        <sz val="14"/>
        <color rgb="FF000000"/>
        <rFont val="宋体"/>
        <charset val="134"/>
      </rPr>
      <t>灵魂分配术〔续、保〕</t>
    </r>
    <r>
      <rPr>
        <sz val="14"/>
        <color rgb="FF000000"/>
        <rFont val="Resource Han Rounded CN Normal"/>
        <charset val="134"/>
      </rPr>
      <t xml:space="preserve">
Apportion Ka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2D10</t>
    </r>
    <r>
      <rPr>
        <sz val="14"/>
        <color rgb="FF000000"/>
        <rFont val="宋体"/>
        <charset val="134"/>
      </rPr>
      <t>点理智值（每个脏器）</t>
    </r>
    <r>
      <rPr>
        <sz val="14"/>
        <color rgb="FF000000"/>
        <rFont val="Resource Han Rounded CN Normal"/>
        <charset val="134"/>
      </rPr>
      <t xml:space="preserve">
</t>
    </r>
    <r>
      <rPr>
        <sz val="14"/>
        <color rgb="FF000000"/>
        <rFont val="宋体"/>
        <charset val="134"/>
      </rPr>
      <t>施法用时：每件脏器</t>
    </r>
    <r>
      <rPr>
        <sz val="14"/>
        <color rgb="FF000000"/>
        <rFont val="Resource Han Rounded CN Normal"/>
        <charset val="134"/>
      </rPr>
      <t>1</t>
    </r>
    <r>
      <rPr>
        <sz val="14"/>
        <color rgb="FF000000"/>
        <rFont val="宋体"/>
        <charset val="134"/>
      </rPr>
      <t>天</t>
    </r>
    <r>
      <rPr>
        <sz val="14"/>
        <color rgb="FF000000"/>
        <rFont val="Resource Han Rounded CN Normal"/>
        <charset val="134"/>
      </rPr>
      <t xml:space="preserve">
</t>
    </r>
    <r>
      <rPr>
        <sz val="14"/>
        <color rgb="FF000000"/>
        <rFont val="宋体"/>
        <charset val="134"/>
      </rPr>
      <t>施法者的生命精华，又叫</t>
    </r>
    <r>
      <rPr>
        <sz val="14"/>
        <color rgb="FF000000"/>
        <rFont val="Resource Han Rounded CN Normal"/>
        <charset val="134"/>
      </rPr>
      <t>“Ka”[1]</t>
    </r>
    <r>
      <rPr>
        <sz val="14"/>
        <color rgb="FF000000"/>
        <rFont val="宋体"/>
        <charset val="134"/>
      </rPr>
      <t>，会有一部分转移到施法者的一个重要脏器上。这个附魔的脏器将从施法者的身体中移出，妥善保管在隐蔽的地方，并为施法者提供一种不死之身的方式：只要附魔的脏器安全无虞，施法者就免疫特定攻击的伤害，甚至可能不会死亡。</t>
    </r>
    <r>
      <rPr>
        <sz val="14"/>
        <color rgb="FF000000"/>
        <rFont val="Resource Han Rounded CN Normal"/>
        <charset val="134"/>
      </rPr>
      <t xml:space="preserve">
</t>
    </r>
    <r>
      <rPr>
        <sz val="14"/>
        <color rgb="FF000000"/>
        <rFont val="宋体"/>
        <charset val="134"/>
      </rPr>
      <t>本法术最早的使用者是黑暗法老的信徒，他们会移除自己的心、肝之类的重要脏器，然后把它们锁在安全的地方。若不是这个法术有弱点的话，它会让施法者事实上杀不死。这个弱点就是：施法者的大脑是法术发挥作用的位置，因此无法被移出。如果大脑被破坏了，其他脏器会失去魔法的特性，施法者也会死亡。</t>
    </r>
    <r>
      <rPr>
        <sz val="14"/>
        <color rgb="FF000000"/>
        <rFont val="Resource Han Rounded CN Normal"/>
        <charset val="134"/>
      </rPr>
      <t xml:space="preserve">
</t>
    </r>
    <r>
      <rPr>
        <sz val="14"/>
        <color rgb="FF000000"/>
        <rFont val="宋体"/>
        <charset val="134"/>
      </rPr>
      <t>一个人移出自己的脏器会损失</t>
    </r>
    <r>
      <rPr>
        <sz val="14"/>
        <color rgb="FF000000"/>
        <rFont val="Resource Han Rounded CN Normal"/>
        <charset val="134"/>
      </rPr>
      <t>2D10</t>
    </r>
    <r>
      <rPr>
        <sz val="14"/>
        <color rgb="FF000000"/>
        <rFont val="宋体"/>
        <charset val="134"/>
      </rPr>
      <t>点理智值，每移除一件脏器就要永久减少</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贯穿的攻击只能造成正常伤害（瞄准头部的攻击除外）。免疫攻击的类型由移除的脏器决定；例如肺被移除的话，施法者将不受缺氧的影响（所以他再也不怕溺水和窒息）。脏器的移除还可能为施法者提供免疫毒药等能力。</t>
    </r>
    <r>
      <rPr>
        <sz val="14"/>
        <color rgb="FF000000"/>
        <rFont val="Resource Han Rounded CN Normal"/>
        <charset val="134"/>
      </rPr>
      <t xml:space="preserve">
</t>
    </r>
    <r>
      <rPr>
        <sz val="14"/>
        <color rgb="FF000000"/>
        <rFont val="宋体"/>
        <charset val="134"/>
      </rPr>
      <t>如果施法者受到伤害，耐久值会照常减少，但是只会昏迷，不会死亡。施法者只有大脑被特别瞄准并毁坏后才会死亡。</t>
    </r>
    <r>
      <rPr>
        <sz val="14"/>
        <color rgb="FF000000"/>
        <rFont val="Resource Han Rounded CN Normal"/>
        <charset val="134"/>
      </rPr>
      <t xml:space="preserve">
</t>
    </r>
    <r>
      <rPr>
        <sz val="14"/>
        <color rgb="FF000000"/>
        <rFont val="宋体"/>
        <charset val="134"/>
      </rPr>
      <t>别名：精魂灌输、意志萃取、不死的气息</t>
    </r>
  </si>
  <si>
    <t>续命术〔续〕</t>
  </si>
  <si>
    <r>
      <rPr>
        <sz val="14"/>
        <color rgb="FF000000"/>
        <rFont val="Resource Han Rounded CN Normal"/>
        <charset val="134"/>
      </rPr>
      <t>100</t>
    </r>
    <r>
      <rPr>
        <sz val="14"/>
        <color rgb="FF000000"/>
        <rFont val="宋体"/>
        <charset val="134"/>
      </rPr>
      <t>点魔法值；</t>
    </r>
    <r>
      <rPr>
        <sz val="14"/>
        <color rgb="FF000000"/>
        <rFont val="Resource Han Rounded CN Normal"/>
        <charset val="134"/>
      </rPr>
      <t>15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3D6</t>
    </r>
    <r>
      <rPr>
        <sz val="14"/>
        <color rgb="FF000000"/>
        <rFont val="宋体"/>
        <charset val="134"/>
      </rPr>
      <t>点理智值</t>
    </r>
  </si>
  <si>
    <r>
      <rPr>
        <sz val="14"/>
        <color rgb="FF000000"/>
        <rFont val="Resource Han Rounded CN Normal"/>
        <charset val="134"/>
      </rPr>
      <t>7</t>
    </r>
    <r>
      <rPr>
        <sz val="14"/>
        <color rgb="FF000000"/>
        <rFont val="宋体"/>
        <charset val="134"/>
      </rPr>
      <t>天</t>
    </r>
  </si>
  <si>
    <t>延命术、血之条约、火与交易的仪式、魔鬼的交易</t>
  </si>
  <si>
    <t>RIVER GOD'S CURSE</t>
  </si>
  <si>
    <t>河神之诅咒</t>
  </si>
  <si>
    <r>
      <rPr>
        <sz val="14"/>
        <color rgb="FF000000"/>
        <rFont val="宋体"/>
        <charset val="134"/>
      </rPr>
      <t>川</t>
    </r>
    <r>
      <rPr>
        <sz val="14"/>
        <color rgb="FF000000"/>
        <rFont val="MS Gothic"/>
        <charset val="134"/>
      </rPr>
      <t>の</t>
    </r>
    <r>
      <rPr>
        <sz val="14"/>
        <color rgb="FF000000"/>
        <rFont val="宋体"/>
        <charset val="134"/>
      </rPr>
      <t>神</t>
    </r>
    <r>
      <rPr>
        <sz val="14"/>
        <color rgb="FF000000"/>
        <rFont val="MS Gothic"/>
        <charset val="134"/>
      </rPr>
      <t>の</t>
    </r>
    <r>
      <rPr>
        <sz val="14"/>
        <color rgb="FF000000"/>
        <rFont val="宋体"/>
        <charset val="134"/>
      </rPr>
      <t>呪</t>
    </r>
    <r>
      <rPr>
        <sz val="14"/>
        <color rgb="FF000000"/>
        <rFont val="MS Gothic"/>
        <charset val="134"/>
      </rPr>
      <t>い</t>
    </r>
  </si>
  <si>
    <r>
      <rPr>
        <sz val="14"/>
        <color rgb="FF000000"/>
        <rFont val="宋体"/>
        <charset val="134"/>
      </rPr>
      <t>河神之诅咒</t>
    </r>
    <r>
      <rPr>
        <sz val="14"/>
        <color rgb="FF000000"/>
        <rFont val="Resource Han Rounded CN Normal"/>
        <charset val="134"/>
      </rPr>
      <t xml:space="preserve">
River God's Curse
</t>
    </r>
    <r>
      <rPr>
        <sz val="14"/>
        <color rgb="FF000000"/>
        <rFont val="宋体"/>
        <charset val="134"/>
      </rPr>
      <t>幻梦境法术。只有河神俄刻拉诺斯才能施展，他会对惹恼他的人施加这项诅咒。被下咒的人会感到强烈的口渴，在幻梦境，这诅咒每</t>
    </r>
    <r>
      <rPr>
        <sz val="14"/>
        <color rgb="FF000000"/>
        <rFont val="Resource Han Rounded CN Normal"/>
        <charset val="134"/>
      </rPr>
      <t>1d3</t>
    </r>
    <r>
      <rPr>
        <sz val="14"/>
        <color rgb="FF000000"/>
        <rFont val="宋体"/>
        <charset val="134"/>
      </rPr>
      <t>天就会出现一次，持续</t>
    </r>
    <r>
      <rPr>
        <sz val="14"/>
        <color rgb="FF000000"/>
        <rFont val="Resource Han Rounded CN Normal"/>
        <charset val="134"/>
      </rPr>
      <t>1d3</t>
    </r>
    <r>
      <rPr>
        <sz val="14"/>
        <color rgb="FF000000"/>
        <rFont val="宋体"/>
        <charset val="134"/>
      </rPr>
      <t>小时。在清醒的世界，此人不管喝多少水也无法平息口渴的感觉。该人的体质值会每天下降</t>
    </r>
    <r>
      <rPr>
        <sz val="14"/>
        <color rgb="FF000000"/>
        <rFont val="Resource Han Rounded CN Normal"/>
        <charset val="134"/>
      </rPr>
      <t>1</t>
    </r>
    <r>
      <rPr>
        <sz val="14"/>
        <color rgb="FF000000"/>
        <rFont val="宋体"/>
        <charset val="134"/>
      </rPr>
      <t>点，到死为止；只有回到幻梦境，完成某种义务，诅咒才会解除。如果满足了河神的要求，下降的体质值就可以每天</t>
    </r>
    <r>
      <rPr>
        <sz val="14"/>
        <color rgb="FF000000"/>
        <rFont val="Resource Han Rounded CN Normal"/>
        <charset val="134"/>
      </rPr>
      <t>1</t>
    </r>
    <r>
      <rPr>
        <sz val="14"/>
        <color rgb="FF000000"/>
        <rFont val="宋体"/>
        <charset val="134"/>
      </rPr>
      <t>点的速度取回。</t>
    </r>
  </si>
  <si>
    <t>黄金蜂蜜酒酿造术（甲型）〔旅〕</t>
  </si>
  <si>
    <r>
      <rPr>
        <sz val="14"/>
        <color rgb="FF000000"/>
        <rFont val="宋体"/>
        <charset val="134"/>
      </rPr>
      <t>每剂</t>
    </r>
    <r>
      <rPr>
        <sz val="14"/>
        <color rgb="FF000000"/>
        <rFont val="Resource Han Rounded CN Normal"/>
        <charset val="134"/>
      </rPr>
      <t>20</t>
    </r>
    <r>
      <rPr>
        <sz val="14"/>
        <color rgb="FF000000"/>
        <rFont val="宋体"/>
        <charset val="134"/>
      </rPr>
      <t>点魔法值；加上额外的魔法值和理智值消耗</t>
    </r>
  </si>
  <si>
    <r>
      <rPr>
        <sz val="14"/>
        <color rgb="FF000000"/>
        <rFont val="Resource Han Rounded CN Normal"/>
        <charset val="134"/>
      </rPr>
      <t>7+</t>
    </r>
    <r>
      <rPr>
        <sz val="14"/>
        <color rgb="FF000000"/>
        <rFont val="宋体"/>
        <charset val="134"/>
      </rPr>
      <t>天</t>
    </r>
  </si>
  <si>
    <t>制造出魔法的饮品，可以让人类在宇宙旅行中承受高度真空和剧烈变化的环境</t>
  </si>
  <si>
    <t>PERFECTION</t>
  </si>
  <si>
    <t>完善术</t>
  </si>
  <si>
    <t>完全</t>
  </si>
  <si>
    <r>
      <rPr>
        <sz val="14"/>
        <color rgb="FF000000"/>
        <rFont val="宋体"/>
        <charset val="134"/>
      </rPr>
      <t>完善术〔他〕</t>
    </r>
    <r>
      <rPr>
        <sz val="14"/>
        <color rgb="FF000000"/>
        <rFont val="Resource Han Rounded CN Normal"/>
        <charset val="134"/>
      </rPr>
      <t xml:space="preserve">
Perfection
</t>
    </r>
    <r>
      <rPr>
        <sz val="14"/>
        <color rgb="FF000000"/>
        <rFont val="宋体"/>
        <charset val="134"/>
      </rPr>
      <t>消耗：每转化</t>
    </r>
    <r>
      <rPr>
        <sz val="14"/>
        <color rgb="FF000000"/>
        <rFont val="Resource Han Rounded CN Normal"/>
        <charset val="134"/>
      </rPr>
      <t>1</t>
    </r>
    <r>
      <rPr>
        <sz val="14"/>
        <color rgb="FF000000"/>
        <rFont val="宋体"/>
        <charset val="134"/>
      </rPr>
      <t>点</t>
    </r>
    <r>
      <rPr>
        <sz val="14"/>
        <color rgb="FF000000"/>
        <rFont val="Resource Han Rounded CN Normal"/>
        <charset val="134"/>
      </rPr>
      <t>POW</t>
    </r>
    <r>
      <rPr>
        <sz val="14"/>
        <color rgb="FF000000"/>
        <rFont val="宋体"/>
        <charset val="134"/>
      </rPr>
      <t>，消耗</t>
    </r>
    <r>
      <rPr>
        <sz val="14"/>
        <color rgb="FF000000"/>
        <rFont val="Resource Han Rounded CN Normal"/>
        <charset val="134"/>
      </rPr>
      <t>1</t>
    </r>
    <r>
      <rPr>
        <sz val="14"/>
        <color rgb="FF000000"/>
        <rFont val="宋体"/>
        <charset val="134"/>
      </rPr>
      <t>点属性点</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24</t>
    </r>
    <r>
      <rPr>
        <sz val="14"/>
        <color rgb="FF000000"/>
        <rFont val="宋体"/>
        <charset val="134"/>
      </rPr>
      <t>小时</t>
    </r>
    <r>
      <rPr>
        <sz val="14"/>
        <color rgb="FF000000"/>
        <rFont val="Resource Han Rounded CN Normal"/>
        <charset val="134"/>
      </rPr>
      <t xml:space="preserve">
</t>
    </r>
    <r>
      <rPr>
        <sz val="14"/>
        <color rgb="FF000000"/>
        <rFont val="宋体"/>
        <charset val="134"/>
      </rPr>
      <t>如果神话神祇认同，施法者可以将</t>
    </r>
    <r>
      <rPr>
        <sz val="14"/>
        <color rgb="FF000000"/>
        <rFont val="Resource Han Rounded CN Normal"/>
        <charset val="134"/>
      </rPr>
      <t>POW</t>
    </r>
    <r>
      <rPr>
        <sz val="14"/>
        <color rgb="FF000000"/>
        <rFont val="宋体"/>
        <charset val="134"/>
      </rPr>
      <t>点数转化为其他属性值（反之亦可），可以对施法者自己，也可以对他指定的目标。神祇可能索要任何代价</t>
    </r>
    <r>
      <rPr>
        <sz val="14"/>
        <color rgb="FF000000"/>
        <rFont val="Resource Han Rounded CN Normal"/>
        <charset val="134"/>
      </rPr>
      <t>——</t>
    </r>
    <r>
      <rPr>
        <sz val="14"/>
        <color rgb="FF000000"/>
        <rFont val="宋体"/>
        <charset val="134"/>
      </rPr>
      <t>通常每转换一点角色点数便要支付一点角色点数。法术本身没有理智损失，但需要联络外神和旧日支配者，所以过程中的理智损失可能相当多。点数的转化持续</t>
    </r>
    <r>
      <rPr>
        <sz val="14"/>
        <color rgb="FF000000"/>
        <rFont val="Resource Han Rounded CN Normal"/>
        <charset val="134"/>
      </rPr>
      <t>1</t>
    </r>
    <r>
      <rPr>
        <sz val="14"/>
        <color rgb="FF000000"/>
        <rFont val="宋体"/>
        <charset val="134"/>
      </rPr>
      <t>星期。</t>
    </r>
    <r>
      <rPr>
        <sz val="14"/>
        <color rgb="FF000000"/>
        <rFont val="Resource Han Rounded CN Normal"/>
        <charset val="134"/>
      </rPr>
      <t xml:space="preserve">
</t>
    </r>
    <r>
      <rPr>
        <sz val="14"/>
        <color rgb="FF000000"/>
        <rFont val="宋体"/>
        <charset val="134"/>
      </rPr>
      <t>深层魔法：神祇宠爱的仆从可能获得更多的恩赐，属性点数的转换将更久（可能是</t>
    </r>
    <r>
      <rPr>
        <sz val="14"/>
        <color rgb="FF000000"/>
        <rFont val="Resource Han Rounded CN Normal"/>
        <charset val="134"/>
      </rPr>
      <t>1</t>
    </r>
    <r>
      <rPr>
        <sz val="14"/>
        <color rgb="FF000000"/>
        <rFont val="宋体"/>
        <charset val="134"/>
      </rPr>
      <t>个月甚至</t>
    </r>
    <r>
      <rPr>
        <sz val="14"/>
        <color rgb="FF000000"/>
        <rFont val="Resource Han Rounded CN Normal"/>
        <charset val="134"/>
      </rPr>
      <t>1</t>
    </r>
    <r>
      <rPr>
        <sz val="14"/>
        <color rgb="FF000000"/>
        <rFont val="宋体"/>
        <charset val="134"/>
      </rPr>
      <t>年）。</t>
    </r>
    <r>
      <rPr>
        <sz val="14"/>
        <color rgb="FF000000"/>
        <rFont val="Resource Han Rounded CN Normal"/>
        <charset val="134"/>
      </rPr>
      <t xml:space="preserve">
</t>
    </r>
    <r>
      <rPr>
        <sz val="14"/>
        <color rgb="FF000000"/>
        <rFont val="宋体"/>
        <charset val="134"/>
      </rPr>
      <t>也有的变体可能赋予施法者从受害者身上吸取属性点并增长自己相关属性的能力（一一对应，除了</t>
    </r>
    <r>
      <rPr>
        <sz val="14"/>
        <color rgb="FF000000"/>
        <rFont val="Resource Han Rounded CN Normal"/>
        <charset val="134"/>
      </rPr>
      <t>POW</t>
    </r>
    <r>
      <rPr>
        <sz val="14"/>
        <color rgb="FF000000"/>
        <rFont val="宋体"/>
        <charset val="134"/>
      </rPr>
      <t>以外）一段时间（假设为</t>
    </r>
    <r>
      <rPr>
        <sz val="14"/>
        <color rgb="FF000000"/>
        <rFont val="Resource Han Rounded CN Normal"/>
        <charset val="134"/>
      </rPr>
      <t>1</t>
    </r>
    <r>
      <rPr>
        <sz val="14"/>
        <color rgb="FF000000"/>
        <rFont val="宋体"/>
        <charset val="134"/>
      </rPr>
      <t>个月）；但是，这个变体要求施法者额外支付</t>
    </r>
    <r>
      <rPr>
        <sz val="14"/>
        <color rgb="FF000000"/>
        <rFont val="Resource Han Rounded CN Normal"/>
        <charset val="134"/>
      </rPr>
      <t>1D8</t>
    </r>
    <r>
      <rPr>
        <sz val="14"/>
        <color rgb="FF000000"/>
        <rFont val="宋体"/>
        <charset val="134"/>
      </rPr>
      <t>点理智值，须和目标进行一次</t>
    </r>
    <r>
      <rPr>
        <sz val="14"/>
        <color rgb="FF000000"/>
        <rFont val="Resource Han Rounded CN Normal"/>
        <charset val="134"/>
      </rPr>
      <t>POW</t>
    </r>
    <r>
      <rPr>
        <sz val="14"/>
        <color rgb="FF000000"/>
        <rFont val="宋体"/>
        <charset val="134"/>
      </rPr>
      <t>对抗检定并胜出，法术才能生效。</t>
    </r>
    <r>
      <rPr>
        <sz val="14"/>
        <color rgb="FF000000"/>
        <rFont val="Resource Han Rounded CN Normal"/>
        <charset val="134"/>
      </rPr>
      <t xml:space="preserve">
</t>
    </r>
    <r>
      <rPr>
        <sz val="14"/>
        <color rgb="FF000000"/>
        <rFont val="宋体"/>
        <charset val="134"/>
      </rPr>
      <t>别名：精神变化为肉体之术、（此处填入外神和旧日支配者的名字）的祝福、重塑的仪式</t>
    </r>
  </si>
  <si>
    <t>黄金蜂蜜酒酿造术（乙型）（幻梦境变体）〔梦〕</t>
  </si>
  <si>
    <r>
      <rPr>
        <sz val="14"/>
        <color rgb="FF000000"/>
        <rFont val="宋体"/>
        <charset val="134"/>
      </rPr>
      <t>每剂</t>
    </r>
    <r>
      <rPr>
        <sz val="14"/>
        <color rgb="FF000000"/>
        <rFont val="Resource Han Rounded CN Normal"/>
        <charset val="134"/>
      </rPr>
      <t>20</t>
    </r>
    <r>
      <rPr>
        <sz val="14"/>
        <color rgb="FF000000"/>
        <rFont val="宋体"/>
        <charset val="134"/>
      </rPr>
      <t>点魔法值</t>
    </r>
  </si>
  <si>
    <t>在幻梦境中使普通木船可以乘着外层空间的风航行</t>
  </si>
  <si>
    <t>抹船油制作术、风间飞行药膏</t>
  </si>
  <si>
    <t>CLOUD MEMORY</t>
  </si>
  <si>
    <t>记忆模糊术</t>
  </si>
  <si>
    <r>
      <rPr>
        <sz val="14"/>
        <color rgb="FF000000"/>
        <rFont val="宋体"/>
        <charset val="134"/>
      </rPr>
      <t>記憶</t>
    </r>
    <r>
      <rPr>
        <sz val="14"/>
        <color rgb="FF000000"/>
        <rFont val="MS Gothic"/>
        <charset val="134"/>
      </rPr>
      <t>を</t>
    </r>
    <r>
      <rPr>
        <sz val="14"/>
        <color rgb="FF000000"/>
        <rFont val="宋体"/>
        <charset val="134"/>
      </rPr>
      <t>曇</t>
    </r>
    <r>
      <rPr>
        <sz val="14"/>
        <color rgb="FF000000"/>
        <rFont val="MS Gothic"/>
        <charset val="134"/>
      </rPr>
      <t>らせる</t>
    </r>
  </si>
  <si>
    <r>
      <rPr>
        <sz val="14"/>
        <color rgb="FF000000"/>
        <rFont val="宋体"/>
        <charset val="134"/>
      </rPr>
      <t>记忆模糊术〔支〕</t>
    </r>
    <r>
      <rPr>
        <sz val="14"/>
        <color rgb="FF000000"/>
        <rFont val="Resource Han Rounded CN Normal"/>
        <charset val="134"/>
      </rPr>
      <t xml:space="preserve">
Cloud Memory
</t>
    </r>
    <r>
      <rPr>
        <sz val="14"/>
        <color rgb="FF000000"/>
        <rFont val="宋体"/>
        <charset val="134"/>
      </rPr>
      <t>消耗：</t>
    </r>
    <r>
      <rPr>
        <sz val="14"/>
        <color rgb="FF000000"/>
        <rFont val="Resource Han Rounded CN Normal"/>
        <charset val="134"/>
      </rPr>
      <t>1D6</t>
    </r>
    <r>
      <rPr>
        <sz val="14"/>
        <color rgb="FF000000"/>
        <rFont val="宋体"/>
        <charset val="134"/>
      </rPr>
      <t>点魔法值；</t>
    </r>
    <r>
      <rPr>
        <sz val="14"/>
        <color rgb="FF000000"/>
        <rFont val="Resource Han Rounded CN Normal"/>
        <charset val="134"/>
      </rPr>
      <t>1D2</t>
    </r>
    <r>
      <rPr>
        <sz val="14"/>
        <color rgb="FF000000"/>
        <rFont val="宋体"/>
        <charset val="134"/>
      </rPr>
      <t>点理智值施法用时：即时</t>
    </r>
    <r>
      <rPr>
        <sz val="14"/>
        <color rgb="FF000000"/>
        <rFont val="Resource Han Rounded CN Normal"/>
        <charset val="134"/>
      </rPr>
      <t xml:space="preserve">
</t>
    </r>
    <r>
      <rPr>
        <sz val="14"/>
        <color rgb="FF000000"/>
        <rFont val="宋体"/>
        <charset val="134"/>
      </rPr>
      <t>本法术会阻碍目标有意识地回忆特定事件的能力。目标必须在施法者视野内，且能够接收施法者的指示。施法者须和目标进行一次</t>
    </r>
    <r>
      <rPr>
        <sz val="14"/>
        <color rgb="FF000000"/>
        <rFont val="Resource Han Rounded CN Normal"/>
        <charset val="134"/>
      </rPr>
      <t>POW</t>
    </r>
    <r>
      <rPr>
        <sz val="14"/>
        <color rgb="FF000000"/>
        <rFont val="宋体"/>
        <charset val="134"/>
      </rPr>
      <t>对抗检定。如果胜出，法术立即生效。目标对一件特定事件的记忆将被阻塞。若此事非常恐怖，目标以后仍然可能做一些和它有着含糊关系的噩梦。如果法术失败，此事会在目标的印象中变得鲜明。</t>
    </r>
    <r>
      <rPr>
        <sz val="14"/>
        <color rgb="FF000000"/>
        <rFont val="Resource Han Rounded CN Normal"/>
        <charset val="134"/>
      </rPr>
      <t xml:space="preserve">
</t>
    </r>
    <r>
      <rPr>
        <sz val="14"/>
        <color rgb="FF000000"/>
        <rFont val="宋体"/>
        <charset val="134"/>
      </rPr>
      <t>施法者必须知道要阻碍的事件。他不能做模糊的命令，像是</t>
    </r>
    <r>
      <rPr>
        <sz val="14"/>
        <color rgb="FF000000"/>
        <rFont val="Resource Han Rounded CN Normal"/>
        <charset val="134"/>
      </rPr>
      <t>“</t>
    </r>
    <r>
      <rPr>
        <sz val="14"/>
        <color rgb="FF000000"/>
        <rFont val="宋体"/>
        <charset val="134"/>
      </rPr>
      <t>忘掉你昨天做的事</t>
    </r>
    <r>
      <rPr>
        <sz val="14"/>
        <color rgb="FF000000"/>
        <rFont val="Resource Han Rounded CN Normal"/>
        <charset val="134"/>
      </rPr>
      <t>”</t>
    </r>
    <r>
      <rPr>
        <sz val="14"/>
        <color rgb="FF000000"/>
        <rFont val="宋体"/>
        <charset val="134"/>
      </rPr>
      <t>。相反，他必须提到这件事，比如</t>
    </r>
    <r>
      <rPr>
        <sz val="14"/>
        <color rgb="FF000000"/>
        <rFont val="Resource Han Rounded CN Normal"/>
        <charset val="134"/>
      </rPr>
      <t>“</t>
    </r>
    <r>
      <rPr>
        <sz val="14"/>
        <color rgb="FF000000"/>
        <rFont val="宋体"/>
        <charset val="134"/>
      </rPr>
      <t>忘掉你被怪物袭击的事</t>
    </r>
    <r>
      <rPr>
        <sz val="14"/>
        <color rgb="FF000000"/>
        <rFont val="Resource Han Rounded CN Normal"/>
        <charset val="134"/>
      </rPr>
      <t>”</t>
    </r>
    <r>
      <rPr>
        <sz val="14"/>
        <color rgb="FF000000"/>
        <rFont val="宋体"/>
        <charset val="134"/>
      </rPr>
      <t>。本法术不能阻碍克苏鲁神话法术和神话知识，除非此知识和特定事件密切相关；它也无法取消理智值损失或消除疯狂。</t>
    </r>
    <r>
      <rPr>
        <sz val="14"/>
        <color rgb="FF000000"/>
        <rFont val="Resource Han Rounded CN Normal"/>
        <charset val="134"/>
      </rPr>
      <t xml:space="preserve">
</t>
    </r>
    <r>
      <rPr>
        <sz val="14"/>
        <color rgb="FF000000"/>
        <rFont val="宋体"/>
        <charset val="134"/>
      </rPr>
      <t>深层魔法：每额外投入</t>
    </r>
    <r>
      <rPr>
        <sz val="14"/>
        <color rgb="FF000000"/>
        <rFont val="Resource Han Rounded CN Normal"/>
        <charset val="134"/>
      </rPr>
      <t>10</t>
    </r>
    <r>
      <rPr>
        <sz val="14"/>
        <color rgb="FF000000"/>
        <rFont val="宋体"/>
        <charset val="134"/>
      </rPr>
      <t>点魔法值，在决定法术成功的</t>
    </r>
    <r>
      <rPr>
        <sz val="14"/>
        <color rgb="FF000000"/>
        <rFont val="Resource Han Rounded CN Normal"/>
        <charset val="134"/>
      </rPr>
      <t>POW</t>
    </r>
    <r>
      <rPr>
        <sz val="14"/>
        <color rgb="FF000000"/>
        <rFont val="宋体"/>
        <charset val="134"/>
      </rPr>
      <t>检定中便可获得一颗奖励骰。</t>
    </r>
    <r>
      <rPr>
        <sz val="14"/>
        <color rgb="FF000000"/>
        <rFont val="Resource Han Rounded CN Normal"/>
        <charset val="134"/>
      </rPr>
      <t xml:space="preserve">
</t>
    </r>
    <r>
      <rPr>
        <sz val="14"/>
        <color rgb="FF000000"/>
        <rFont val="宋体"/>
        <charset val="134"/>
      </rPr>
      <t>别名：昏乱糊涂术、惊愕失声术、故弄玄虚术</t>
    </r>
  </si>
  <si>
    <t>灵魂分配术〔续、保〕</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</si>
  <si>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2D10</t>
    </r>
    <r>
      <rPr>
        <sz val="14"/>
        <color rgb="FF000000"/>
        <rFont val="宋体"/>
        <charset val="134"/>
      </rPr>
      <t>点理智值（每个脏器）</t>
    </r>
  </si>
  <si>
    <r>
      <rPr>
        <sz val="14"/>
        <color rgb="FF000000"/>
        <rFont val="宋体"/>
        <charset val="134"/>
      </rPr>
      <t>每件脏器</t>
    </r>
    <r>
      <rPr>
        <sz val="14"/>
        <color rgb="FF000000"/>
        <rFont val="Resource Han Rounded CN Normal"/>
        <charset val="134"/>
      </rPr>
      <t>1</t>
    </r>
    <r>
      <rPr>
        <sz val="14"/>
        <color rgb="FF000000"/>
        <rFont val="宋体"/>
        <charset val="134"/>
      </rPr>
      <t>天</t>
    </r>
  </si>
  <si>
    <t>精魂灌输、意志萃取、不死的气息</t>
  </si>
  <si>
    <t>ENTHRALL VICTIM</t>
  </si>
  <si>
    <t>迷身术</t>
  </si>
  <si>
    <r>
      <rPr>
        <sz val="14"/>
        <color rgb="FF000000"/>
        <rFont val="宋体"/>
        <charset val="134"/>
      </rPr>
      <t>犠性者</t>
    </r>
    <r>
      <rPr>
        <sz val="14"/>
        <color rgb="FF000000"/>
        <rFont val="MS Gothic"/>
        <charset val="134"/>
      </rPr>
      <t>を</t>
    </r>
    <r>
      <rPr>
        <sz val="14"/>
        <color rgb="FF000000"/>
        <rFont val="宋体"/>
        <charset val="134"/>
      </rPr>
      <t>魅了</t>
    </r>
    <r>
      <rPr>
        <sz val="14"/>
        <color rgb="FF000000"/>
        <rFont val="MS Gothic"/>
        <charset val="134"/>
      </rPr>
      <t>する</t>
    </r>
  </si>
  <si>
    <r>
      <rPr>
        <sz val="14"/>
        <color rgb="FF000000"/>
        <rFont val="宋体"/>
        <charset val="134"/>
      </rPr>
      <t>迷身术〔驱、战〕</t>
    </r>
    <r>
      <rPr>
        <sz val="14"/>
        <color rgb="FF000000"/>
        <rFont val="Resource Han Rounded CN Normal"/>
        <charset val="134"/>
      </rPr>
      <t xml:space="preserve">
Enthrall Victim
</t>
    </r>
    <r>
      <rPr>
        <sz val="14"/>
        <color rgb="FF000000"/>
        <rFont val="宋体"/>
        <charset val="134"/>
      </rPr>
      <t>消耗：</t>
    </r>
    <r>
      <rPr>
        <sz val="14"/>
        <color rgb="FF000000"/>
        <rFont val="Resource Han Rounded CN Normal"/>
        <charset val="134"/>
      </rPr>
      <t>2</t>
    </r>
    <r>
      <rPr>
        <sz val="14"/>
        <color rgb="FF000000"/>
        <rFont val="宋体"/>
        <charset val="134"/>
      </rPr>
      <t>点魔法值；</t>
    </r>
    <r>
      <rPr>
        <sz val="14"/>
        <color rgb="FF000000"/>
        <rFont val="Resource Han Rounded CN Normal"/>
        <charset val="134"/>
      </rPr>
      <t>1D6</t>
    </r>
    <r>
      <rPr>
        <sz val="14"/>
        <color rgb="FF000000"/>
        <rFont val="宋体"/>
        <charset val="134"/>
      </rPr>
      <t>点</t>
    </r>
    <r>
      <rPr>
        <sz val="14"/>
        <color rgb="FF000000"/>
        <rFont val="Resource Han Rounded CN Normal"/>
        <charset val="134"/>
      </rPr>
      <t>SAN</t>
    </r>
    <r>
      <rPr>
        <sz val="14"/>
        <color rgb="FF000000"/>
        <rFont val="宋体"/>
        <charset val="134"/>
      </rPr>
      <t>值施法用时：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施法者在法术生效之前必须能和目标平静地交谈。在一轮左右的交谈之后，施法者须和目标进行一次</t>
    </r>
    <r>
      <rPr>
        <sz val="14"/>
        <color rgb="FF000000"/>
        <rFont val="Resource Han Rounded CN Normal"/>
        <charset val="134"/>
      </rPr>
      <t>POW</t>
    </r>
    <r>
      <rPr>
        <sz val="14"/>
        <color rgb="FF000000"/>
        <rFont val="宋体"/>
        <charset val="134"/>
      </rPr>
      <t>对抗检定并胜出，法术才能生效。若成功，目标会被定住无法动弹，呆若木鸡，只有物理攻击或者类似的惊吓事件能使其从恍惚状态中恢复过来。</t>
    </r>
    <r>
      <rPr>
        <sz val="14"/>
        <color rgb="FF000000"/>
        <rFont val="Resource Han Rounded CN Normal"/>
        <charset val="134"/>
      </rPr>
      <t xml:space="preserve">
</t>
    </r>
    <r>
      <rPr>
        <sz val="14"/>
        <color rgb="FF000000"/>
        <rFont val="宋体"/>
        <charset val="134"/>
      </rPr>
      <t>别名：麻木定身、诱骗的银舌</t>
    </r>
  </si>
  <si>
    <r>
      <rPr>
        <sz val="14"/>
        <color rgb="FF000000"/>
        <rFont val="宋体"/>
        <charset val="134"/>
      </rPr>
      <t>河神之诅咒</t>
    </r>
    <r>
      <rPr>
        <sz val="14"/>
        <color rgb="FF000000"/>
        <rFont val="Resource Han Rounded CN Normal"/>
        <charset val="134"/>
      </rPr>
      <t xml:space="preserve">  </t>
    </r>
    <r>
      <rPr>
        <sz val="14"/>
        <color rgb="FF000000"/>
        <rFont val="宋体"/>
        <charset val="134"/>
      </rPr>
      <t>河神俄刻拉诺斯</t>
    </r>
  </si>
  <si>
    <t>2点魔法值；1D6点SAN值</t>
  </si>
  <si>
    <t>完成河神要求的义务</t>
  </si>
  <si>
    <t>DETRANSFERENCE</t>
  </si>
  <si>
    <t>反转移术</t>
  </si>
  <si>
    <t>逆転移</t>
  </si>
  <si>
    <r>
      <rPr>
        <sz val="14"/>
        <color rgb="FF000000"/>
        <rFont val="宋体"/>
        <charset val="134"/>
      </rPr>
      <t>反转移术〔战、变〕</t>
    </r>
    <r>
      <rPr>
        <sz val="14"/>
        <color rgb="FF000000"/>
        <rFont val="Resource Han Rounded CN Normal"/>
        <charset val="134"/>
      </rPr>
      <t xml:space="preserve">
Detransference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10</t>
    </r>
    <r>
      <rPr>
        <sz val="14"/>
        <color rgb="FF000000"/>
        <rFont val="宋体"/>
        <charset val="134"/>
      </rPr>
      <t>点</t>
    </r>
    <r>
      <rPr>
        <sz val="14"/>
        <color rgb="FF000000"/>
        <rFont val="Resource Han Rounded CN Normal"/>
        <charset val="134"/>
      </rPr>
      <t xml:space="preserve">POW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本法术是皮肤兄弟会守护的秘密，它是</t>
    </r>
    <r>
      <rPr>
        <sz val="14"/>
        <color rgb="FF000000"/>
        <rFont val="Resource Han Rounded CN Normal"/>
        <charset val="134"/>
      </rPr>
      <t>“</t>
    </r>
    <r>
      <rPr>
        <sz val="14"/>
        <color rgb="FF000000"/>
        <rFont val="宋体"/>
        <charset val="134"/>
      </rPr>
      <t>身</t>
    </r>
    <r>
      <rPr>
        <sz val="14"/>
        <color rgb="FF000000"/>
        <rFont val="Resource Han Rounded CN Normal"/>
        <charset val="134"/>
      </rPr>
      <t xml:space="preserve">
</t>
    </r>
    <r>
      <rPr>
        <sz val="14"/>
        <color rgb="FF000000"/>
        <rFont val="宋体"/>
        <charset val="134"/>
      </rPr>
      <t>体部件转移术</t>
    </r>
    <r>
      <rPr>
        <sz val="14"/>
        <color rgb="FF000000"/>
        <rFont val="Resource Han Rounded CN Normal"/>
        <charset val="134"/>
      </rPr>
      <t>”(P181)</t>
    </r>
    <r>
      <rPr>
        <sz val="14"/>
        <color rgb="FF000000"/>
        <rFont val="宋体"/>
        <charset val="134"/>
      </rPr>
      <t>的逆法术。施法者须和目标进行一次</t>
    </r>
    <r>
      <rPr>
        <sz val="14"/>
        <color rgb="FF000000"/>
        <rFont val="Resource Han Rounded CN Normal"/>
        <charset val="134"/>
      </rPr>
      <t>POW</t>
    </r>
    <r>
      <rPr>
        <sz val="14"/>
        <color rgb="FF000000"/>
        <rFont val="宋体"/>
        <charset val="134"/>
      </rPr>
      <t>对抗检定：若胜出，则借来的器官或者血肉会出现在施法者的手上，浸透液体并逐渐腐烂。丧失了要害器官的目标通常都会很快死去。本法术不成功就不会消耗理智值，成功以后消耗</t>
    </r>
    <r>
      <rPr>
        <sz val="14"/>
        <color rgb="FF000000"/>
        <rFont val="Resource Han Rounded CN Normal"/>
        <charset val="134"/>
      </rPr>
      <t>1D10</t>
    </r>
    <r>
      <rPr>
        <sz val="14"/>
        <color rgb="FF000000"/>
        <rFont val="宋体"/>
        <charset val="134"/>
      </rPr>
      <t>点理智值（除非施法者有医护经验）。</t>
    </r>
    <r>
      <rPr>
        <sz val="14"/>
        <color rgb="FF000000"/>
        <rFont val="Resource Han Rounded CN Normal"/>
        <charset val="134"/>
      </rPr>
      <t xml:space="preserve">
</t>
    </r>
    <r>
      <rPr>
        <sz val="14"/>
        <color rgb="FF000000"/>
        <rFont val="宋体"/>
        <charset val="134"/>
      </rPr>
      <t>备注：参考《东方快车上的恐怖》获取更多有关皮肤兄弟会的信息。</t>
    </r>
    <r>
      <rPr>
        <sz val="14"/>
        <color rgb="FF000000"/>
        <rFont val="Resource Han Rounded CN Normal"/>
        <charset val="134"/>
      </rPr>
      <t xml:space="preserve">
</t>
    </r>
    <r>
      <rPr>
        <sz val="14"/>
        <color rgb="FF000000"/>
        <rFont val="宋体"/>
        <charset val="134"/>
      </rPr>
      <t>别名：不详。</t>
    </r>
  </si>
  <si>
    <t>完善术〔他〕</t>
  </si>
  <si>
    <r>
      <rPr>
        <sz val="14"/>
        <color rgb="FF000000"/>
        <rFont val="宋体"/>
        <charset val="134"/>
      </rPr>
      <t>每转化</t>
    </r>
    <r>
      <rPr>
        <sz val="14"/>
        <color rgb="FF000000"/>
        <rFont val="Resource Han Rounded CN Normal"/>
        <charset val="134"/>
      </rPr>
      <t>1</t>
    </r>
    <r>
      <rPr>
        <sz val="14"/>
        <color rgb="FF000000"/>
        <rFont val="宋体"/>
        <charset val="134"/>
      </rPr>
      <t>点</t>
    </r>
    <r>
      <rPr>
        <sz val="14"/>
        <color rgb="FF000000"/>
        <rFont val="Resource Han Rounded CN Normal"/>
        <charset val="134"/>
      </rPr>
      <t>POW</t>
    </r>
    <r>
      <rPr>
        <sz val="14"/>
        <color rgb="FF000000"/>
        <rFont val="宋体"/>
        <charset val="134"/>
      </rPr>
      <t>，消耗</t>
    </r>
    <r>
      <rPr>
        <sz val="14"/>
        <color rgb="FF000000"/>
        <rFont val="Resource Han Rounded CN Normal"/>
        <charset val="134"/>
      </rPr>
      <t>1</t>
    </r>
    <r>
      <rPr>
        <sz val="14"/>
        <color rgb="FF000000"/>
        <rFont val="宋体"/>
        <charset val="134"/>
      </rPr>
      <t>点属性点</t>
    </r>
  </si>
  <si>
    <r>
      <rPr>
        <sz val="14"/>
        <color rgb="FF000000"/>
        <rFont val="Resource Han Rounded CN Normal"/>
        <charset val="134"/>
      </rPr>
      <t>24</t>
    </r>
    <r>
      <rPr>
        <sz val="14"/>
        <color rgb="FF000000"/>
        <rFont val="宋体"/>
        <charset val="134"/>
      </rPr>
      <t>小时</t>
    </r>
  </si>
  <si>
    <t>精神变化为肉体之术、（此处填入外神和旧日支配者的名字）的祝福、重塑的仪式</t>
  </si>
  <si>
    <t>STEAL LIFE</t>
  </si>
  <si>
    <t>生命偷取术</t>
  </si>
  <si>
    <t>吸魂</t>
  </si>
  <si>
    <r>
      <rPr>
        <sz val="14"/>
        <color rgb="FF000000"/>
        <rFont val="宋体"/>
        <charset val="134"/>
      </rPr>
      <t>生命偷取术〔续、害〕</t>
    </r>
    <r>
      <rPr>
        <sz val="14"/>
        <color rgb="FF000000"/>
        <rFont val="Resource Han Rounded CN Normal"/>
        <charset val="134"/>
      </rPr>
      <t xml:space="preserve">
Steal Life
</t>
    </r>
    <r>
      <rPr>
        <sz val="14"/>
        <color rgb="FF000000"/>
        <rFont val="宋体"/>
        <charset val="134"/>
      </rPr>
      <t>消耗：</t>
    </r>
    <r>
      <rPr>
        <sz val="14"/>
        <color rgb="FF000000"/>
        <rFont val="Resource Han Rounded CN Normal"/>
        <charset val="134"/>
      </rPr>
      <t>15</t>
    </r>
    <r>
      <rPr>
        <sz val="14"/>
        <color rgb="FF000000"/>
        <rFont val="宋体"/>
        <charset val="134"/>
      </rPr>
      <t>点魔法值；</t>
    </r>
    <r>
      <rPr>
        <sz val="14"/>
        <color rgb="FF000000"/>
        <rFont val="Resource Han Rounded CN Normal"/>
        <charset val="134"/>
      </rPr>
      <t>1D20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这一恶魔般的残酷法术会从受害者身上榨取生命，让施法者变年轻。法术必须在满月下施放，目标必须能够看到、听到施法者。施法者须和目标进行一次</t>
    </r>
    <r>
      <rPr>
        <sz val="14"/>
        <color rgb="FF000000"/>
        <rFont val="Resource Han Rounded CN Normal"/>
        <charset val="134"/>
      </rPr>
      <t>POW</t>
    </r>
    <r>
      <rPr>
        <sz val="14"/>
        <color rgb="FF000000"/>
        <rFont val="宋体"/>
        <charset val="134"/>
      </rPr>
      <t>对抗检定并胜出，法术才能生效；若成功，目标开始衰老腐朽，他们先天的生命力和活力会被施法者消耗掉。</t>
    </r>
    <r>
      <rPr>
        <sz val="14"/>
        <color rgb="FF000000"/>
        <rFont val="Resource Han Rounded CN Normal"/>
        <charset val="134"/>
      </rPr>
      <t xml:space="preserve">
</t>
    </r>
    <r>
      <rPr>
        <sz val="14"/>
        <color rgb="FF000000"/>
        <rFont val="宋体"/>
        <charset val="134"/>
      </rPr>
      <t>此法术施放后的每轮，目标就要分别失去</t>
    </r>
    <r>
      <rPr>
        <sz val="14"/>
        <color rgb="FF000000"/>
        <rFont val="Resource Han Rounded CN Normal"/>
        <charset val="134"/>
      </rPr>
      <t>1D10</t>
    </r>
    <r>
      <rPr>
        <sz val="14"/>
        <color rgb="FF000000"/>
        <rFont val="宋体"/>
        <charset val="134"/>
      </rPr>
      <t>点</t>
    </r>
    <r>
      <rPr>
        <sz val="14"/>
        <color rgb="FF000000"/>
        <rFont val="Resource Han Rounded CN Normal"/>
        <charset val="134"/>
      </rPr>
      <t>STR</t>
    </r>
    <r>
      <rPr>
        <sz val="14"/>
        <color rgb="FF000000"/>
        <rFont val="宋体"/>
        <charset val="134"/>
      </rPr>
      <t>、</t>
    </r>
    <r>
      <rPr>
        <sz val="14"/>
        <color rgb="FF000000"/>
        <rFont val="Resource Han Rounded CN Normal"/>
        <charset val="134"/>
      </rPr>
      <t>CON</t>
    </r>
    <r>
      <rPr>
        <sz val="14"/>
        <color rgb="FF000000"/>
        <rFont val="宋体"/>
        <charset val="134"/>
      </rPr>
      <t>、</t>
    </r>
    <r>
      <rPr>
        <sz val="14"/>
        <color rgb="FF000000"/>
        <rFont val="Resource Han Rounded CN Normal"/>
        <charset val="134"/>
      </rPr>
      <t>DEX</t>
    </r>
    <r>
      <rPr>
        <sz val="14"/>
        <color rgb="FF000000"/>
        <rFont val="宋体"/>
        <charset val="134"/>
      </rPr>
      <t>、</t>
    </r>
    <r>
      <rPr>
        <sz val="14"/>
        <color rgb="FF000000"/>
        <rFont val="Resource Han Rounded CN Normal"/>
        <charset val="134"/>
      </rPr>
      <t>POW</t>
    </r>
    <r>
      <rPr>
        <sz val="14"/>
        <color rgb="FF000000"/>
        <rFont val="宋体"/>
        <charset val="134"/>
      </rPr>
      <t>、</t>
    </r>
    <r>
      <rPr>
        <sz val="14"/>
        <color rgb="FF000000"/>
        <rFont val="Resource Han Rounded CN Normal"/>
        <charset val="134"/>
      </rPr>
      <t>APP</t>
    </r>
    <r>
      <rPr>
        <sz val="14"/>
        <color rgb="FF000000"/>
        <rFont val="宋体"/>
        <charset val="134"/>
      </rPr>
      <t>。施法者每从目标身上榨出一点属性点，就可以变年轻一天。例如，如果本法术从目标的属性当中共榨出</t>
    </r>
    <r>
      <rPr>
        <sz val="14"/>
        <color rgb="FF000000"/>
        <rFont val="Resource Han Rounded CN Normal"/>
        <charset val="134"/>
      </rPr>
      <t>40</t>
    </r>
    <r>
      <rPr>
        <sz val="14"/>
        <color rgb="FF000000"/>
        <rFont val="宋体"/>
        <charset val="134"/>
      </rPr>
      <t>点属性点，施法者将变年轻</t>
    </r>
    <r>
      <rPr>
        <sz val="14"/>
        <color rgb="FF000000"/>
        <rFont val="Resource Han Rounded CN Normal"/>
        <charset val="134"/>
      </rPr>
      <t>40</t>
    </r>
    <r>
      <rPr>
        <sz val="14"/>
        <color rgb="FF000000"/>
        <rFont val="宋体"/>
        <charset val="134"/>
      </rPr>
      <t>天。同时；目标会枯槁；肌肉变成灰色并层层剥落，等到法术完全结束，他会变成一具可怖的干瘪躯壳（目睹此场景损失</t>
    </r>
    <r>
      <rPr>
        <sz val="14"/>
        <color rgb="FF000000"/>
        <rFont val="Resource Han Rounded CN Normal"/>
        <charset val="134"/>
      </rPr>
      <t>1/1D6</t>
    </r>
    <r>
      <rPr>
        <sz val="14"/>
        <color rgb="FF000000"/>
        <rFont val="宋体"/>
        <charset val="134"/>
      </rPr>
      <t>点理智值）。施法者也可以在目标死亡之前的任何时刻终止法术</t>
    </r>
    <r>
      <rPr>
        <sz val="14"/>
        <color rgb="FF000000"/>
        <rFont val="Resource Han Rounded CN Normal"/>
        <charset val="134"/>
      </rPr>
      <t>——</t>
    </r>
    <r>
      <rPr>
        <sz val="14"/>
        <color rgb="FF000000"/>
        <rFont val="宋体"/>
        <charset val="134"/>
      </rPr>
      <t>目标的外观明显随着法术的继续而变坏（苍白的皮肤、纸一般的皮肤、凋萎挛曲的肢体等等）。如果施法者在目标未死时被杀，则法术撤回，目标所有丢失的属性值会立即返还。</t>
    </r>
    <r>
      <rPr>
        <sz val="14"/>
        <color rgb="FF000000"/>
        <rFont val="Resource Han Rounded CN Normal"/>
        <charset val="134"/>
      </rPr>
      <t xml:space="preserve">
</t>
    </r>
    <r>
      <rPr>
        <sz val="14"/>
        <color rgb="FF000000"/>
        <rFont val="宋体"/>
        <charset val="134"/>
      </rPr>
      <t>深层魔法：本法术可以在非满月的时候施放。这个时候施法者不能得到返老还童的好处，但如果施法者一意孤行，目标仍然会受难而死。若法术在狩猎月</t>
    </r>
    <r>
      <rPr>
        <sz val="14"/>
        <color rgb="FF000000"/>
        <rFont val="Resource Han Rounded CN Normal"/>
        <charset val="134"/>
      </rPr>
      <t>(</t>
    </r>
    <r>
      <rPr>
        <sz val="14"/>
        <color rgb="FF000000"/>
        <rFont val="宋体"/>
        <charset val="134"/>
      </rPr>
      <t>秋分后的第一个满月</t>
    </r>
    <r>
      <rPr>
        <sz val="14"/>
        <color rgb="FF000000"/>
        <rFont val="Resource Han Rounded CN Normal"/>
        <charset val="134"/>
      </rPr>
      <t>1)</t>
    </r>
    <r>
      <rPr>
        <sz val="14"/>
        <color rgb="FF000000"/>
        <rFont val="宋体"/>
        <charset val="134"/>
      </rPr>
      <t>施放</t>
    </r>
    <r>
      <rPr>
        <sz val="14"/>
        <color rgb="FF000000"/>
        <rFont val="Resource Han Rounded CN Normal"/>
        <charset val="134"/>
      </rPr>
      <t>,</t>
    </r>
    <r>
      <rPr>
        <sz val="14"/>
        <color rgb="FF000000"/>
        <rFont val="宋体"/>
        <charset val="134"/>
      </rPr>
      <t>施法者可以每轮榨出最大值</t>
    </r>
    <r>
      <rPr>
        <sz val="14"/>
        <color rgb="FF000000"/>
        <rFont val="Resource Han Rounded CN Normal"/>
        <charset val="134"/>
      </rPr>
      <t>10</t>
    </r>
    <r>
      <rPr>
        <sz val="14"/>
        <color rgb="FF000000"/>
        <rFont val="宋体"/>
        <charset val="134"/>
      </rPr>
      <t>点的</t>
    </r>
    <r>
      <rPr>
        <sz val="14"/>
        <color rgb="FF000000"/>
        <rFont val="Resource Han Rounded CN Normal"/>
        <charset val="134"/>
      </rPr>
      <t>STR</t>
    </r>
    <r>
      <rPr>
        <sz val="14"/>
        <color rgb="FF000000"/>
        <rFont val="宋体"/>
        <charset val="134"/>
      </rPr>
      <t>、</t>
    </r>
    <r>
      <rPr>
        <sz val="14"/>
        <color rgb="FF000000"/>
        <rFont val="Resource Han Rounded CN Normal"/>
        <charset val="134"/>
      </rPr>
      <t>CON</t>
    </r>
    <r>
      <rPr>
        <sz val="14"/>
        <color rgb="FF000000"/>
        <rFont val="宋体"/>
        <charset val="134"/>
      </rPr>
      <t>、</t>
    </r>
    <r>
      <rPr>
        <sz val="14"/>
        <color rgb="FF000000"/>
        <rFont val="Resource Han Rounded CN Normal"/>
        <charset val="134"/>
      </rPr>
      <t>DEX</t>
    </r>
    <r>
      <rPr>
        <sz val="14"/>
        <color rgb="FF000000"/>
        <rFont val="宋体"/>
        <charset val="134"/>
      </rPr>
      <t>、</t>
    </r>
    <r>
      <rPr>
        <sz val="14"/>
        <color rgb="FF000000"/>
        <rFont val="Resource Han Rounded CN Normal"/>
        <charset val="134"/>
      </rPr>
      <t>POW</t>
    </r>
    <r>
      <rPr>
        <sz val="14"/>
        <color rgb="FF000000"/>
        <rFont val="宋体"/>
        <charset val="134"/>
      </rPr>
      <t>、</t>
    </r>
    <r>
      <rPr>
        <sz val="14"/>
        <color rgb="FF000000"/>
        <rFont val="Resource Han Rounded CN Normal"/>
        <charset val="134"/>
      </rPr>
      <t>APP</t>
    </r>
    <r>
      <rPr>
        <sz val="14"/>
        <color rgb="FF000000"/>
        <rFont val="宋体"/>
        <charset val="134"/>
      </rPr>
      <t>属性点（而非</t>
    </r>
    <r>
      <rPr>
        <sz val="14"/>
        <color rgb="FF000000"/>
        <rFont val="Resource Han Rounded CN Normal"/>
        <charset val="134"/>
      </rPr>
      <t>1D10</t>
    </r>
    <r>
      <rPr>
        <sz val="14"/>
        <color rgb="FF000000"/>
        <rFont val="宋体"/>
        <charset val="134"/>
      </rPr>
      <t>点</t>
    </r>
    <r>
      <rPr>
        <sz val="14"/>
        <color rgb="FF000000"/>
        <rFont val="Resource Han Rounded CN Normal"/>
        <charset val="134"/>
      </rPr>
      <t>)</t>
    </r>
    <r>
      <rPr>
        <sz val="14"/>
        <color rgb="FF000000"/>
        <rFont val="宋体"/>
        <charset val="134"/>
      </rPr>
      <t>本法术的一种变体能让施法者把榨出的属性点直接转化为自己的</t>
    </r>
    <r>
      <rPr>
        <sz val="14"/>
        <color rgb="FF000000"/>
        <rFont val="Resource Han Rounded CN Normal"/>
        <charset val="134"/>
      </rPr>
      <t>POW</t>
    </r>
    <r>
      <rPr>
        <sz val="14"/>
        <color rgb="FF000000"/>
        <rFont val="宋体"/>
        <charset val="134"/>
      </rPr>
      <t>点数</t>
    </r>
    <r>
      <rPr>
        <sz val="14"/>
        <color rgb="FF000000"/>
        <rFont val="Resource Han Rounded CN Normal"/>
        <charset val="134"/>
      </rPr>
      <t>(</t>
    </r>
    <r>
      <rPr>
        <sz val="14"/>
        <color rgb="FF000000"/>
        <rFont val="宋体"/>
        <charset val="134"/>
      </rPr>
      <t>每吸取</t>
    </r>
    <r>
      <rPr>
        <sz val="14"/>
        <color rgb="FF000000"/>
        <rFont val="Resource Han Rounded CN Normal"/>
        <charset val="134"/>
      </rPr>
      <t>5</t>
    </r>
    <r>
      <rPr>
        <sz val="14"/>
        <color rgb="FF000000"/>
        <rFont val="宋体"/>
        <charset val="134"/>
      </rPr>
      <t>点属性点增加</t>
    </r>
    <r>
      <rPr>
        <sz val="14"/>
        <color rgb="FF000000"/>
        <rFont val="Resource Han Rounded CN Normal"/>
        <charset val="134"/>
      </rPr>
      <t>1</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 xml:space="preserve">
</t>
    </r>
    <r>
      <rPr>
        <sz val="14"/>
        <color rgb="FF000000"/>
        <rFont val="宋体"/>
        <charset val="134"/>
      </rPr>
      <t>别名：活力榨取术、猩红仪式、五教团的亵渎圣礼</t>
    </r>
  </si>
  <si>
    <t>记忆模糊术〔支〕</t>
  </si>
  <si>
    <r>
      <rPr>
        <sz val="14"/>
        <color rgb="FF000000"/>
        <rFont val="Resource Han Rounded CN Normal"/>
        <charset val="134"/>
      </rPr>
      <t>1D6</t>
    </r>
    <r>
      <rPr>
        <sz val="14"/>
        <color rgb="FF000000"/>
        <rFont val="宋体"/>
        <charset val="134"/>
      </rPr>
      <t>点魔法值；</t>
    </r>
    <r>
      <rPr>
        <sz val="14"/>
        <color rgb="FF000000"/>
        <rFont val="Resource Han Rounded CN Normal"/>
        <charset val="134"/>
      </rPr>
      <t>1D2</t>
    </r>
    <r>
      <rPr>
        <sz val="14"/>
        <color rgb="FF000000"/>
        <rFont val="宋体"/>
        <charset val="134"/>
      </rPr>
      <t>点理智值</t>
    </r>
  </si>
  <si>
    <t>昏乱糊涂术、惊愕失声术、故弄玄虚术</t>
  </si>
  <si>
    <t>PIPES OF MADNESS</t>
  </si>
  <si>
    <t>疯狂之笛</t>
  </si>
  <si>
    <r>
      <rPr>
        <sz val="14"/>
        <color rgb="FF000000"/>
        <rFont val="宋体"/>
        <charset val="134"/>
      </rPr>
      <t>狂気</t>
    </r>
    <r>
      <rPr>
        <sz val="14"/>
        <color rgb="FF000000"/>
        <rFont val="MS Gothic"/>
        <charset val="134"/>
      </rPr>
      <t>の</t>
    </r>
    <r>
      <rPr>
        <sz val="14"/>
        <color rgb="FF000000"/>
        <rFont val="宋体"/>
        <charset val="134"/>
      </rPr>
      <t>笛</t>
    </r>
  </si>
  <si>
    <r>
      <rPr>
        <sz val="14"/>
        <color rgb="FF000000"/>
        <rFont val="宋体"/>
        <charset val="134"/>
      </rPr>
      <t>疯狂之笛〔害〕</t>
    </r>
    <r>
      <rPr>
        <sz val="14"/>
        <color rgb="FF000000"/>
        <rFont val="Resource Han Rounded CN Normal"/>
        <charset val="134"/>
      </rPr>
      <t xml:space="preserve">
Pipes of Madness
</t>
    </r>
    <r>
      <rPr>
        <sz val="14"/>
        <color rgb="FF000000"/>
        <rFont val="宋体"/>
        <charset val="134"/>
      </rPr>
      <t>消耗：</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轮</t>
    </r>
    <r>
      <rPr>
        <sz val="14"/>
        <color rgb="FF000000"/>
        <rFont val="Resource Han Rounded CN Normal"/>
        <charset val="134"/>
      </rPr>
      <t xml:space="preserve">
</t>
    </r>
    <r>
      <rPr>
        <sz val="14"/>
        <color rgb="FF000000"/>
        <rFont val="宋体"/>
        <charset val="134"/>
      </rPr>
      <t>听到本法术的人有疯狂的危险。本法术必须用</t>
    </r>
    <r>
      <rPr>
        <sz val="14"/>
        <color rgb="FF000000"/>
        <rFont val="Resource Han Rounded CN Normal"/>
        <charset val="134"/>
      </rPr>
      <t>“</t>
    </r>
    <r>
      <rPr>
        <sz val="14"/>
        <color rgb="FF000000"/>
        <rFont val="宋体"/>
        <charset val="134"/>
      </rPr>
      <t>诅咒之笛创建术</t>
    </r>
    <r>
      <rPr>
        <sz val="14"/>
        <color rgb="FF000000"/>
        <rFont val="Resource Han Rounded CN Normal"/>
        <charset val="134"/>
      </rPr>
      <t>”(P86)</t>
    </r>
    <r>
      <rPr>
        <sz val="14"/>
        <color rgb="FF000000"/>
        <rFont val="宋体"/>
        <charset val="134"/>
      </rPr>
      <t>创建的附魔骨笛施放。施法者用笛子演奏一段特殊的奇怪旋律，然后牺牲法术必要的消耗。</t>
    </r>
    <r>
      <rPr>
        <sz val="14"/>
        <color rgb="FF000000"/>
        <rFont val="Resource Han Rounded CN Normal"/>
        <charset val="134"/>
      </rPr>
      <t xml:space="preserve">
</t>
    </r>
    <r>
      <rPr>
        <sz val="14"/>
        <color rgb="FF000000"/>
        <rFont val="宋体"/>
        <charset val="134"/>
      </rPr>
      <t>所有能听到奇怪旋律的人必须进行理智检定；若失败，听者立即失去</t>
    </r>
    <r>
      <rPr>
        <sz val="14"/>
        <color rgb="FF000000"/>
        <rFont val="Resource Han Rounded CN Normal"/>
        <charset val="134"/>
      </rPr>
      <t>5</t>
    </r>
    <r>
      <rPr>
        <sz val="14"/>
        <color rgb="FF000000"/>
        <rFont val="宋体"/>
        <charset val="134"/>
      </rPr>
      <t>点理智值并疯狂发作（听者陷入临时性疯狂）；若理智检定成功，听者失去</t>
    </r>
    <r>
      <rPr>
        <sz val="14"/>
        <color rgb="FF000000"/>
        <rFont val="Resource Han Rounded CN Normal"/>
        <charset val="134"/>
      </rPr>
      <t>1D3</t>
    </r>
    <r>
      <rPr>
        <sz val="14"/>
        <color rgb="FF000000"/>
        <rFont val="宋体"/>
        <charset val="134"/>
      </rPr>
      <t>点理智值（一般不会疯狂）。笛子演奏时，每听到</t>
    </r>
    <r>
      <rPr>
        <sz val="14"/>
        <color rgb="FF000000"/>
        <rFont val="Resource Han Rounded CN Normal"/>
        <charset val="134"/>
      </rPr>
      <t>5</t>
    </r>
    <r>
      <rPr>
        <sz val="14"/>
        <color rgb="FF000000"/>
        <rFont val="宋体"/>
        <charset val="134"/>
      </rPr>
      <t>轮笛声，听者就要做一次理智检定（损失累计）。</t>
    </r>
    <r>
      <rPr>
        <sz val="14"/>
        <color rgb="FF000000"/>
        <rFont val="Resource Han Rounded CN Normal"/>
        <charset val="134"/>
      </rPr>
      <t xml:space="preserve">
</t>
    </r>
    <r>
      <rPr>
        <sz val="14"/>
        <color rgb="FF000000"/>
        <rFont val="宋体"/>
        <charset val="134"/>
      </rPr>
      <t>如果笛子的演奏者还有理智值可以失去，他们可能需要在演奏的前五轮结束时进行一次理智检定（</t>
    </r>
    <r>
      <rPr>
        <sz val="14"/>
        <color rgb="FF000000"/>
        <rFont val="Resource Han Rounded CN Normal"/>
        <charset val="134"/>
      </rPr>
      <t>KP</t>
    </r>
    <r>
      <rPr>
        <sz val="14"/>
        <color rgb="FF000000"/>
        <rFont val="宋体"/>
        <charset val="134"/>
      </rPr>
      <t>裁定）。如果此检定失败，演奏者将临时疯狂（失去</t>
    </r>
    <r>
      <rPr>
        <sz val="14"/>
        <color rgb="FF000000"/>
        <rFont val="Resource Han Rounded CN Normal"/>
        <charset val="134"/>
      </rPr>
      <t>5</t>
    </r>
    <r>
      <rPr>
        <sz val="14"/>
        <color rgb="FF000000"/>
        <rFont val="宋体"/>
        <charset val="134"/>
      </rPr>
      <t>点理智值）并只要有可能就不停地演奏这异界的旋律。听者如果能成功抵抗旋律的效果，也可以尝试阻止演奏的继续。</t>
    </r>
    <r>
      <rPr>
        <sz val="14"/>
        <color rgb="FF000000"/>
        <rFont val="Resource Han Rounded CN Normal"/>
        <charset val="134"/>
      </rPr>
      <t xml:space="preserve">
</t>
    </r>
    <r>
      <rPr>
        <sz val="14"/>
        <color rgb="FF000000"/>
        <rFont val="宋体"/>
        <charset val="134"/>
      </rPr>
      <t>别名：天堂的黑暗之歌、深渊之旋律、七重地狱的合奏</t>
    </r>
  </si>
  <si>
    <t>迷身术〔驱、战〕</t>
  </si>
  <si>
    <r>
      <rPr>
        <sz val="14"/>
        <color rgb="FF000000"/>
        <rFont val="Resource Han Rounded CN Normal"/>
        <charset val="134"/>
      </rPr>
      <t>2</t>
    </r>
    <r>
      <rPr>
        <sz val="14"/>
        <color rgb="FF000000"/>
        <rFont val="宋体"/>
        <charset val="134"/>
      </rPr>
      <t>点魔法值；</t>
    </r>
    <r>
      <rPr>
        <sz val="14"/>
        <color rgb="FF000000"/>
        <rFont val="Resource Han Rounded CN Normal"/>
        <charset val="134"/>
      </rPr>
      <t>1D6</t>
    </r>
    <r>
      <rPr>
        <sz val="14"/>
        <color rgb="FF000000"/>
        <rFont val="宋体"/>
        <charset val="134"/>
      </rPr>
      <t>点</t>
    </r>
    <r>
      <rPr>
        <sz val="14"/>
        <color rgb="FF000000"/>
        <rFont val="Resource Han Rounded CN Normal"/>
        <charset val="134"/>
      </rPr>
      <t>SAN</t>
    </r>
    <r>
      <rPr>
        <sz val="14"/>
        <color rgb="FF000000"/>
        <rFont val="宋体"/>
        <charset val="134"/>
      </rPr>
      <t>值</t>
    </r>
  </si>
  <si>
    <t>麻木定身、诱骗的银舌</t>
  </si>
  <si>
    <t>IMPLANT FEAR</t>
  </si>
  <si>
    <t>恐惧植入术</t>
  </si>
  <si>
    <r>
      <rPr>
        <sz val="14"/>
        <color rgb="FF000000"/>
        <rFont val="宋体"/>
        <charset val="134"/>
      </rPr>
      <t>恐怖</t>
    </r>
    <r>
      <rPr>
        <sz val="14"/>
        <color rgb="FF000000"/>
        <rFont val="MS Gothic"/>
        <charset val="134"/>
      </rPr>
      <t>の</t>
    </r>
    <r>
      <rPr>
        <sz val="14"/>
        <color rgb="FF000000"/>
        <rFont val="宋体"/>
        <charset val="134"/>
      </rPr>
      <t>注入</t>
    </r>
  </si>
  <si>
    <r>
      <rPr>
        <sz val="14"/>
        <color rgb="FF000000"/>
        <rFont val="宋体"/>
        <charset val="134"/>
      </rPr>
      <t>恐惧植入术〔战、支〕</t>
    </r>
    <r>
      <rPr>
        <sz val="14"/>
        <color rgb="FF000000"/>
        <rFont val="Resource Han Rounded CN Normal"/>
        <charset val="134"/>
      </rPr>
      <t xml:space="preserve">
Implant Fear
</t>
    </r>
    <r>
      <rPr>
        <sz val="14"/>
        <color rgb="FF000000"/>
        <rFont val="宋体"/>
        <charset val="134"/>
      </rPr>
      <t>消耗：</t>
    </r>
    <r>
      <rPr>
        <sz val="14"/>
        <color rgb="FF000000"/>
        <rFont val="Resource Han Rounded CN Normal"/>
        <charset val="134"/>
      </rPr>
      <t>12</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本法术造成震撼心灵的恐惧，破坏目标的专注并打断其行动。施加这个诅咒时，施法者必须能看到目标并用手指向他。突然的不安感会使目标损失</t>
    </r>
    <r>
      <rPr>
        <sz val="14"/>
        <color rgb="FF000000"/>
        <rFont val="Resource Han Rounded CN Normal"/>
        <charset val="134"/>
      </rPr>
      <t>0/1D6</t>
    </r>
    <r>
      <rPr>
        <sz val="14"/>
        <color rgb="FF000000"/>
        <rFont val="宋体"/>
        <charset val="134"/>
      </rPr>
      <t>点理智值，他们会觉得自己不得不撤退到安全的地方</t>
    </r>
    <r>
      <rPr>
        <sz val="14"/>
        <color rgb="FF000000"/>
        <rFont val="Resource Han Rounded CN Normal"/>
        <charset val="134"/>
      </rPr>
      <t>——</t>
    </r>
    <r>
      <rPr>
        <sz val="14"/>
        <color rgb="FF000000"/>
        <rFont val="宋体"/>
        <charset val="134"/>
      </rPr>
      <t>只要是他平常能感觉安全和安心的地方。</t>
    </r>
    <r>
      <rPr>
        <sz val="14"/>
        <color rgb="FF000000"/>
        <rFont val="Resource Han Rounded CN Normal"/>
        <charset val="134"/>
      </rPr>
      <t xml:space="preserve">
</t>
    </r>
    <r>
      <rPr>
        <sz val="14"/>
        <color rgb="FF000000"/>
        <rFont val="宋体"/>
        <charset val="134"/>
      </rPr>
      <t>别名：末日之指、伊波恩厄运术、邪眼术</t>
    </r>
  </si>
  <si>
    <t>反转移术〔战、变〕</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</si>
  <si>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10</t>
    </r>
    <r>
      <rPr>
        <sz val="14"/>
        <color rgb="FF000000"/>
        <rFont val="宋体"/>
        <charset val="134"/>
      </rPr>
      <t>点</t>
    </r>
    <r>
      <rPr>
        <sz val="14"/>
        <color rgb="FF000000"/>
        <rFont val="Resource Han Rounded CN Normal"/>
        <charset val="134"/>
      </rPr>
      <t>POW</t>
    </r>
  </si>
  <si>
    <t>不详</t>
  </si>
  <si>
    <t>LEVITATE</t>
  </si>
  <si>
    <t>飘浮术</t>
  </si>
  <si>
    <t>空中浮遊</t>
  </si>
  <si>
    <r>
      <rPr>
        <sz val="14"/>
        <color rgb="FF000000"/>
        <rFont val="宋体"/>
        <charset val="134"/>
      </rPr>
      <t>飘浮术〔旅〕</t>
    </r>
    <r>
      <rPr>
        <sz val="14"/>
        <color rgb="FF000000"/>
        <rFont val="Resource Han Rounded CN Normal"/>
        <charset val="134"/>
      </rPr>
      <t xml:space="preserve">
Levitate
</t>
    </r>
    <r>
      <rPr>
        <sz val="14"/>
        <color rgb="FF000000"/>
        <rFont val="宋体"/>
        <charset val="134"/>
      </rPr>
      <t>消耗：可变的魔法值；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可令施法者或一个选定的目标在空中缓缓漂浮。施法者必须能接触目标。目标人物每有</t>
    </r>
    <r>
      <rPr>
        <sz val="14"/>
        <color rgb="FF000000"/>
        <rFont val="Resource Han Rounded CN Normal"/>
        <charset val="134"/>
      </rPr>
      <t>5</t>
    </r>
    <r>
      <rPr>
        <sz val="14"/>
        <color rgb="FF000000"/>
        <rFont val="宋体"/>
        <charset val="134"/>
      </rPr>
      <t>点</t>
    </r>
    <r>
      <rPr>
        <sz val="14"/>
        <color rgb="FF000000"/>
        <rFont val="Resource Han Rounded CN Normal"/>
        <charset val="134"/>
      </rPr>
      <t>SIZ</t>
    </r>
    <r>
      <rPr>
        <sz val="14"/>
        <color rgb="FF000000"/>
        <rFont val="宋体"/>
        <charset val="134"/>
      </rPr>
      <t>，漂浮他就需要投入</t>
    </r>
    <r>
      <rPr>
        <sz val="14"/>
        <color rgb="FF000000"/>
        <rFont val="Resource Han Rounded CN Normal"/>
        <charset val="134"/>
      </rPr>
      <t>1</t>
    </r>
    <r>
      <rPr>
        <sz val="14"/>
        <color rgb="FF000000"/>
        <rFont val="宋体"/>
        <charset val="134"/>
      </rPr>
      <t>点魔法值。本法术能让目标飘浮离地</t>
    </r>
    <r>
      <rPr>
        <sz val="14"/>
        <color rgb="FF000000"/>
        <rFont val="Resource Han Rounded CN Normal"/>
        <charset val="134"/>
      </rPr>
      <t>3~5</t>
    </r>
    <r>
      <rPr>
        <sz val="14"/>
        <color rgb="FF000000"/>
        <rFont val="宋体"/>
        <charset val="134"/>
      </rPr>
      <t>尺，持续</t>
    </r>
    <r>
      <rPr>
        <sz val="14"/>
        <color rgb="FF000000"/>
        <rFont val="Resource Han Rounded CN Normal"/>
        <charset val="134"/>
      </rPr>
      <t>1D6</t>
    </r>
    <r>
      <rPr>
        <sz val="14"/>
        <color rgb="FF000000"/>
        <rFont val="宋体"/>
        <charset val="134"/>
      </rPr>
      <t>分钟。如果从高处落下来，目标会以慢动作下落，并且在离地几英尺的高度停止。</t>
    </r>
    <r>
      <rPr>
        <sz val="14"/>
        <color rgb="FF000000"/>
        <rFont val="Resource Han Rounded CN Normal"/>
        <charset val="134"/>
      </rPr>
      <t xml:space="preserve">
</t>
    </r>
    <r>
      <rPr>
        <sz val="14"/>
        <color rgb="FF000000"/>
        <rFont val="宋体"/>
        <charset val="134"/>
      </rPr>
      <t>在法术生效期间每多消耗一点魔法值，使用者就可以让目标水平或竖直移动一码。目标随施法者的意志移动，无法自行停止，除非他抱住大树或者类似的支柱。这种情况下需要做一次对抗检定：目标的</t>
    </r>
    <r>
      <rPr>
        <sz val="14"/>
        <color rgb="FF000000"/>
        <rFont val="Resource Han Rounded CN Normal"/>
        <charset val="134"/>
      </rPr>
      <t>STR</t>
    </r>
    <r>
      <rPr>
        <sz val="14"/>
        <color rgb="FF000000"/>
        <rFont val="宋体"/>
        <charset val="134"/>
      </rPr>
      <t>对抗施法者的</t>
    </r>
    <r>
      <rPr>
        <sz val="14"/>
        <color rgb="FF000000"/>
        <rFont val="Resource Han Rounded CN Normal"/>
        <charset val="134"/>
      </rPr>
      <t>POW</t>
    </r>
    <r>
      <rPr>
        <sz val="14"/>
        <color rgb="FF000000"/>
        <rFont val="宋体"/>
        <charset val="134"/>
      </rPr>
      <t>。如果目标胜出，法术终止，目标落到地面上。</t>
    </r>
    <r>
      <rPr>
        <sz val="14"/>
        <color rgb="FF000000"/>
        <rFont val="Resource Han Rounded CN Normal"/>
        <charset val="134"/>
      </rPr>
      <t xml:space="preserve">
</t>
    </r>
    <r>
      <rPr>
        <sz val="14"/>
        <color rgb="FF000000"/>
        <rFont val="宋体"/>
        <charset val="134"/>
      </rPr>
      <t>别名：指挥重力、颤栗的悬浮</t>
    </r>
  </si>
  <si>
    <t>生命偷取术〔续、害〕</t>
  </si>
  <si>
    <r>
      <rPr>
        <sz val="14"/>
        <color rgb="FF000000"/>
        <rFont val="Resource Han Rounded CN Normal"/>
        <charset val="134"/>
      </rPr>
      <t>15</t>
    </r>
    <r>
      <rPr>
        <sz val="14"/>
        <color rgb="FF000000"/>
        <rFont val="宋体"/>
        <charset val="134"/>
      </rPr>
      <t>点魔法值；</t>
    </r>
    <r>
      <rPr>
        <sz val="14"/>
        <color rgb="FF000000"/>
        <rFont val="Resource Han Rounded CN Normal"/>
        <charset val="134"/>
      </rPr>
      <t>1D20</t>
    </r>
    <r>
      <rPr>
        <sz val="14"/>
        <color rgb="FF000000"/>
        <rFont val="宋体"/>
        <charset val="134"/>
      </rPr>
      <t>点理智值</t>
    </r>
  </si>
  <si>
    <r>
      <rPr>
        <sz val="14"/>
        <color rgb="FF000000"/>
        <rFont val="Resource Han Rounded CN Normal"/>
        <charset val="134"/>
      </rPr>
      <t>1+</t>
    </r>
    <r>
      <rPr>
        <sz val="14"/>
        <color rgb="FF000000"/>
        <rFont val="宋体"/>
        <charset val="134"/>
      </rPr>
      <t>轮</t>
    </r>
  </si>
  <si>
    <t>活力榨取术、猩红仪式、五教团的亵渎圣礼</t>
  </si>
  <si>
    <t>GRASP OF CTHULHU</t>
  </si>
  <si>
    <t>克苏鲁抓攫术</t>
  </si>
  <si>
    <t>クトゥルフのわしづかみ</t>
  </si>
  <si>
    <r>
      <rPr>
        <sz val="14"/>
        <color rgb="FF000000"/>
        <rFont val="宋体"/>
        <charset val="134"/>
      </rPr>
      <t>克苏鲁抓攫术〔战〕</t>
    </r>
    <r>
      <rPr>
        <sz val="14"/>
        <color rgb="FF000000"/>
        <rFont val="Resource Han Rounded CN Normal"/>
        <charset val="134"/>
      </rPr>
      <t xml:space="preserve">
Grasp of Cthulhu
</t>
    </r>
    <r>
      <rPr>
        <sz val="14"/>
        <color rgb="FF000000"/>
        <rFont val="宋体"/>
        <charset val="134"/>
      </rPr>
      <t>消耗：</t>
    </r>
    <r>
      <rPr>
        <sz val="14"/>
        <color rgb="FF000000"/>
        <rFont val="Resource Han Rounded CN Normal"/>
        <charset val="134"/>
      </rPr>
      <t>2D6</t>
    </r>
    <r>
      <rPr>
        <sz val="14"/>
        <color rgb="FF000000"/>
        <rFont val="宋体"/>
        <charset val="134"/>
      </rPr>
      <t>点魔法值（每分钟）；</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可怕的碾压般的压力定住一个或多个目标，暂时抽取他们的</t>
    </r>
    <r>
      <rPr>
        <sz val="14"/>
        <color rgb="FF000000"/>
        <rFont val="Resource Han Rounded CN Normal"/>
        <charset val="134"/>
      </rPr>
      <t>STR</t>
    </r>
    <r>
      <rPr>
        <sz val="14"/>
        <color rgb="FF000000"/>
        <rFont val="宋体"/>
        <charset val="134"/>
      </rPr>
      <t>。法术的范围是</t>
    </r>
    <r>
      <rPr>
        <sz val="14"/>
        <color rgb="FF000000"/>
        <rFont val="Resource Han Rounded CN Normal"/>
        <charset val="134"/>
      </rPr>
      <t>10</t>
    </r>
    <r>
      <rPr>
        <sz val="14"/>
        <color rgb="FF000000"/>
        <rFont val="宋体"/>
        <charset val="134"/>
      </rPr>
      <t>码，可以同时作用于多人；但是，每多一个目标，维持法术时每分钟就要额外消耗</t>
    </r>
    <r>
      <rPr>
        <sz val="14"/>
        <color rgb="FF000000"/>
        <rFont val="Resource Han Rounded CN Normal"/>
        <charset val="134"/>
      </rPr>
      <t>2D6</t>
    </r>
    <r>
      <rPr>
        <sz val="14"/>
        <color rgb="FF000000"/>
        <rFont val="宋体"/>
        <charset val="134"/>
      </rPr>
      <t>点魔法值</t>
    </r>
    <r>
      <rPr>
        <sz val="14"/>
        <color rgb="FF000000"/>
        <rFont val="Resource Han Rounded CN Normal"/>
        <charset val="134"/>
      </rPr>
      <t>——</t>
    </r>
    <r>
      <rPr>
        <sz val="14"/>
        <color rgb="FF000000"/>
        <rFont val="宋体"/>
        <charset val="134"/>
      </rPr>
      <t>只要施法者有足够的魔法值消耗，法术想持续多少分钟就能持续多少分钟，不需要额外的理智值消耗，但是施法者必须全程专注施法。</t>
    </r>
    <r>
      <rPr>
        <sz val="14"/>
        <color rgb="FF000000"/>
        <rFont val="Resource Han Rounded CN Normal"/>
        <charset val="134"/>
      </rPr>
      <t xml:space="preserve">
</t>
    </r>
    <r>
      <rPr>
        <sz val="14"/>
        <color rgb="FF000000"/>
        <rFont val="宋体"/>
        <charset val="134"/>
      </rPr>
      <t>施法者须和目标进行一次</t>
    </r>
    <r>
      <rPr>
        <sz val="14"/>
        <color rgb="FF000000"/>
        <rFont val="Resource Han Rounded CN Normal"/>
        <charset val="134"/>
      </rPr>
      <t>POW</t>
    </r>
    <r>
      <rPr>
        <sz val="14"/>
        <color rgb="FF000000"/>
        <rFont val="宋体"/>
        <charset val="134"/>
      </rPr>
      <t>对抗检定并胜出，法术才能生效：若施法者胜出，目标会感到巨大的压力从天而降，身体无法动弹</t>
    </r>
    <r>
      <rPr>
        <sz val="14"/>
        <color rgb="FF000000"/>
        <rFont val="Resource Han Rounded CN Normal"/>
        <charset val="134"/>
      </rPr>
      <t>——</t>
    </r>
    <r>
      <rPr>
        <sz val="14"/>
        <color rgb="FF000000"/>
        <rFont val="宋体"/>
        <charset val="134"/>
      </rPr>
      <t>好像被伟大的克苏鲁的强悍的触手捆住一样。</t>
    </r>
    <r>
      <rPr>
        <sz val="14"/>
        <color rgb="FF000000"/>
        <rFont val="Resource Han Rounded CN Normal"/>
        <charset val="134"/>
      </rPr>
      <t xml:space="preserve">
</t>
    </r>
    <r>
      <rPr>
        <sz val="14"/>
        <color rgb="FF000000"/>
        <rFont val="宋体"/>
        <charset val="134"/>
      </rPr>
      <t>法术每持续一分钟，目标就要暂时失去</t>
    </r>
    <r>
      <rPr>
        <sz val="14"/>
        <color rgb="FF000000"/>
        <rFont val="Resource Han Rounded CN Normal"/>
        <charset val="134"/>
      </rPr>
      <t>5D10</t>
    </r>
    <r>
      <rPr>
        <sz val="14"/>
        <color rgb="FF000000"/>
        <rFont val="宋体"/>
        <charset val="134"/>
      </rPr>
      <t>点</t>
    </r>
    <r>
      <rPr>
        <sz val="14"/>
        <color rgb="FF000000"/>
        <rFont val="Resource Han Rounded CN Normal"/>
        <charset val="134"/>
      </rPr>
      <t>STR</t>
    </r>
    <r>
      <rPr>
        <sz val="14"/>
        <color rgb="FF000000"/>
        <rFont val="宋体"/>
        <charset val="134"/>
      </rPr>
      <t>。若目标的</t>
    </r>
    <r>
      <rPr>
        <sz val="14"/>
        <color rgb="FF000000"/>
        <rFont val="Resource Han Rounded CN Normal"/>
        <charset val="134"/>
      </rPr>
      <t>STR</t>
    </r>
    <r>
      <rPr>
        <sz val="14"/>
        <color rgb="FF000000"/>
        <rFont val="宋体"/>
        <charset val="134"/>
      </rPr>
      <t>减少到</t>
    </r>
    <r>
      <rPr>
        <sz val="14"/>
        <color rgb="FF000000"/>
        <rFont val="Resource Han Rounded CN Normal"/>
        <charset val="134"/>
      </rPr>
      <t>0</t>
    </r>
    <r>
      <rPr>
        <sz val="14"/>
        <color rgb="FF000000"/>
        <rFont val="宋体"/>
        <charset val="134"/>
      </rPr>
      <t>以下，他将昏迷。</t>
    </r>
    <r>
      <rPr>
        <sz val="14"/>
        <color rgb="FF000000"/>
        <rFont val="Resource Han Rounded CN Normal"/>
        <charset val="134"/>
      </rPr>
      <t xml:space="preserve">
</t>
    </r>
    <r>
      <rPr>
        <sz val="14"/>
        <color rgb="FF000000"/>
        <rFont val="宋体"/>
        <charset val="134"/>
      </rPr>
      <t>别名：水海者的窒息触手、窒息术、拉莱耶的礼物</t>
    </r>
  </si>
  <si>
    <t>疯狂之笛〔害〕</t>
  </si>
  <si>
    <r>
      <rPr>
        <sz val="14"/>
        <color rgb="FF000000"/>
        <rFont val="Resource Han Rounded CN Normal"/>
        <charset val="134"/>
      </rPr>
      <t>5</t>
    </r>
    <r>
      <rPr>
        <sz val="14"/>
        <color rgb="FF000000"/>
        <rFont val="宋体"/>
        <charset val="134"/>
      </rPr>
      <t>点魔法值；</t>
    </r>
    <r>
      <rPr>
        <sz val="14"/>
        <color rgb="FF000000"/>
        <rFont val="Resource Han Rounded CN Normal"/>
        <charset val="134"/>
      </rPr>
      <t>1D6</t>
    </r>
    <r>
      <rPr>
        <sz val="14"/>
        <color rgb="FF000000"/>
        <rFont val="宋体"/>
        <charset val="134"/>
      </rPr>
      <t>点理智值</t>
    </r>
  </si>
  <si>
    <r>
      <rPr>
        <sz val="14"/>
        <color rgb="FF000000"/>
        <rFont val="Resource Han Rounded CN Normal"/>
        <charset val="134"/>
      </rPr>
      <t>5</t>
    </r>
    <r>
      <rPr>
        <sz val="14"/>
        <color rgb="FF000000"/>
        <rFont val="宋体"/>
        <charset val="134"/>
      </rPr>
      <t>轮</t>
    </r>
  </si>
  <si>
    <t>天堂的黑暗之歌、深渊之旋律、七重地狱的合奏</t>
  </si>
  <si>
    <t>CURSE OF THE PUTRID HUSK</t>
  </si>
  <si>
    <t>腐烂外皮之诅咒</t>
  </si>
  <si>
    <r>
      <rPr>
        <sz val="14"/>
        <color rgb="FF000000"/>
        <rFont val="宋体"/>
        <charset val="134"/>
      </rPr>
      <t>腐</t>
    </r>
    <r>
      <rPr>
        <sz val="14"/>
        <color rgb="FF000000"/>
        <rFont val="MS Gothic"/>
        <charset val="134"/>
      </rPr>
      <t>った</t>
    </r>
    <r>
      <rPr>
        <sz val="14"/>
        <color rgb="FF000000"/>
        <rFont val="宋体"/>
        <charset val="134"/>
      </rPr>
      <t>外皮</t>
    </r>
    <r>
      <rPr>
        <sz val="14"/>
        <color rgb="FF000000"/>
        <rFont val="MS Gothic"/>
        <charset val="134"/>
      </rPr>
      <t>の</t>
    </r>
    <r>
      <rPr>
        <sz val="14"/>
        <color rgb="FF000000"/>
        <rFont val="宋体"/>
        <charset val="134"/>
      </rPr>
      <t>呪</t>
    </r>
    <r>
      <rPr>
        <sz val="14"/>
        <color rgb="FF000000"/>
        <rFont val="MS Gothic"/>
        <charset val="134"/>
      </rPr>
      <t>い</t>
    </r>
  </si>
  <si>
    <r>
      <rPr>
        <sz val="14"/>
        <color rgb="FF000000"/>
        <rFont val="宋体"/>
        <charset val="134"/>
      </rPr>
      <t>腐烂外皮之诅咒〔害〕</t>
    </r>
    <r>
      <rPr>
        <sz val="14"/>
        <color rgb="FF000000"/>
        <rFont val="Resource Han Rounded CN Normal"/>
        <charset val="134"/>
      </rPr>
      <t xml:space="preserve">
Curse of the PutridHusk
</t>
    </r>
    <r>
      <rPr>
        <sz val="14"/>
        <color rgb="FF000000"/>
        <rFont val="宋体"/>
        <charset val="134"/>
      </rPr>
      <t>消耗：</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本法术会给目标带去理智崩溃的幻觉。目标会发现自己的皮肤明显地开始朽烂腐坏。外观的恶化似乎极其迅速，结果出现巨大的空洞和裂缝，体内的脏器开始从中漫溢而出（这个过程中目标损失</t>
    </r>
    <r>
      <rPr>
        <sz val="14"/>
        <color rgb="FF000000"/>
        <rFont val="Resource Han Rounded CN Normal"/>
        <charset val="134"/>
      </rPr>
      <t>1D10</t>
    </r>
    <r>
      <rPr>
        <sz val="14"/>
        <color rgb="FF000000"/>
        <rFont val="宋体"/>
        <charset val="134"/>
      </rPr>
      <t>点理智值）。随后目标会昏倒，并在几分钟后醒来，毫发无损。</t>
    </r>
    <r>
      <rPr>
        <sz val="14"/>
        <color rgb="FF000000"/>
        <rFont val="Resource Han Rounded CN Normal"/>
        <charset val="134"/>
      </rPr>
      <t xml:space="preserve">
</t>
    </r>
    <r>
      <rPr>
        <sz val="14"/>
        <color rgb="FF000000"/>
        <rFont val="宋体"/>
        <charset val="134"/>
      </rPr>
      <t>施法者须和目标进行一次</t>
    </r>
    <r>
      <rPr>
        <sz val="14"/>
        <color rgb="FF000000"/>
        <rFont val="Resource Han Rounded CN Normal"/>
        <charset val="134"/>
      </rPr>
      <t>INT</t>
    </r>
    <r>
      <rPr>
        <sz val="14"/>
        <color rgb="FF000000"/>
        <rFont val="宋体"/>
        <charset val="134"/>
      </rPr>
      <t>对抗检定并胜出，法术才能生效。如果法术在夜间目标睡着时施放，目标要获得一颗惩罚骰。效果的时间共约二十分钟，包含昏倒的时间。</t>
    </r>
    <r>
      <rPr>
        <sz val="14"/>
        <color rgb="FF000000"/>
        <rFont val="Resource Han Rounded CN Normal"/>
        <charset val="134"/>
      </rPr>
      <t xml:space="preserve">
</t>
    </r>
    <r>
      <rPr>
        <sz val="14"/>
        <color rgb="FF000000"/>
        <rFont val="宋体"/>
        <charset val="134"/>
      </rPr>
      <t>施法者必须认识目标，且必须有一些属于目标的个人物品作为法术的专注点。被这个法术击中的经历是灾难性的；但是「精神分析」检定成功可以让目标接受这些无法理解的梦境和幻觉，恢复此次理智损失的一半。精神科药物对这种攻击没有什么补偿作用。</t>
    </r>
    <r>
      <rPr>
        <sz val="14"/>
        <color rgb="FF000000"/>
        <rFont val="Resource Han Rounded CN Normal"/>
        <charset val="134"/>
      </rPr>
      <t xml:space="preserve">
</t>
    </r>
    <r>
      <rPr>
        <sz val="14"/>
        <color rgb="FF000000"/>
        <rFont val="宋体"/>
        <charset val="134"/>
      </rPr>
      <t>深层魔法：依上文所述，法术产生的幻觉仅有目标可见。如果额外投入</t>
    </r>
    <r>
      <rPr>
        <sz val="14"/>
        <color rgb="FF000000"/>
        <rFont val="Resource Han Rounded CN Normal"/>
        <charset val="134"/>
      </rPr>
      <t>5</t>
    </r>
    <r>
      <rPr>
        <sz val="14"/>
        <color rgb="FF000000"/>
        <rFont val="宋体"/>
        <charset val="134"/>
      </rPr>
      <t>点魔法值，法术产生的幻象会影响所有人；观察者须进行理智检定（损失</t>
    </r>
    <r>
      <rPr>
        <sz val="14"/>
        <color rgb="FF000000"/>
        <rFont val="Resource Han Rounded CN Normal"/>
        <charset val="134"/>
      </rPr>
      <t>0/1D6</t>
    </r>
    <r>
      <rPr>
        <sz val="14"/>
        <color rgb="FF000000"/>
        <rFont val="宋体"/>
        <charset val="134"/>
      </rPr>
      <t>点）。如果施法者消耗</t>
    </r>
    <r>
      <rPr>
        <sz val="14"/>
        <color rgb="FF000000"/>
        <rFont val="Resource Han Rounded CN Normal"/>
        <charset val="134"/>
      </rPr>
      <t>20</t>
    </r>
    <r>
      <rPr>
        <sz val="14"/>
        <color rgb="FF000000"/>
        <rFont val="宋体"/>
        <charset val="134"/>
      </rPr>
      <t>点魔法值、</t>
    </r>
    <r>
      <rPr>
        <sz val="14"/>
        <color rgb="FF000000"/>
        <rFont val="Resource Han Rounded CN Normal"/>
        <charset val="134"/>
      </rPr>
      <t>25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20</t>
    </r>
    <r>
      <rPr>
        <sz val="14"/>
        <color rgb="FF000000"/>
        <rFont val="宋体"/>
        <charset val="134"/>
      </rPr>
      <t>点理智值，他可以让法术效果真实发生；每轮中目标还要受到</t>
    </r>
    <r>
      <rPr>
        <sz val="14"/>
        <color rgb="FF000000"/>
        <rFont val="Resource Han Rounded CN Normal"/>
        <charset val="134"/>
      </rPr>
      <t>1D6</t>
    </r>
    <r>
      <rPr>
        <sz val="14"/>
        <color rgb="FF000000"/>
        <rFont val="宋体"/>
        <charset val="134"/>
      </rPr>
      <t>点伤害，直到其死亡或者施法者因某种原因终止法术。</t>
    </r>
    <r>
      <rPr>
        <sz val="14"/>
        <color rgb="FF000000"/>
        <rFont val="Resource Han Rounded CN Normal"/>
        <charset val="134"/>
      </rPr>
      <t xml:space="preserve">
</t>
    </r>
    <r>
      <rPr>
        <sz val="14"/>
        <color rgb="FF000000"/>
        <rFont val="宋体"/>
        <charset val="134"/>
      </rPr>
      <t>别名：阴险梦魇术、七魔从令，折磨汝敌、弱者意志摧残术</t>
    </r>
  </si>
  <si>
    <t>恐惧植入术〔战、支〕</t>
  </si>
  <si>
    <r>
      <rPr>
        <sz val="14"/>
        <color rgb="FF000000"/>
        <rFont val="Resource Han Rounded CN Normal"/>
        <charset val="134"/>
      </rPr>
      <t>12</t>
    </r>
    <r>
      <rPr>
        <sz val="14"/>
        <color rgb="FF000000"/>
        <rFont val="宋体"/>
        <charset val="134"/>
      </rPr>
      <t>点魔法值；</t>
    </r>
    <r>
      <rPr>
        <sz val="14"/>
        <color rgb="FF000000"/>
        <rFont val="Resource Han Rounded CN Normal"/>
        <charset val="134"/>
      </rPr>
      <t>1D6</t>
    </r>
    <r>
      <rPr>
        <sz val="14"/>
        <color rgb="FF000000"/>
        <rFont val="宋体"/>
        <charset val="134"/>
      </rPr>
      <t>点理智值</t>
    </r>
  </si>
  <si>
    <t>末日之指、伊波恩厄运术、邪眼术</t>
  </si>
  <si>
    <t>BLACK BINDING</t>
  </si>
  <si>
    <t>黑色束缚</t>
  </si>
  <si>
    <r>
      <rPr>
        <sz val="14"/>
        <color rgb="FF000000"/>
        <rFont val="宋体"/>
        <charset val="134"/>
      </rPr>
      <t>黒</t>
    </r>
    <r>
      <rPr>
        <sz val="14"/>
        <color rgb="FF000000"/>
        <rFont val="MS Gothic"/>
        <charset val="134"/>
      </rPr>
      <t>い</t>
    </r>
    <r>
      <rPr>
        <sz val="14"/>
        <color rgb="FF000000"/>
        <rFont val="宋体"/>
        <charset val="134"/>
      </rPr>
      <t>束縛</t>
    </r>
  </si>
  <si>
    <t>同《僵尸创建术》</t>
  </si>
  <si>
    <t>飘浮术〔旅〕</t>
  </si>
  <si>
    <r>
      <rPr>
        <sz val="14"/>
        <color rgb="FF000000"/>
        <rFont val="宋体"/>
        <charset val="134"/>
      </rPr>
      <t>可变的魔法值；</t>
    </r>
    <r>
      <rPr>
        <sz val="14"/>
        <color rgb="FF000000"/>
        <rFont val="Resource Han Rounded CN Normal"/>
        <charset val="134"/>
      </rPr>
      <t>1D6</t>
    </r>
    <r>
      <rPr>
        <sz val="14"/>
        <color rgb="FF000000"/>
        <rFont val="宋体"/>
        <charset val="134"/>
      </rPr>
      <t>点理智值</t>
    </r>
  </si>
  <si>
    <r>
      <rPr>
        <sz val="14"/>
        <color rgb="FF000000"/>
        <rFont val="宋体"/>
        <charset val="134"/>
      </rPr>
      <t>令施法者或目标在空中缓缓漂浮，持续</t>
    </r>
    <r>
      <rPr>
        <sz val="14"/>
        <color rgb="FF000000"/>
        <rFont val="Resource Han Rounded CN Normal"/>
        <charset val="134"/>
      </rPr>
      <t>1D6</t>
    </r>
    <r>
      <rPr>
        <sz val="14"/>
        <color rgb="FF000000"/>
        <rFont val="宋体"/>
        <charset val="134"/>
      </rPr>
      <t>分钟，可水平或竖直移动一码</t>
    </r>
  </si>
  <si>
    <t>指挥重力、颤栗的悬浮</t>
  </si>
  <si>
    <t>BAT FORM</t>
  </si>
  <si>
    <t>蝙蝠化形法</t>
  </si>
  <si>
    <r>
      <rPr>
        <sz val="14"/>
        <color rgb="FF000000"/>
        <rFont val="MS Gothic"/>
        <charset val="134"/>
      </rPr>
      <t>コウモリ</t>
    </r>
    <r>
      <rPr>
        <sz val="14"/>
        <color rgb="FF000000"/>
        <rFont val="宋体"/>
        <charset val="134"/>
      </rPr>
      <t>形態</t>
    </r>
  </si>
  <si>
    <r>
      <rPr>
        <sz val="14"/>
        <color rgb="FF000000"/>
        <rFont val="宋体"/>
        <charset val="134"/>
      </rPr>
      <t>蝙蝠化形法（民俗）〔民〕</t>
    </r>
    <r>
      <rPr>
        <sz val="14"/>
        <color rgb="FF000000"/>
        <rFont val="Resource Han Rounded CN Normal"/>
        <charset val="134"/>
      </rPr>
      <t xml:space="preserve">
Bat Form
</t>
    </r>
    <r>
      <rPr>
        <sz val="14"/>
        <color rgb="FF000000"/>
        <rFont val="宋体"/>
        <charset val="134"/>
      </rPr>
      <t>消耗：</t>
    </r>
    <r>
      <rPr>
        <sz val="14"/>
        <color rgb="FF000000"/>
        <rFont val="Resource Han Rounded CN Normal"/>
        <charset val="134"/>
      </rPr>
      <t>12</t>
    </r>
    <r>
      <rPr>
        <sz val="14"/>
        <color rgb="FF000000"/>
        <rFont val="宋体"/>
        <charset val="134"/>
      </rPr>
      <t>点魔法值；</t>
    </r>
    <r>
      <rPr>
        <sz val="14"/>
        <color rgb="FF000000"/>
        <rFont val="Resource Han Rounded CN Normal"/>
        <charset val="134"/>
      </rPr>
      <t>1D8</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可以让施法者变成蝙蝠形态并拥有它的能力（飞行和敏锐听力），并保持他的智力和意识。变成蝙蝠形态每次需要</t>
    </r>
    <r>
      <rPr>
        <sz val="14"/>
        <color rgb="FF000000"/>
        <rFont val="Resource Han Rounded CN Normal"/>
        <charset val="134"/>
      </rPr>
      <t>1D8</t>
    </r>
    <r>
      <rPr>
        <sz val="14"/>
        <color rgb="FF000000"/>
        <rFont val="宋体"/>
        <charset val="134"/>
      </rPr>
      <t>点理智值，累计最多损失</t>
    </r>
    <r>
      <rPr>
        <sz val="14"/>
        <color rgb="FF000000"/>
        <rFont val="Resource Han Rounded CN Normal"/>
        <charset val="134"/>
      </rPr>
      <t>8</t>
    </r>
    <r>
      <rPr>
        <sz val="14"/>
        <color rgb="FF000000"/>
        <rFont val="宋体"/>
        <charset val="134"/>
      </rPr>
      <t>点。本法术必须在太阳落山后施放，效果仅持续到第二天日出。</t>
    </r>
    <r>
      <rPr>
        <sz val="14"/>
        <color rgb="FF000000"/>
        <rFont val="Resource Han Rounded CN Normal"/>
        <charset val="134"/>
      </rPr>
      <t xml:space="preserve">
</t>
    </r>
    <r>
      <rPr>
        <sz val="14"/>
        <color rgb="FF000000"/>
        <rFont val="宋体"/>
        <charset val="134"/>
      </rPr>
      <t>深层魔法：有些巫师创造了本法术的替代版本，他们可以变成其他的动物形态，如狼、犬和乌鸦。</t>
    </r>
    <r>
      <rPr>
        <sz val="14"/>
        <color rgb="FF000000"/>
        <rFont val="Resource Han Rounded CN Normal"/>
        <charset val="134"/>
      </rPr>
      <t xml:space="preserve">
</t>
    </r>
    <r>
      <rPr>
        <sz val="14"/>
        <color rgb="FF000000"/>
        <rFont val="宋体"/>
        <charset val="134"/>
      </rPr>
      <t>别名：行皮法、女巫作风、异种披风</t>
    </r>
  </si>
  <si>
    <t>克苏鲁抓攫术〔战〕</t>
  </si>
  <si>
    <r>
      <rPr>
        <sz val="14"/>
        <color rgb="FF000000"/>
        <rFont val="Resource Han Rounded CN Normal"/>
        <charset val="134"/>
      </rPr>
      <t>2D6</t>
    </r>
    <r>
      <rPr>
        <sz val="14"/>
        <color rgb="FF000000"/>
        <rFont val="宋体"/>
        <charset val="134"/>
      </rPr>
      <t>点魔法值（每分钟）；</t>
    </r>
    <r>
      <rPr>
        <sz val="14"/>
        <color rgb="FF000000"/>
        <rFont val="Resource Han Rounded CN Normal"/>
        <charset val="134"/>
      </rPr>
      <t>1D6</t>
    </r>
    <r>
      <rPr>
        <sz val="14"/>
        <color rgb="FF000000"/>
        <rFont val="宋体"/>
        <charset val="134"/>
      </rPr>
      <t>点理智值</t>
    </r>
  </si>
  <si>
    <t>水海者的窒息触手、窒息术、拉莱耶的礼物</t>
  </si>
  <si>
    <t>HANDS OF COLUBRA</t>
  </si>
  <si>
    <t>蛇臂术</t>
  </si>
  <si>
    <r>
      <rPr>
        <sz val="14"/>
        <color rgb="FF000000"/>
        <rFont val="MS Gothic"/>
        <charset val="134"/>
      </rPr>
      <t>コルーブラの</t>
    </r>
    <r>
      <rPr>
        <sz val="14"/>
        <color rgb="FF000000"/>
        <rFont val="宋体"/>
        <charset val="134"/>
      </rPr>
      <t>手</t>
    </r>
  </si>
  <si>
    <r>
      <rPr>
        <sz val="14"/>
        <color rgb="FF000000"/>
        <rFont val="宋体"/>
        <charset val="134"/>
      </rPr>
      <t>蛇臂术〔战〕</t>
    </r>
    <r>
      <rPr>
        <sz val="14"/>
        <color rgb="FF000000"/>
        <rFont val="Resource Han Rounded CN Normal"/>
        <charset val="134"/>
      </rPr>
      <t xml:space="preserve">
Hands of Colubra
</t>
    </r>
    <r>
      <rPr>
        <sz val="14"/>
        <color rgb="FF000000"/>
        <rFont val="宋体"/>
        <charset val="134"/>
      </rPr>
      <t>消耗：</t>
    </r>
    <r>
      <rPr>
        <sz val="14"/>
        <color rgb="FF000000"/>
        <rFont val="Resource Han Rounded CN Normal"/>
        <charset val="134"/>
      </rPr>
      <t>12</t>
    </r>
    <r>
      <rPr>
        <sz val="14"/>
        <color rgb="FF000000"/>
        <rFont val="宋体"/>
        <charset val="134"/>
      </rPr>
      <t>点魔法值；</t>
    </r>
    <r>
      <rPr>
        <sz val="14"/>
        <color rgb="FF000000"/>
        <rFont val="Resource Han Rounded CN Normal"/>
        <charset val="134"/>
      </rPr>
      <t>1D10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使施法者的两只手臂变成分别两只毒蛇的前半身。本法术只影响施法者，效果持续</t>
    </r>
    <r>
      <rPr>
        <sz val="14"/>
        <color rgb="FF000000"/>
        <rFont val="Resource Han Rounded CN Normal"/>
        <charset val="134"/>
      </rPr>
      <t>1D3+3</t>
    </r>
    <r>
      <rPr>
        <sz val="14"/>
        <color rgb="FF000000"/>
        <rFont val="宋体"/>
        <charset val="134"/>
      </rPr>
      <t>轮。</t>
    </r>
    <r>
      <rPr>
        <sz val="14"/>
        <color rgb="FF000000"/>
        <rFont val="Resource Han Rounded CN Normal"/>
        <charset val="134"/>
      </rPr>
      <t xml:space="preserve">
</t>
    </r>
    <r>
      <rPr>
        <sz val="14"/>
        <color rgb="FF000000"/>
        <rFont val="宋体"/>
        <charset val="134"/>
      </rPr>
      <t>变出来的蛇可以咬到最多</t>
    </r>
    <r>
      <rPr>
        <sz val="14"/>
        <color rgb="FF000000"/>
        <rFont val="Resource Han Rounded CN Normal"/>
        <charset val="134"/>
      </rPr>
      <t>8</t>
    </r>
    <r>
      <rPr>
        <sz val="14"/>
        <color rgb="FF000000"/>
        <rFont val="宋体"/>
        <charset val="134"/>
      </rPr>
      <t>尺外的目标。看到变形的巫师的人需要做理智检定（损失</t>
    </r>
    <r>
      <rPr>
        <sz val="14"/>
        <color rgb="FF000000"/>
        <rFont val="Resource Han Rounded CN Normal"/>
        <charset val="134"/>
      </rPr>
      <t>0/1D6</t>
    </r>
    <r>
      <rPr>
        <sz val="14"/>
        <color rgb="FF000000"/>
        <rFont val="宋体"/>
        <charset val="134"/>
      </rPr>
      <t>点）。</t>
    </r>
    <r>
      <rPr>
        <sz val="14"/>
        <color rgb="FF000000"/>
        <rFont val="Resource Han Rounded CN Normal"/>
        <charset val="134"/>
      </rPr>
      <t xml:space="preserve">
</t>
    </r>
    <r>
      <rPr>
        <sz val="14"/>
        <color rgb="FF000000"/>
        <rFont val="宋体"/>
        <charset val="134"/>
      </rPr>
      <t>每只蛇都可以攻击（使用施法者的「格斗」技能），每咬一次造成</t>
    </r>
    <r>
      <rPr>
        <sz val="14"/>
        <color rgb="FF000000"/>
        <rFont val="Resource Han Rounded CN Normal"/>
        <charset val="134"/>
      </rPr>
      <t>1D3</t>
    </r>
    <r>
      <rPr>
        <sz val="14"/>
        <color rgb="FF000000"/>
        <rFont val="宋体"/>
        <charset val="134"/>
      </rPr>
      <t>点伤害附加注入毒素</t>
    </r>
    <r>
      <rPr>
        <sz val="14"/>
        <color rgb="FF000000"/>
        <rFont val="Resource Han Rounded CN Normal"/>
        <charset val="134"/>
      </rPr>
      <t>——</t>
    </r>
    <r>
      <rPr>
        <sz val="14"/>
        <color rgb="FF000000"/>
        <rFont val="宋体"/>
        <charset val="134"/>
      </rPr>
      <t>如果目标极难</t>
    </r>
    <r>
      <rPr>
        <sz val="14"/>
        <color rgb="FF000000"/>
        <rFont val="Resource Han Rounded CN Normal"/>
        <charset val="134"/>
      </rPr>
      <t>CON</t>
    </r>
    <r>
      <rPr>
        <sz val="14"/>
        <color rgb="FF000000"/>
        <rFont val="宋体"/>
        <charset val="134"/>
      </rPr>
      <t>检定失败，毒素每轮造成</t>
    </r>
    <r>
      <rPr>
        <sz val="14"/>
        <color rgb="FF000000"/>
        <rFont val="Resource Han Rounded CN Normal"/>
        <charset val="134"/>
      </rPr>
      <t>1D10</t>
    </r>
    <r>
      <rPr>
        <sz val="14"/>
        <color rgb="FF000000"/>
        <rFont val="宋体"/>
        <charset val="134"/>
      </rPr>
      <t>点伤害，直到因此受到的伤害达到施法者</t>
    </r>
    <r>
      <rPr>
        <sz val="14"/>
        <color rgb="FF000000"/>
        <rFont val="Resource Han Rounded CN Normal"/>
        <charset val="134"/>
      </rPr>
      <t>POW</t>
    </r>
    <r>
      <rPr>
        <sz val="14"/>
        <color rgb="FF000000"/>
        <rFont val="宋体"/>
        <charset val="134"/>
      </rPr>
      <t>的五分之一或目标死亡为止。</t>
    </r>
    <r>
      <rPr>
        <sz val="14"/>
        <color rgb="FF000000"/>
        <rFont val="Resource Han Rounded CN Normal"/>
        <charset val="134"/>
      </rPr>
      <t xml:space="preserve">
</t>
    </r>
    <r>
      <rPr>
        <sz val="14"/>
        <color rgb="FF000000"/>
        <rFont val="宋体"/>
        <charset val="134"/>
      </rPr>
      <t>别名：蛇之手、伊格的祝福</t>
    </r>
  </si>
  <si>
    <t>腐烂外皮之诅咒〔害〕</t>
  </si>
  <si>
    <r>
      <rPr>
        <sz val="14"/>
        <color rgb="FF000000"/>
        <rFont val="Resource Han Rounded CN Normal"/>
        <charset val="134"/>
      </rPr>
      <t>5</t>
    </r>
    <r>
      <rPr>
        <sz val="14"/>
        <color rgb="FF000000"/>
        <rFont val="宋体"/>
        <charset val="134"/>
      </rPr>
      <t>点魔法值；</t>
    </r>
    <r>
      <rPr>
        <sz val="14"/>
        <color rgb="FF000000"/>
        <rFont val="Resource Han Rounded CN Normal"/>
        <charset val="134"/>
      </rPr>
      <t>10</t>
    </r>
    <r>
      <rPr>
        <sz val="14"/>
        <color rgb="FF000000"/>
        <rFont val="宋体"/>
        <charset val="134"/>
      </rPr>
      <t>点理智值</t>
    </r>
  </si>
  <si>
    <t>阴险梦魇术、七魔从令，折磨汝敌、弱者意志摧残术</t>
  </si>
  <si>
    <t>BODY WARPING OF GORGOROTH</t>
  </si>
  <si>
    <t>戈尔戈罗斯形体扭曲术</t>
  </si>
  <si>
    <t>ゴルゴロスのボディ・ワープ</t>
  </si>
  <si>
    <r>
      <rPr>
        <sz val="14"/>
        <color rgb="FF000000"/>
        <rFont val="宋体"/>
        <charset val="134"/>
      </rPr>
      <t>戈尔戈罗斯形体扭曲术〔变〕</t>
    </r>
    <r>
      <rPr>
        <sz val="14"/>
        <color rgb="FF000000"/>
        <rFont val="Resource Han Rounded CN Normal"/>
        <charset val="134"/>
      </rPr>
      <t xml:space="preserve">
Body Warping of Gorgoroth
</t>
    </r>
    <r>
      <rPr>
        <sz val="14"/>
        <color rgb="FF000000"/>
        <rFont val="宋体"/>
        <charset val="134"/>
      </rPr>
      <t>消耗：</t>
    </r>
    <r>
      <rPr>
        <sz val="14"/>
        <color rgb="FF000000"/>
        <rFont val="Resource Han Rounded CN Normal"/>
        <charset val="134"/>
      </rPr>
      <t>6+</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2D6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1D6+4</t>
    </r>
    <r>
      <rPr>
        <sz val="14"/>
        <color rgb="FF000000"/>
        <rFont val="宋体"/>
        <charset val="134"/>
      </rPr>
      <t>分钟</t>
    </r>
    <r>
      <rPr>
        <sz val="14"/>
        <color rgb="FF000000"/>
        <rFont val="Resource Han Rounded CN Normal"/>
        <charset val="134"/>
      </rPr>
      <t xml:space="preserve">
</t>
    </r>
    <r>
      <rPr>
        <sz val="14"/>
        <color rgb="FF000000"/>
        <rFont val="宋体"/>
        <charset val="134"/>
      </rPr>
      <t>允许施法者改变其物理形态。施法者可以改变成任何形状和外观，但是保留自己的个人能力。该形态是肉体的，但是能够看上去像石头、木头、毛毯之类的东西。在转变成新形态之后，施法者获得新形态的移动能力。施法者的</t>
    </r>
    <r>
      <rPr>
        <sz val="14"/>
        <color rgb="FF000000"/>
        <rFont val="Resource Han Rounded CN Normal"/>
        <charset val="134"/>
      </rPr>
      <t>STR</t>
    </r>
    <r>
      <rPr>
        <sz val="14"/>
        <color rgb="FF000000"/>
        <rFont val="宋体"/>
        <charset val="134"/>
      </rPr>
      <t>、</t>
    </r>
    <r>
      <rPr>
        <sz val="14"/>
        <color rgb="FF000000"/>
        <rFont val="Resource Han Rounded CN Normal"/>
        <charset val="134"/>
      </rPr>
      <t>CON</t>
    </r>
    <r>
      <rPr>
        <sz val="14"/>
        <color rgb="FF000000"/>
        <rFont val="宋体"/>
        <charset val="134"/>
      </rPr>
      <t>、</t>
    </r>
    <r>
      <rPr>
        <sz val="14"/>
        <color rgb="FF000000"/>
        <rFont val="Resource Han Rounded CN Normal"/>
        <charset val="134"/>
      </rPr>
      <t>INT</t>
    </r>
    <r>
      <rPr>
        <sz val="14"/>
        <color rgb="FF000000"/>
        <rFont val="宋体"/>
        <charset val="134"/>
      </rPr>
      <t>、</t>
    </r>
    <r>
      <rPr>
        <sz val="14"/>
        <color rgb="FF000000"/>
        <rFont val="Resource Han Rounded CN Normal"/>
        <charset val="134"/>
      </rPr>
      <t>POW</t>
    </r>
    <r>
      <rPr>
        <sz val="14"/>
        <color rgb="FF000000"/>
        <rFont val="宋体"/>
        <charset val="134"/>
      </rPr>
      <t>和</t>
    </r>
    <r>
      <rPr>
        <sz val="14"/>
        <color rgb="FF000000"/>
        <rFont val="Resource Han Rounded CN Normal"/>
        <charset val="134"/>
      </rPr>
      <t>DEX</t>
    </r>
    <r>
      <rPr>
        <sz val="14"/>
        <color rgb="FF000000"/>
        <rFont val="宋体"/>
        <charset val="134"/>
      </rPr>
      <t>维持不变。当模仿人类时，施法者的</t>
    </r>
    <r>
      <rPr>
        <sz val="14"/>
        <color rgb="FF000000"/>
        <rFont val="Resource Han Rounded CN Normal"/>
        <charset val="134"/>
      </rPr>
      <t>APP</t>
    </r>
    <r>
      <rPr>
        <sz val="14"/>
        <color rgb="FF000000"/>
        <rFont val="宋体"/>
        <charset val="134"/>
      </rPr>
      <t>将变为被模仿者的</t>
    </r>
    <r>
      <rPr>
        <sz val="14"/>
        <color rgb="FF000000"/>
        <rFont val="Resource Han Rounded CN Normal"/>
        <charset val="134"/>
      </rPr>
      <t>APP</t>
    </r>
    <r>
      <rPr>
        <sz val="14"/>
        <color rgb="FF000000"/>
        <rFont val="宋体"/>
        <charset val="134"/>
      </rPr>
      <t>。施法者只能呈现为他已知的形态。</t>
    </r>
    <r>
      <rPr>
        <sz val="14"/>
        <color rgb="FF000000"/>
        <rFont val="Resource Han Rounded CN Normal"/>
        <charset val="134"/>
      </rPr>
      <t xml:space="preserve">
</t>
    </r>
    <r>
      <rPr>
        <sz val="14"/>
        <color rgb="FF000000"/>
        <rFont val="宋体"/>
        <charset val="134"/>
      </rPr>
      <t>施法者向奈亚拉托提普祈求、反复吟唱咒语，同时支付</t>
    </r>
    <r>
      <rPr>
        <sz val="14"/>
        <color rgb="FF000000"/>
        <rFont val="Resource Han Rounded CN Normal"/>
        <charset val="134"/>
      </rPr>
      <t>6</t>
    </r>
    <r>
      <rPr>
        <sz val="14"/>
        <color rgb="FF000000"/>
        <rFont val="宋体"/>
        <charset val="134"/>
      </rPr>
      <t>点魔法值，如果形体扭曲时</t>
    </r>
    <r>
      <rPr>
        <sz val="14"/>
        <color rgb="FF000000"/>
        <rFont val="Resource Han Rounded CN Normal"/>
        <charset val="134"/>
      </rPr>
      <t>SIZ</t>
    </r>
    <r>
      <rPr>
        <sz val="14"/>
        <color rgb="FF000000"/>
        <rFont val="宋体"/>
        <charset val="134"/>
      </rPr>
      <t>每增减</t>
    </r>
    <r>
      <rPr>
        <sz val="14"/>
        <color rgb="FF000000"/>
        <rFont val="Resource Han Rounded CN Normal"/>
        <charset val="134"/>
      </rPr>
      <t>5</t>
    </r>
    <r>
      <rPr>
        <sz val="14"/>
        <color rgb="FF000000"/>
        <rFont val="宋体"/>
        <charset val="134"/>
      </rPr>
      <t>点，还要再支付</t>
    </r>
    <r>
      <rPr>
        <sz val="14"/>
        <color rgb="FF000000"/>
        <rFont val="Resource Han Rounded CN Normal"/>
        <charset val="134"/>
      </rPr>
      <t>1</t>
    </r>
    <r>
      <rPr>
        <sz val="14"/>
        <color rgb="FF000000"/>
        <rFont val="宋体"/>
        <charset val="134"/>
      </rPr>
      <t>点魔法值。每次施法只能进行一种改变，且效果是永久的，直到本法术被再次施放才能变回。本法术不能对其他生物施放。</t>
    </r>
    <r>
      <rPr>
        <sz val="14"/>
        <color rgb="FF000000"/>
        <rFont val="Resource Han Rounded CN Normal"/>
        <charset val="134"/>
      </rPr>
      <t xml:space="preserve">
</t>
    </r>
    <r>
      <rPr>
        <sz val="14"/>
        <color rgb="FF000000"/>
        <rFont val="宋体"/>
        <charset val="134"/>
      </rPr>
      <t>深层魔法：当模仿他人时，施法者即成为那个人的复制品，包括声音和语言模式。施法者撤销变化时不需要重复本法术</t>
    </r>
    <r>
      <rPr>
        <sz val="14"/>
        <color rgb="FF000000"/>
        <rFont val="Resource Han Rounded CN Normal"/>
        <charset val="134"/>
      </rPr>
      <t>——</t>
    </r>
    <r>
      <rPr>
        <sz val="14"/>
        <color rgb="FF000000"/>
        <rFont val="宋体"/>
        <charset val="134"/>
      </rPr>
      <t>只需要一个简单的动词短语而已。</t>
    </r>
    <r>
      <rPr>
        <sz val="14"/>
        <color rgb="FF000000"/>
        <rFont val="Resource Han Rounded CN Normal"/>
        <charset val="134"/>
      </rPr>
      <t xml:space="preserve">
</t>
    </r>
    <r>
      <rPr>
        <sz val="14"/>
        <color rgb="FF000000"/>
        <rFont val="宋体"/>
        <charset val="134"/>
      </rPr>
      <t>别名：形体扭曲术、血肉大师、行走的画皮、黑法老之触</t>
    </r>
  </si>
  <si>
    <t>蝙蝠化形法（民俗）〔民〕</t>
  </si>
  <si>
    <r>
      <rPr>
        <sz val="14"/>
        <color rgb="FF000000"/>
        <rFont val="Resource Han Rounded CN Normal"/>
        <charset val="134"/>
      </rPr>
      <t>12</t>
    </r>
    <r>
      <rPr>
        <sz val="14"/>
        <color rgb="FF000000"/>
        <rFont val="宋体"/>
        <charset val="134"/>
      </rPr>
      <t>点魔法值；</t>
    </r>
    <r>
      <rPr>
        <sz val="14"/>
        <color rgb="FF000000"/>
        <rFont val="Resource Han Rounded CN Normal"/>
        <charset val="134"/>
      </rPr>
      <t>1D8</t>
    </r>
    <r>
      <rPr>
        <sz val="14"/>
        <color rgb="FF000000"/>
        <rFont val="宋体"/>
        <charset val="134"/>
      </rPr>
      <t>点理智值</t>
    </r>
  </si>
  <si>
    <t>行皮法、女巫作风、异种披风</t>
  </si>
  <si>
    <t>REMORTIFICATION</t>
  </si>
  <si>
    <t>遗恨术</t>
  </si>
  <si>
    <r>
      <rPr>
        <sz val="14"/>
        <color rgb="FF000000"/>
        <rFont val="宋体"/>
        <charset val="134"/>
      </rPr>
      <t>再度</t>
    </r>
    <r>
      <rPr>
        <sz val="14"/>
        <color rgb="FF000000"/>
        <rFont val="MS Gothic"/>
        <charset val="134"/>
      </rPr>
      <t>の</t>
    </r>
    <r>
      <rPr>
        <sz val="14"/>
        <color rgb="FF000000"/>
        <rFont val="宋体"/>
        <charset val="134"/>
      </rPr>
      <t>屈辱</t>
    </r>
  </si>
  <si>
    <r>
      <rPr>
        <sz val="14"/>
        <color rgb="FF000000"/>
        <rFont val="宋体"/>
        <charset val="134"/>
      </rPr>
      <t>遗恨术〔驱、他〕</t>
    </r>
    <r>
      <rPr>
        <sz val="14"/>
        <color rgb="FF000000"/>
        <rFont val="Resource Han Rounded CN Normal"/>
        <charset val="134"/>
      </rPr>
      <t xml:space="preserve">
Remortification
</t>
    </r>
    <r>
      <rPr>
        <sz val="14"/>
        <color rgb="FF000000"/>
        <rFont val="宋体"/>
        <charset val="134"/>
      </rPr>
      <t>消耗：</t>
    </r>
    <r>
      <rPr>
        <sz val="14"/>
        <color rgb="FF000000"/>
        <rFont val="Resource Han Rounded CN Normal"/>
        <charset val="134"/>
      </rPr>
      <t>1D6+1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强迫已故之人的鬼魂（灵魂、精魄）出现。</t>
    </r>
    <r>
      <rPr>
        <sz val="14"/>
        <color rgb="FF000000"/>
        <rFont val="Resource Han Rounded CN Normal"/>
        <charset val="134"/>
      </rPr>
      <t xml:space="preserve">
</t>
    </r>
    <r>
      <rPr>
        <sz val="14"/>
        <color rgb="FF000000"/>
        <rFont val="宋体"/>
        <charset val="134"/>
      </rPr>
      <t>法术必须在故人的坟茔或死亡之地施放。灵魂会演出它死亡之前最后一段动作。此灵魂是非物质的，但（如果合适）能听到声音</t>
    </r>
    <r>
      <rPr>
        <sz val="14"/>
        <color rgb="FF000000"/>
        <rFont val="Resource Han Rounded CN Normal"/>
        <charset val="134"/>
      </rPr>
      <t>——</t>
    </r>
    <r>
      <rPr>
        <sz val="14"/>
        <color rgb="FF000000"/>
        <rFont val="宋体"/>
        <charset val="134"/>
      </rPr>
      <t>不过灵魂不能听到或感知到施法者；因此它不能回答问题。物体会直接穿过它。它不能在物理上伤害任何人或物，但看见它会损失理智值。</t>
    </r>
    <r>
      <rPr>
        <sz val="14"/>
        <color rgb="FF000000"/>
        <rFont val="Resource Han Rounded CN Normal"/>
        <charset val="134"/>
      </rPr>
      <t xml:space="preserve">
</t>
    </r>
    <r>
      <rPr>
        <sz val="14"/>
        <color rgb="FF000000"/>
        <rFont val="宋体"/>
        <charset val="134"/>
      </rPr>
      <t>别名：召唤死者的魂魄、目击临终的脉搏、召起已故者</t>
    </r>
  </si>
  <si>
    <t>CALL FISH</t>
  </si>
  <si>
    <t>召唤鱼群</t>
  </si>
  <si>
    <r>
      <rPr>
        <sz val="14"/>
        <color rgb="FF000000"/>
        <rFont val="宋体"/>
        <charset val="134"/>
      </rPr>
      <t>魚</t>
    </r>
    <r>
      <rPr>
        <sz val="14"/>
        <color rgb="FF000000"/>
        <rFont val="MS Gothic"/>
        <charset val="134"/>
      </rPr>
      <t>の</t>
    </r>
    <r>
      <rPr>
        <sz val="14"/>
        <color rgb="FF000000"/>
        <rFont val="宋体"/>
        <charset val="134"/>
      </rPr>
      <t>招来</t>
    </r>
  </si>
  <si>
    <t>同《诱鱼术》</t>
  </si>
  <si>
    <t>蛇臂术〔战〕</t>
  </si>
  <si>
    <r>
      <rPr>
        <sz val="14"/>
        <color rgb="FF000000"/>
        <rFont val="Resource Han Rounded CN Normal"/>
        <charset val="134"/>
      </rPr>
      <t>12</t>
    </r>
    <r>
      <rPr>
        <sz val="14"/>
        <color rgb="FF000000"/>
        <rFont val="宋体"/>
        <charset val="134"/>
      </rPr>
      <t>点魔法值；</t>
    </r>
    <r>
      <rPr>
        <sz val="14"/>
        <color rgb="FF000000"/>
        <rFont val="Resource Han Rounded CN Normal"/>
        <charset val="134"/>
      </rPr>
      <t>1D10</t>
    </r>
    <r>
      <rPr>
        <sz val="14"/>
        <color rgb="FF000000"/>
        <rFont val="宋体"/>
        <charset val="134"/>
      </rPr>
      <t>点理智值</t>
    </r>
  </si>
  <si>
    <t>蛇之手、伊格的祝福</t>
  </si>
  <si>
    <t>ATTRACT FISH</t>
  </si>
  <si>
    <t>诱鱼术</t>
  </si>
  <si>
    <r>
      <rPr>
        <sz val="14"/>
        <color rgb="FF000000"/>
        <rFont val="宋体"/>
        <charset val="134"/>
      </rPr>
      <t>魚</t>
    </r>
    <r>
      <rPr>
        <sz val="14"/>
        <color rgb="FF000000"/>
        <rFont val="MS Gothic"/>
        <charset val="134"/>
      </rPr>
      <t>を</t>
    </r>
    <r>
      <rPr>
        <sz val="14"/>
        <color rgb="FF000000"/>
        <rFont val="宋体"/>
        <charset val="134"/>
      </rPr>
      <t>引</t>
    </r>
    <r>
      <rPr>
        <sz val="14"/>
        <color rgb="FF000000"/>
        <rFont val="MS Gothic"/>
        <charset val="134"/>
      </rPr>
      <t>きつける</t>
    </r>
  </si>
  <si>
    <r>
      <rPr>
        <sz val="14"/>
        <color rgb="FF000000"/>
        <rFont val="宋体"/>
        <charset val="134"/>
      </rPr>
      <t>诱鱼术〔他〕</t>
    </r>
    <r>
      <rPr>
        <sz val="14"/>
        <color rgb="FF000000"/>
        <rFont val="Resource Han Rounded CN Normal"/>
        <charset val="134"/>
      </rPr>
      <t xml:space="preserve">
Attract Fish
</t>
    </r>
    <r>
      <rPr>
        <sz val="14"/>
        <color rgb="FF000000"/>
        <rFont val="宋体"/>
        <charset val="134"/>
      </rPr>
      <t>消耗：</t>
    </r>
    <r>
      <rPr>
        <sz val="14"/>
        <color rgb="FF000000"/>
        <rFont val="Resource Han Rounded CN Normal"/>
        <charset val="134"/>
      </rPr>
      <t>4</t>
    </r>
    <r>
      <rPr>
        <sz val="14"/>
        <color rgb="FF000000"/>
        <rFont val="宋体"/>
        <charset val="134"/>
      </rPr>
      <t>点魔法值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分钟</t>
    </r>
    <r>
      <rPr>
        <sz val="14"/>
        <color rgb="FF000000"/>
        <rFont val="Resource Han Rounded CN Normal"/>
        <charset val="134"/>
      </rPr>
      <t xml:space="preserve">
</t>
    </r>
    <r>
      <rPr>
        <sz val="14"/>
        <color rgb="FF000000"/>
        <rFont val="宋体"/>
        <charset val="134"/>
      </rPr>
      <t>召唤鱼类聚集到施法者的位置。施法者必须准备鱼饵（掺入施法者的血液），并将它投入大海（或者开放水域），同时吟唱咒语。</t>
    </r>
    <r>
      <rPr>
        <sz val="14"/>
        <color rgb="FF000000"/>
        <rFont val="Resource Han Rounded CN Normal"/>
        <charset val="134"/>
      </rPr>
      <t>1</t>
    </r>
    <r>
      <rPr>
        <sz val="14"/>
        <color rgb="FF000000"/>
        <rFont val="宋体"/>
        <charset val="134"/>
      </rPr>
      <t>小时之内，将有</t>
    </r>
    <r>
      <rPr>
        <sz val="14"/>
        <color rgb="FF000000"/>
        <rFont val="Resource Han Rounded CN Normal"/>
        <charset val="134"/>
      </rPr>
      <t>1D100</t>
    </r>
    <r>
      <rPr>
        <sz val="14"/>
        <color rgb="FF000000"/>
        <rFont val="宋体"/>
        <charset val="134"/>
      </rPr>
      <t>条本地鱼种的鱼聚集过来。</t>
    </r>
    <r>
      <rPr>
        <sz val="14"/>
        <color rgb="FF000000"/>
        <rFont val="Resource Han Rounded CN Normal"/>
        <charset val="134"/>
      </rPr>
      <t xml:space="preserve">
</t>
    </r>
    <r>
      <rPr>
        <sz val="14"/>
        <color rgb="FF000000"/>
        <rFont val="宋体"/>
        <charset val="134"/>
      </rPr>
      <t>深层魔法：深潜者知道本法术的一个变体，会把它传授给他们觉得值得关注的人。此变体不需要血饵，但需要一枚深潜者制造的护身符，把它扔进海里，同时吟唱达贡的颂歌。有些人说护身符不只会吸引鱼类，还会吸引到一些不那么安全的东西。</t>
    </r>
    <r>
      <rPr>
        <sz val="14"/>
        <color rgb="FF000000"/>
        <rFont val="Resource Han Rounded CN Normal"/>
        <charset val="134"/>
      </rPr>
      <t xml:space="preserve">
</t>
    </r>
    <r>
      <rPr>
        <sz val="14"/>
        <color rgb="FF000000"/>
        <rFont val="宋体"/>
        <charset val="134"/>
      </rPr>
      <t>别名：集取大海的丰饶</t>
    </r>
  </si>
  <si>
    <t>戈尔戈罗斯形体扭曲术〔变〕</t>
  </si>
  <si>
    <r>
      <rPr>
        <sz val="14"/>
        <color rgb="FF000000"/>
        <rFont val="Resource Han Rounded CN Normal"/>
        <charset val="134"/>
      </rPr>
      <t>6+</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2D6</t>
    </r>
    <r>
      <rPr>
        <sz val="14"/>
        <color rgb="FF000000"/>
        <rFont val="宋体"/>
        <charset val="134"/>
      </rPr>
      <t>点理智值</t>
    </r>
  </si>
  <si>
    <r>
      <rPr>
        <sz val="14"/>
        <color rgb="FF000000"/>
        <rFont val="Resource Han Rounded CN Normal"/>
        <charset val="134"/>
      </rPr>
      <t>1D6+4</t>
    </r>
    <r>
      <rPr>
        <sz val="14"/>
        <color rgb="FF000000"/>
        <rFont val="宋体"/>
        <charset val="134"/>
      </rPr>
      <t>分钟</t>
    </r>
  </si>
  <si>
    <t>形体扭曲术、血肉大师、行走的画皮、黑法老之触</t>
  </si>
  <si>
    <t>WANDERING SOUL</t>
  </si>
  <si>
    <t>灵魂漫游术</t>
  </si>
  <si>
    <r>
      <rPr>
        <sz val="14"/>
        <color rgb="FF000000"/>
        <rFont val="MS Gothic"/>
        <charset val="134"/>
      </rPr>
      <t>さまよう</t>
    </r>
    <r>
      <rPr>
        <sz val="14"/>
        <color rgb="FF000000"/>
        <rFont val="宋体"/>
        <charset val="134"/>
      </rPr>
      <t>魂</t>
    </r>
  </si>
  <si>
    <r>
      <rPr>
        <sz val="14"/>
        <color rgb="FF000000"/>
        <rFont val="宋体"/>
        <charset val="134"/>
      </rPr>
      <t>灵魂漫游术〔他〕</t>
    </r>
    <r>
      <rPr>
        <sz val="14"/>
        <color rgb="FF000000"/>
        <rFont val="Resource Han Rounded CN Normal"/>
        <charset val="134"/>
      </rPr>
      <t xml:space="preserve">
Wandering Soul
</t>
    </r>
    <r>
      <rPr>
        <sz val="14"/>
        <color rgb="FF000000"/>
        <rFont val="宋体"/>
        <charset val="134"/>
      </rPr>
      <t>消耗：可变的魔法值；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分钟</t>
    </r>
    <r>
      <rPr>
        <sz val="14"/>
        <color rgb="FF000000"/>
        <rFont val="Resource Han Rounded CN Normal"/>
        <charset val="134"/>
      </rPr>
      <t xml:space="preserve">
</t>
    </r>
    <r>
      <rPr>
        <sz val="14"/>
        <color rgb="FF000000"/>
        <rFont val="宋体"/>
        <charset val="134"/>
      </rPr>
      <t>可以让施法者送出自己的意识（灵魂之眼、灵魂、精魄），在他们睡眠或冥想的时候观察某个地点。施法者因此可以预知敌人或者看到远处的东西。通常需要消耗一剂特制的饮剂，虽然有些巫师靠冥想来进入意识离开身体行动所需的状态。</t>
    </r>
    <r>
      <rPr>
        <sz val="14"/>
        <color rgb="FF000000"/>
        <rFont val="Resource Han Rounded CN Normal"/>
        <charset val="134"/>
      </rPr>
      <t xml:space="preserve">
</t>
    </r>
    <r>
      <rPr>
        <sz val="14"/>
        <color rgb="FF000000"/>
        <rFont val="宋体"/>
        <charset val="134"/>
      </rPr>
      <t>梦境一般的幻象显示出易于观察的信息。施法者的意识无论如何不能和看到的东西进行互动</t>
    </r>
    <r>
      <rPr>
        <sz val="14"/>
        <color rgb="FF000000"/>
        <rFont val="Resource Han Rounded CN Normal"/>
        <charset val="134"/>
      </rPr>
      <t>——</t>
    </r>
    <r>
      <rPr>
        <sz val="14"/>
        <color rgb="FF000000"/>
        <rFont val="宋体"/>
        <charset val="134"/>
      </rPr>
      <t>它不能打开盒子和书本等等。施法者必须知道他们想要观察的地点，或者至少知道大概的位置。施法者在</t>
    </r>
    <r>
      <rPr>
        <sz val="14"/>
        <color rgb="FF000000"/>
        <rFont val="Resource Han Rounded CN Normal"/>
        <charset val="134"/>
      </rPr>
      <t>2D6</t>
    </r>
    <r>
      <rPr>
        <sz val="14"/>
        <color rgb="FF000000"/>
        <rFont val="宋体"/>
        <charset val="134"/>
      </rPr>
      <t>小时后感觉精疲力尽地醒来，消耗魔法值到仅剩</t>
    </r>
    <r>
      <rPr>
        <sz val="14"/>
        <color rgb="FF000000"/>
        <rFont val="Resource Han Rounded CN Normal"/>
        <charset val="134"/>
      </rPr>
      <t>1</t>
    </r>
    <r>
      <rPr>
        <sz val="14"/>
        <color rgb="FF000000"/>
        <rFont val="宋体"/>
        <charset val="134"/>
      </rPr>
      <t>点。</t>
    </r>
    <r>
      <rPr>
        <sz val="14"/>
        <color rgb="FF000000"/>
        <rFont val="Resource Han Rounded CN Normal"/>
        <charset val="134"/>
      </rPr>
      <t xml:space="preserve">
</t>
    </r>
    <r>
      <rPr>
        <sz val="14"/>
        <color rgb="FF000000"/>
        <rFont val="宋体"/>
        <charset val="134"/>
      </rPr>
      <t>在法术生效期间，拥有</t>
    </r>
    <r>
      <rPr>
        <sz val="14"/>
        <color rgb="FF000000"/>
        <rFont val="Resource Han Rounded CN Normal"/>
        <charset val="134"/>
      </rPr>
      <t>100</t>
    </r>
    <r>
      <rPr>
        <sz val="14"/>
        <color rgb="FF000000"/>
        <rFont val="宋体"/>
        <charset val="134"/>
      </rPr>
      <t>点以上</t>
    </r>
    <r>
      <rPr>
        <sz val="14"/>
        <color rgb="FF000000"/>
        <rFont val="Resource Han Rounded CN Normal"/>
        <charset val="134"/>
      </rPr>
      <t>POW</t>
    </r>
    <r>
      <rPr>
        <sz val="14"/>
        <color rgb="FF000000"/>
        <rFont val="宋体"/>
        <charset val="134"/>
      </rPr>
      <t>的存在可以看见并认出观察的意识（意识拥有施法者的外貌且无法伪装），有</t>
    </r>
    <r>
      <rPr>
        <sz val="14"/>
        <color rgb="FF000000"/>
        <rFont val="Resource Han Rounded CN Normal"/>
        <charset val="134"/>
      </rPr>
      <t>75</t>
    </r>
    <r>
      <rPr>
        <sz val="14"/>
        <color rgb="FF000000"/>
        <rFont val="宋体"/>
        <charset val="134"/>
      </rPr>
      <t>点</t>
    </r>
    <r>
      <rPr>
        <sz val="14"/>
        <color rgb="FF000000"/>
        <rFont val="Resource Han Rounded CN Normal"/>
        <charset val="134"/>
      </rPr>
      <t>POW</t>
    </r>
    <r>
      <rPr>
        <sz val="14"/>
        <color rgb="FF000000"/>
        <rFont val="宋体"/>
        <charset val="134"/>
      </rPr>
      <t>以上的人会感到不安和被监视。</t>
    </r>
    <r>
      <rPr>
        <sz val="14"/>
        <color rgb="FF000000"/>
        <rFont val="Resource Han Rounded CN Normal"/>
        <charset val="134"/>
      </rPr>
      <t xml:space="preserve">
</t>
    </r>
    <r>
      <rPr>
        <sz val="14"/>
        <color rgb="FF000000"/>
        <rFont val="宋体"/>
        <charset val="134"/>
      </rPr>
      <t>别名：魂眼旅行术、通向彼方之旅、远侦汝之敌及物</t>
    </r>
  </si>
  <si>
    <t>遗恨术〔驱、他〕</t>
  </si>
  <si>
    <r>
      <rPr>
        <sz val="14"/>
        <color rgb="FF000000"/>
        <rFont val="Resource Han Rounded CN Normal"/>
        <charset val="134"/>
      </rPr>
      <t>1D6+1</t>
    </r>
    <r>
      <rPr>
        <sz val="14"/>
        <color rgb="FF000000"/>
        <rFont val="宋体"/>
        <charset val="134"/>
      </rPr>
      <t>点理智值</t>
    </r>
  </si>
  <si>
    <t>召唤死者的魂魄、目击临终的脉搏、召起已故者</t>
  </si>
  <si>
    <t>COMMAND SHARK/PORPOISE</t>
  </si>
  <si>
    <r>
      <rPr>
        <sz val="14"/>
        <color rgb="FF000000"/>
        <rFont val="宋体"/>
        <charset val="134"/>
      </rPr>
      <t>召令鲨鱼</t>
    </r>
    <r>
      <rPr>
        <sz val="14"/>
        <color rgb="FF000000"/>
        <rFont val="Resource Han Rounded CN Normal"/>
        <charset val="134"/>
      </rPr>
      <t>/</t>
    </r>
    <r>
      <rPr>
        <sz val="14"/>
        <color rgb="FF000000"/>
        <rFont val="宋体"/>
        <charset val="134"/>
      </rPr>
      <t>海豚</t>
    </r>
  </si>
  <si>
    <r>
      <rPr>
        <sz val="14"/>
        <color rgb="FF000000"/>
        <rFont val="MS Gothic"/>
        <charset val="134"/>
      </rPr>
      <t>サメ</t>
    </r>
    <r>
      <rPr>
        <sz val="14"/>
        <color rgb="FF000000"/>
        <rFont val="宋体"/>
        <charset val="134"/>
      </rPr>
      <t>／</t>
    </r>
    <r>
      <rPr>
        <sz val="14"/>
        <color rgb="FF000000"/>
        <rFont val="MS Gothic"/>
        <charset val="134"/>
      </rPr>
      <t>イルカに</t>
    </r>
    <r>
      <rPr>
        <sz val="14"/>
        <color rgb="FF000000"/>
        <rFont val="宋体"/>
        <charset val="134"/>
      </rPr>
      <t>命令</t>
    </r>
    <r>
      <rPr>
        <sz val="14"/>
        <color rgb="FF000000"/>
        <rFont val="MS Gothic"/>
        <charset val="134"/>
      </rPr>
      <t>す</t>
    </r>
  </si>
  <si>
    <r>
      <rPr>
        <sz val="14"/>
        <color rgb="FF000000"/>
        <rFont val="宋体"/>
        <charset val="134"/>
      </rPr>
      <t>召令鲨鱼</t>
    </r>
    <r>
      <rPr>
        <sz val="14"/>
        <color rgb="FF000000"/>
        <rFont val="Resource Han Rounded CN Normal"/>
        <charset val="134"/>
      </rPr>
      <t>/</t>
    </r>
    <r>
      <rPr>
        <sz val="14"/>
        <color rgb="FF000000"/>
        <rFont val="宋体"/>
        <charset val="134"/>
      </rPr>
      <t>海豚</t>
    </r>
    <r>
      <rPr>
        <sz val="14"/>
        <color rgb="FF000000"/>
        <rFont val="Resource Han Rounded CN Normal"/>
        <charset val="134"/>
      </rPr>
      <t xml:space="preserve">
Command Shark/Porpoise
</t>
    </r>
    <r>
      <rPr>
        <sz val="14"/>
        <color rgb="FF000000"/>
        <rFont val="宋体"/>
        <charset val="134"/>
      </rPr>
      <t>这道咒文用于把人献祭给海神，最初起源于南太平洋。施法者须支付</t>
    </r>
    <r>
      <rPr>
        <sz val="14"/>
        <color rgb="FF000000"/>
        <rFont val="Resource Han Rounded CN Normal"/>
        <charset val="134"/>
      </rPr>
      <t>1</t>
    </r>
    <r>
      <rPr>
        <sz val="14"/>
        <color rgb="FF000000"/>
        <rFont val="宋体"/>
        <charset val="134"/>
      </rPr>
      <t>点魔法值，每追加</t>
    </r>
    <r>
      <rPr>
        <sz val="14"/>
        <color rgb="FF000000"/>
        <rFont val="Resource Han Rounded CN Normal"/>
        <charset val="134"/>
      </rPr>
      <t>1</t>
    </r>
    <r>
      <rPr>
        <sz val="14"/>
        <color rgb="FF000000"/>
        <rFont val="宋体"/>
        <charset val="134"/>
      </rPr>
      <t>点魔法值，成功率增加</t>
    </r>
    <r>
      <rPr>
        <sz val="14"/>
        <color rgb="FF000000"/>
        <rFont val="Resource Han Rounded CN Normal"/>
        <charset val="134"/>
      </rPr>
      <t>10%</t>
    </r>
    <r>
      <rPr>
        <sz val="14"/>
        <color rgb="FF000000"/>
        <rFont val="宋体"/>
        <charset val="134"/>
      </rPr>
      <t>。咒文必须在海上施放，要呼唤鲨鱼就将少量血液滴入海中，要呼晚海豚就将一些小活鱼投入海中。被唤来的生物会遵从施法者大声喊出的命令。若幸运检定成功，会有两只生物一起到来，但施法者无法控制第二只生物。</t>
    </r>
  </si>
  <si>
    <t>诱鱼术〔他〕</t>
  </si>
  <si>
    <r>
      <rPr>
        <sz val="14"/>
        <color rgb="FF000000"/>
        <rFont val="Resource Han Rounded CN Normal"/>
        <charset val="134"/>
      </rPr>
      <t>4</t>
    </r>
    <r>
      <rPr>
        <sz val="14"/>
        <color rgb="FF000000"/>
        <rFont val="宋体"/>
        <charset val="134"/>
      </rPr>
      <t>点魔法值</t>
    </r>
  </si>
  <si>
    <r>
      <rPr>
        <sz val="14"/>
        <color rgb="FF000000"/>
        <rFont val="Resource Han Rounded CN Normal"/>
        <charset val="134"/>
      </rPr>
      <t>5</t>
    </r>
    <r>
      <rPr>
        <sz val="14"/>
        <color rgb="FF000000"/>
        <rFont val="宋体"/>
        <charset val="134"/>
      </rPr>
      <t>分钟</t>
    </r>
  </si>
  <si>
    <t>同《诱鱼术》集取大海的丰饶</t>
  </si>
  <si>
    <t>CAUSE/CURE BLINDNESS</t>
  </si>
  <si>
    <r>
      <rPr>
        <sz val="14"/>
        <color rgb="FF000000"/>
        <rFont val="宋体"/>
        <charset val="134"/>
      </rPr>
      <t>致盲术</t>
    </r>
    <r>
      <rPr>
        <sz val="14"/>
        <color rgb="FF000000"/>
        <rFont val="Resource Han Rounded CN Normal"/>
        <charset val="134"/>
      </rPr>
      <t>/</t>
    </r>
    <r>
      <rPr>
        <sz val="14"/>
        <color rgb="FF000000"/>
        <rFont val="宋体"/>
        <charset val="134"/>
      </rPr>
      <t>治盲术</t>
    </r>
  </si>
  <si>
    <r>
      <rPr>
        <sz val="14"/>
        <color rgb="FF000000"/>
        <rFont val="宋体"/>
        <charset val="134"/>
      </rPr>
      <t>視覚</t>
    </r>
    <r>
      <rPr>
        <sz val="14"/>
        <color rgb="FF000000"/>
        <rFont val="MS Gothic"/>
        <charset val="134"/>
      </rPr>
      <t>を</t>
    </r>
    <r>
      <rPr>
        <sz val="14"/>
        <color rgb="FF000000"/>
        <rFont val="宋体"/>
        <charset val="134"/>
      </rPr>
      <t>奪</t>
    </r>
    <r>
      <rPr>
        <sz val="14"/>
        <color rgb="FF000000"/>
        <rFont val="MS Gothic"/>
        <charset val="134"/>
      </rPr>
      <t>う</t>
    </r>
    <r>
      <rPr>
        <sz val="14"/>
        <color rgb="FF000000"/>
        <rFont val="宋体"/>
        <charset val="134"/>
      </rPr>
      <t>／視覚</t>
    </r>
    <r>
      <rPr>
        <sz val="14"/>
        <color rgb="FF000000"/>
        <rFont val="MS Gothic"/>
        <charset val="134"/>
      </rPr>
      <t>を</t>
    </r>
    <r>
      <rPr>
        <sz val="14"/>
        <color rgb="FF000000"/>
        <rFont val="宋体"/>
        <charset val="134"/>
      </rPr>
      <t>回復</t>
    </r>
    <r>
      <rPr>
        <sz val="14"/>
        <color rgb="FF000000"/>
        <rFont val="MS Gothic"/>
        <charset val="134"/>
      </rPr>
      <t>させる</t>
    </r>
  </si>
  <si>
    <r>
      <rPr>
        <sz val="14"/>
        <color rgb="FF000000"/>
        <rFont val="宋体"/>
        <charset val="134"/>
      </rPr>
      <t>致盲术</t>
    </r>
    <r>
      <rPr>
        <sz val="14"/>
        <color rgb="FF000000"/>
        <rFont val="Resource Han Rounded CN Normal"/>
        <charset val="134"/>
      </rPr>
      <t>/</t>
    </r>
    <r>
      <rPr>
        <sz val="14"/>
        <color rgb="FF000000"/>
        <rFont val="宋体"/>
        <charset val="134"/>
      </rPr>
      <t>治盲术〔害〕</t>
    </r>
    <r>
      <rPr>
        <sz val="14"/>
        <color rgb="FF000000"/>
        <rFont val="Resource Han Rounded CN Normal"/>
        <charset val="134"/>
      </rPr>
      <t xml:space="preserve">
Cause/Cure Blindness
</t>
    </r>
    <r>
      <rPr>
        <sz val="14"/>
        <color rgb="FF000000"/>
        <rFont val="宋体"/>
        <charset val="134"/>
      </rPr>
      <t>消耗：</t>
    </r>
    <r>
      <rPr>
        <sz val="14"/>
        <color rgb="FF000000"/>
        <rFont val="Resource Han Rounded CN Normal"/>
        <charset val="134"/>
      </rPr>
      <t>8</t>
    </r>
    <r>
      <rPr>
        <sz val="14"/>
        <color rgb="FF000000"/>
        <rFont val="宋体"/>
        <charset val="134"/>
      </rPr>
      <t>点魔法值（致盲术额外消耗</t>
    </r>
    <r>
      <rPr>
        <sz val="14"/>
        <color rgb="FF000000"/>
        <rFont val="Resource Han Rounded CN Normal"/>
        <charset val="134"/>
      </rPr>
      <t>2D6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天</t>
    </r>
    <r>
      <rPr>
        <sz val="14"/>
        <color rgb="FF000000"/>
        <rFont val="Resource Han Rounded CN Normal"/>
        <charset val="134"/>
      </rPr>
      <t xml:space="preserve">
</t>
    </r>
    <r>
      <rPr>
        <sz val="14"/>
        <color rgb="FF000000"/>
        <rFont val="宋体"/>
        <charset val="134"/>
      </rPr>
      <t>目标完全且永久失明，好像中风了一样。如</t>
    </r>
    <r>
      <rPr>
        <sz val="14"/>
        <color rgb="FF000000"/>
        <rFont val="Resource Han Rounded CN Normal"/>
        <charset val="134"/>
      </rPr>
      <t xml:space="preserve">
</t>
    </r>
    <r>
      <rPr>
        <sz val="14"/>
        <color rgb="FF000000"/>
        <rFont val="宋体"/>
        <charset val="134"/>
      </rPr>
      <t>果眼睛和视神经的功能没有受损，同样的法术也可以用解除目盲。施放法术需要进行</t>
    </r>
    <r>
      <rPr>
        <sz val="14"/>
        <color rgb="FF000000"/>
        <rFont val="Resource Han Rounded CN Normal"/>
        <charset val="134"/>
      </rPr>
      <t>1</t>
    </r>
    <r>
      <rPr>
        <sz val="14"/>
        <color rgb="FF000000"/>
        <rFont val="宋体"/>
        <charset val="134"/>
      </rPr>
      <t>天的仪式。施法者须和目标进行一次</t>
    </r>
    <r>
      <rPr>
        <sz val="14"/>
        <color rgb="FF000000"/>
        <rFont val="Resource Han Rounded CN Normal"/>
        <charset val="134"/>
      </rPr>
      <t>POW</t>
    </r>
    <r>
      <rPr>
        <sz val="14"/>
        <color rgb="FF000000"/>
        <rFont val="宋体"/>
        <charset val="134"/>
      </rPr>
      <t>对抗检定并胜出，法术才能生效（若目标自愿则自动成功）。</t>
    </r>
    <r>
      <rPr>
        <sz val="14"/>
        <color rgb="FF000000"/>
        <rFont val="Resource Han Rounded CN Normal"/>
        <charset val="134"/>
      </rPr>
      <t xml:space="preserve">
</t>
    </r>
    <r>
      <rPr>
        <sz val="14"/>
        <color rgb="FF000000"/>
        <rFont val="宋体"/>
        <charset val="134"/>
      </rPr>
      <t>别名：目盲术、视觉授予、黑暗之影、法老的诅咒</t>
    </r>
  </si>
  <si>
    <t>集取大海的丰饶</t>
  </si>
  <si>
    <t>CREATE GATE</t>
  </si>
  <si>
    <t>时空门创建术</t>
  </si>
  <si>
    <r>
      <rPr>
        <sz val="14"/>
        <color rgb="FF000000"/>
        <rFont val="宋体"/>
        <charset val="134"/>
      </rPr>
      <t>時空門</t>
    </r>
    <r>
      <rPr>
        <sz val="14"/>
        <color rgb="FF000000"/>
        <rFont val="MS Gothic"/>
        <charset val="134"/>
      </rPr>
      <t>の</t>
    </r>
    <r>
      <rPr>
        <sz val="14"/>
        <color rgb="FF000000"/>
        <rFont val="宋体"/>
        <charset val="134"/>
      </rPr>
      <t>創造</t>
    </r>
  </si>
  <si>
    <r>
      <rPr>
        <sz val="14"/>
        <color rgb="FF000000"/>
        <rFont val="宋体"/>
        <charset val="134"/>
      </rPr>
      <t>时空门（空间门）〔旅〕</t>
    </r>
    <r>
      <rPr>
        <sz val="14"/>
        <color rgb="FF000000"/>
        <rFont val="Resource Han Rounded CN Normal"/>
        <charset val="134"/>
      </rPr>
      <t xml:space="preserve">
Gate
</t>
    </r>
    <r>
      <rPr>
        <sz val="14"/>
        <color rgb="FF000000"/>
        <rFont val="宋体"/>
        <charset val="134"/>
      </rPr>
      <t>消耗：可变的</t>
    </r>
    <r>
      <rPr>
        <sz val="14"/>
        <color rgb="FF000000"/>
        <rFont val="Resource Han Rounded CN Normal"/>
        <charset val="134"/>
      </rPr>
      <t xml:space="preserve">POW
</t>
    </r>
    <r>
      <rPr>
        <sz val="14"/>
        <color rgb="FF000000"/>
        <rFont val="宋体"/>
        <charset val="134"/>
      </rPr>
      <t>施法用时：消耗的每点</t>
    </r>
    <r>
      <rPr>
        <sz val="14"/>
        <color rgb="FF000000"/>
        <rFont val="Resource Han Rounded CN Normal"/>
        <charset val="134"/>
      </rPr>
      <t>POW</t>
    </r>
    <r>
      <rPr>
        <sz val="14"/>
        <color rgb="FF000000"/>
        <rFont val="宋体"/>
        <charset val="134"/>
      </rPr>
      <t>一小时</t>
    </r>
    <r>
      <rPr>
        <sz val="14"/>
        <color rgb="FF000000"/>
        <rFont val="Resource Han Rounded CN Normal"/>
        <charset val="134"/>
      </rPr>
      <t xml:space="preserve">
</t>
    </r>
    <r>
      <rPr>
        <sz val="14"/>
        <color rgb="FF000000"/>
        <rFont val="宋体"/>
        <charset val="134"/>
      </rPr>
      <t>通过时空门的消耗：可变的魔法值和</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时空门法术允许施法者在不同的时代、维度甚至世界之间打开途径</t>
    </r>
    <r>
      <rPr>
        <sz val="14"/>
        <color rgb="FF000000"/>
        <rFont val="Resource Han Rounded CN Normal"/>
        <charset val="134"/>
      </rPr>
      <t>——</t>
    </r>
    <r>
      <rPr>
        <sz val="14"/>
        <color rgb="FF000000"/>
        <rFont val="宋体"/>
        <charset val="134"/>
      </rPr>
      <t>能够让使用者只需一小步，就旅行极远的距离。时空门通常只连接一个地点。</t>
    </r>
    <r>
      <rPr>
        <sz val="14"/>
        <color rgb="FF000000"/>
        <rFont val="Resource Han Rounded CN Normal"/>
        <charset val="134"/>
      </rPr>
      <t xml:space="preserve">
</t>
    </r>
    <r>
      <rPr>
        <sz val="14"/>
        <color rgb="FF000000"/>
        <rFont val="宋体"/>
        <charset val="134"/>
      </rPr>
      <t>创造时空门需要永久的</t>
    </r>
    <r>
      <rPr>
        <sz val="14"/>
        <color rgb="FF000000"/>
        <rFont val="Resource Han Rounded CN Normal"/>
        <charset val="134"/>
      </rPr>
      <t>POW</t>
    </r>
    <r>
      <rPr>
        <sz val="14"/>
        <color rgb="FF000000"/>
        <rFont val="宋体"/>
        <charset val="134"/>
      </rPr>
      <t>消耗，牺牲的</t>
    </r>
    <r>
      <rPr>
        <sz val="14"/>
        <color rgb="FF000000"/>
        <rFont val="Resource Han Rounded CN Normal"/>
        <charset val="134"/>
      </rPr>
      <t>POW</t>
    </r>
    <r>
      <rPr>
        <sz val="14"/>
        <color rgb="FF000000"/>
        <rFont val="宋体"/>
        <charset val="134"/>
      </rPr>
      <t>值等于时空门连接距离英里数乘以五，再取常用对数得到的值（参考表</t>
    </r>
    <r>
      <rPr>
        <sz val="14"/>
        <color rgb="FF000000"/>
        <rFont val="Resource Han Rounded CN Normal"/>
        <charset val="134"/>
      </rPr>
      <t>4-7</t>
    </r>
    <r>
      <rPr>
        <sz val="14"/>
        <color rgb="FF000000"/>
        <rFont val="宋体"/>
        <charset val="134"/>
      </rPr>
      <t>：时空门创建及旅行消耗，和</t>
    </r>
    <r>
      <rPr>
        <sz val="14"/>
        <color rgb="FF000000"/>
        <rFont val="Resource Han Rounded CN Normal"/>
        <charset val="134"/>
      </rPr>
      <t>4-8</t>
    </r>
    <r>
      <rPr>
        <sz val="14"/>
        <color rgb="FF000000"/>
        <rFont val="宋体"/>
        <charset val="134"/>
      </rPr>
      <t>：时空门位置和距离，</t>
    </r>
    <r>
      <rPr>
        <sz val="14"/>
        <color rgb="FF000000"/>
        <rFont val="Resource Han Rounded CN Normal"/>
        <charset val="134"/>
      </rPr>
      <t>P122~123</t>
    </r>
    <r>
      <rPr>
        <sz val="14"/>
        <color rgb="FF000000"/>
        <rFont val="宋体"/>
        <charset val="134"/>
      </rPr>
      <t>）。时空门可以有很多种形式，常见的标记方法有地面或墙面画线组成的图案，田野中特殊排列的石头等。用来</t>
    </r>
    <r>
      <rPr>
        <sz val="14"/>
        <color rgb="FF000000"/>
        <rFont val="Resource Han Rounded CN Normal"/>
        <charset val="134"/>
      </rPr>
      <t>“</t>
    </r>
    <r>
      <rPr>
        <sz val="14"/>
        <color rgb="FF000000"/>
        <rFont val="宋体"/>
        <charset val="134"/>
      </rPr>
      <t>绘制</t>
    </r>
    <r>
      <rPr>
        <sz val="14"/>
        <color rgb="FF000000"/>
        <rFont val="Resource Han Rounded CN Normal"/>
        <charset val="134"/>
      </rPr>
      <t>”</t>
    </r>
    <r>
      <rPr>
        <sz val="14"/>
        <color rgb="FF000000"/>
        <rFont val="宋体"/>
        <charset val="134"/>
      </rPr>
      <t>时空门的咒印材质也有很多种：粉笔、颜料、血液、雕刻等等。</t>
    </r>
    <r>
      <rPr>
        <sz val="14"/>
        <color rgb="FF000000"/>
        <rFont val="Resource Han Rounded CN Normal"/>
        <charset val="134"/>
      </rPr>
      <t xml:space="preserve">
</t>
    </r>
    <r>
      <rPr>
        <sz val="14"/>
        <color rgb="FF000000"/>
        <rFont val="宋体"/>
        <charset val="134"/>
      </rPr>
      <t>使用时空门要消耗魔法值，数量等于创建时空门时消耗</t>
    </r>
    <r>
      <rPr>
        <sz val="14"/>
        <color rgb="FF000000"/>
        <rFont val="Resource Han Rounded CN Normal"/>
        <charset val="134"/>
      </rPr>
      <t>POW</t>
    </r>
    <r>
      <rPr>
        <sz val="14"/>
        <color rgb="FF000000"/>
        <rFont val="宋体"/>
        <charset val="134"/>
      </rPr>
      <t>的五分之一。每通过时空门旅行一次，损失</t>
    </r>
    <r>
      <rPr>
        <sz val="14"/>
        <color rgb="FF000000"/>
        <rFont val="Resource Han Rounded CN Normal"/>
        <charset val="134"/>
      </rPr>
      <t>1</t>
    </r>
    <r>
      <rPr>
        <sz val="14"/>
        <color rgb="FF000000"/>
        <rFont val="宋体"/>
        <charset val="134"/>
      </rPr>
      <t>点理智值。如果使用者旅行时魔法值不足，要消耗耐久值来补足。使用时空门回程和去程的消耗相同。</t>
    </r>
    <r>
      <rPr>
        <sz val="14"/>
        <color rgb="FF000000"/>
        <rFont val="Resource Han Rounded CN Normal"/>
        <charset val="134"/>
      </rPr>
      <t xml:space="preserve">
</t>
    </r>
    <r>
      <rPr>
        <sz val="14"/>
        <color rgb="FF000000"/>
        <rFont val="宋体"/>
        <charset val="134"/>
      </rPr>
      <t>一般来说所有东西都能穿过时空门，但也有些门创建得特别，必须要特定的口令</t>
    </r>
    <r>
      <rPr>
        <sz val="14"/>
        <color rgb="FF000000"/>
        <rFont val="Resource Han Rounded CN Normal"/>
        <charset val="134"/>
      </rPr>
      <t>——</t>
    </r>
    <r>
      <rPr>
        <sz val="14"/>
        <color rgb="FF000000"/>
        <rFont val="宋体"/>
        <charset val="134"/>
      </rPr>
      <t>词语或手势</t>
    </r>
    <r>
      <rPr>
        <sz val="14"/>
        <color rgb="FF000000"/>
        <rFont val="Resource Han Rounded CN Normal"/>
        <charset val="134"/>
      </rPr>
      <t>——</t>
    </r>
    <r>
      <rPr>
        <sz val="14"/>
        <color rgb="FF000000"/>
        <rFont val="宋体"/>
        <charset val="134"/>
      </rPr>
      <t>才能激活它。已知本法术的某些版本还会</t>
    </r>
    <r>
      <rPr>
        <sz val="14"/>
        <color rgb="FF000000"/>
        <rFont val="Resource Han Rounded CN Normal"/>
        <charset val="134"/>
      </rPr>
      <t>“</t>
    </r>
    <r>
      <rPr>
        <sz val="14"/>
        <color rgb="FF000000"/>
        <rFont val="宋体"/>
        <charset val="134"/>
      </rPr>
      <t>改变</t>
    </r>
    <r>
      <rPr>
        <sz val="14"/>
        <color rgb="FF000000"/>
        <rFont val="Resource Han Rounded CN Normal"/>
        <charset val="134"/>
      </rPr>
      <t>”</t>
    </r>
    <r>
      <rPr>
        <sz val="14"/>
        <color rgb="FF000000"/>
        <rFont val="宋体"/>
        <charset val="134"/>
      </rPr>
      <t>通过时空门的东西，来保证他们在异界的生存。还有些线索显示有些时空门有不止一个目的地。</t>
    </r>
    <r>
      <rPr>
        <sz val="14"/>
        <color rgb="FF000000"/>
        <rFont val="Resource Han Rounded CN Normal"/>
        <charset val="134"/>
      </rPr>
      <t xml:space="preserve">
</t>
    </r>
    <r>
      <rPr>
        <sz val="14"/>
        <color rgb="FF000000"/>
        <rFont val="宋体"/>
        <charset val="134"/>
      </rPr>
      <t>备注：参考</t>
    </r>
    <r>
      <rPr>
        <sz val="14"/>
        <color rgb="FF000000"/>
        <rFont val="Resource Han Rounded CN Normal"/>
        <charset val="134"/>
      </rPr>
      <t>“</t>
    </r>
    <r>
      <rPr>
        <sz val="14"/>
        <color rgb="FF000000"/>
        <rFont val="宋体"/>
        <charset val="134"/>
      </rPr>
      <t>时光门</t>
    </r>
    <r>
      <rPr>
        <sz val="14"/>
        <color rgb="FF000000"/>
        <rFont val="Resource Han Rounded CN Normal"/>
        <charset val="134"/>
      </rPr>
      <t>”(P179)</t>
    </r>
    <r>
      <rPr>
        <sz val="14"/>
        <color rgb="FF000000"/>
        <rFont val="宋体"/>
        <charset val="134"/>
      </rPr>
      <t>。</t>
    </r>
    <r>
      <rPr>
        <sz val="14"/>
        <color rgb="FF000000"/>
        <rFont val="Resource Han Rounded CN Normal"/>
        <charset val="134"/>
      </rPr>
      <t xml:space="preserve">
</t>
    </r>
    <r>
      <rPr>
        <sz val="14"/>
        <color rgb="FF000000"/>
        <rFont val="宋体"/>
        <charset val="134"/>
      </rPr>
      <t>深层魔法：施法者可能选择在旅途之前花费必要的魔法值，为使用时空门旅行做好准备。时空门准备好后，下一个进入这道门的人不需要支付魔法值，但仍需要损失</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别名：神秘大门创建术、视力仪式、（望见）通向他处之门、万千旅途之门、时空拱门、通向遥远过去和未见之景的大门、巫师的陷阱</t>
    </r>
  </si>
  <si>
    <t>灵魂漫游术〔他〕</t>
  </si>
  <si>
    <r>
      <rPr>
        <sz val="14"/>
        <color rgb="FF000000"/>
        <rFont val="宋体"/>
        <charset val="134"/>
      </rPr>
      <t>可变的魔法值；</t>
    </r>
    <r>
      <rPr>
        <sz val="14"/>
        <color rgb="FF000000"/>
        <rFont val="Resource Han Rounded CN Normal"/>
        <charset val="134"/>
      </rPr>
      <t>1D4</t>
    </r>
    <r>
      <rPr>
        <sz val="14"/>
        <color rgb="FF000000"/>
        <rFont val="宋体"/>
        <charset val="134"/>
      </rPr>
      <t>点理智值</t>
    </r>
  </si>
  <si>
    <t>魂眼旅行术、通向彼方之旅、远侦汝之敌及物</t>
  </si>
  <si>
    <t>CREAT SELF-WARD</t>
  </si>
  <si>
    <t>自保袋创建术</t>
  </si>
  <si>
    <r>
      <rPr>
        <sz val="14"/>
        <color rgb="FF000000"/>
        <rFont val="宋体"/>
        <charset val="134"/>
      </rPr>
      <t>自己保護</t>
    </r>
    <r>
      <rPr>
        <sz val="14"/>
        <color rgb="FF000000"/>
        <rFont val="MS Gothic"/>
        <charset val="134"/>
      </rPr>
      <t>の</t>
    </r>
    <r>
      <rPr>
        <sz val="14"/>
        <color rgb="FF000000"/>
        <rFont val="宋体"/>
        <charset val="134"/>
      </rPr>
      <t>創造</t>
    </r>
  </si>
  <si>
    <r>
      <rPr>
        <sz val="14"/>
        <color rgb="FF000000"/>
        <rFont val="宋体"/>
        <charset val="134"/>
      </rPr>
      <t>自保袋创建术〔续、保〕</t>
    </r>
    <r>
      <rPr>
        <sz val="14"/>
        <color rgb="FF000000"/>
        <rFont val="Resource Han Rounded CN Normal"/>
        <charset val="134"/>
      </rPr>
      <t xml:space="preserve">
Create Self-Ward
</t>
    </r>
    <r>
      <rPr>
        <sz val="14"/>
        <color rgb="FF000000"/>
        <rFont val="宋体"/>
        <charset val="134"/>
      </rPr>
      <t>消耗：每天可变的魔法值、</t>
    </r>
    <r>
      <rPr>
        <sz val="14"/>
        <color rgb="FF000000"/>
        <rFont val="Resource Han Rounded CN Normal"/>
        <charset val="134"/>
      </rPr>
      <t>POW</t>
    </r>
    <r>
      <rPr>
        <sz val="14"/>
        <color rgb="FF000000"/>
        <rFont val="宋体"/>
        <charset val="134"/>
      </rPr>
      <t>、理智值</t>
    </r>
    <r>
      <rPr>
        <sz val="14"/>
        <color rgb="FF000000"/>
        <rFont val="Resource Han Rounded CN Normal"/>
        <charset val="134"/>
      </rPr>
      <t xml:space="preserve">
</t>
    </r>
    <r>
      <rPr>
        <sz val="14"/>
        <color rgb="FF000000"/>
        <rFont val="宋体"/>
        <charset val="134"/>
      </rPr>
      <t>施法用时：可变（天）</t>
    </r>
    <r>
      <rPr>
        <sz val="14"/>
        <color rgb="FF000000"/>
        <rFont val="Resource Han Rounded CN Normal"/>
        <charset val="134"/>
      </rPr>
      <t xml:space="preserve">
</t>
    </r>
    <r>
      <rPr>
        <sz val="14"/>
        <color rgb="FF000000"/>
        <rFont val="宋体"/>
        <charset val="134"/>
      </rPr>
      <t>本法术威力强大，可以有效减缓衰老速度，并且能保护使用者减少物理伤害。这个附魔罕见但强力。自保袋（持有或佩戴时）除了延长寿命还可以引开伤害，数值等于施法者在创建它时投入的魔法值。如果自保袋不被施法者持有，但未被摧毁的话，施法者可以得到一半的保护（小数进位）。</t>
    </r>
    <r>
      <rPr>
        <sz val="14"/>
        <color rgb="FF000000"/>
        <rFont val="Resource Han Rounded CN Normal"/>
        <charset val="134"/>
      </rPr>
      <t xml:space="preserve">
</t>
    </r>
    <r>
      <rPr>
        <sz val="14"/>
        <color rgb="FF000000"/>
        <rFont val="宋体"/>
        <charset val="134"/>
      </rPr>
      <t>施法者必须搜集个人物品、头发、指甲等等，并且将它们放到皮袋或布袋当中。接下来的几天中施法者要和袋子贴身接触</t>
    </r>
    <r>
      <rPr>
        <sz val="14"/>
        <color rgb="FF000000"/>
        <rFont val="Resource Han Rounded CN Normal"/>
        <charset val="134"/>
      </rPr>
      <t>;</t>
    </r>
    <r>
      <rPr>
        <sz val="14"/>
        <color rgb="FF000000"/>
        <rFont val="宋体"/>
        <charset val="134"/>
      </rPr>
      <t>每天都要进行仪式的吟唱</t>
    </r>
    <r>
      <rPr>
        <sz val="14"/>
        <color rgb="FF000000"/>
        <rFont val="Resource Han Rounded CN Normal"/>
        <charset val="134"/>
      </rPr>
      <t>,</t>
    </r>
    <r>
      <rPr>
        <sz val="14"/>
        <color rgb="FF000000"/>
        <rFont val="宋体"/>
        <charset val="134"/>
      </rPr>
      <t>并且消耗预定数量的魔法值。此后，衰老的速度取决于创建自保袋用的时间。如果是</t>
    </r>
    <r>
      <rPr>
        <sz val="14"/>
        <color rgb="FF000000"/>
        <rFont val="Resource Han Rounded CN Normal"/>
        <charset val="134"/>
      </rPr>
      <t>3</t>
    </r>
    <r>
      <rPr>
        <sz val="14"/>
        <color rgb="FF000000"/>
        <rFont val="宋体"/>
        <charset val="134"/>
      </rPr>
      <t>天</t>
    </r>
    <r>
      <rPr>
        <sz val="14"/>
        <color rgb="FF000000"/>
        <rFont val="Resource Han Rounded CN Normal"/>
        <charset val="134"/>
      </rPr>
      <t>,</t>
    </r>
    <r>
      <rPr>
        <sz val="14"/>
        <color rgb="FF000000"/>
        <rFont val="宋体"/>
        <charset val="134"/>
      </rPr>
      <t>则每天消耗</t>
    </r>
    <r>
      <rPr>
        <sz val="14"/>
        <color rgb="FF000000"/>
        <rFont val="Resource Han Rounded CN Normal"/>
        <charset val="134"/>
      </rPr>
      <t>3</t>
    </r>
    <r>
      <rPr>
        <sz val="14"/>
        <color rgb="FF000000"/>
        <rFont val="宋体"/>
        <charset val="134"/>
      </rPr>
      <t>点魔法值</t>
    </r>
    <r>
      <rPr>
        <sz val="14"/>
        <color rgb="FF000000"/>
        <rFont val="Resource Han Rounded CN Normal"/>
        <charset val="134"/>
      </rPr>
      <t>,</t>
    </r>
    <r>
      <rPr>
        <sz val="14"/>
        <color rgb="FF000000"/>
        <rFont val="宋体"/>
        <charset val="134"/>
      </rPr>
      <t>施法者此后每</t>
    </r>
    <r>
      <rPr>
        <sz val="14"/>
        <color rgb="FF000000"/>
        <rFont val="Resource Han Rounded CN Normal"/>
        <charset val="134"/>
      </rPr>
      <t>3</t>
    </r>
    <r>
      <rPr>
        <sz val="14"/>
        <color rgb="FF000000"/>
        <rFont val="宋体"/>
        <charset val="134"/>
      </rPr>
      <t>年衰老</t>
    </r>
    <r>
      <rPr>
        <sz val="14"/>
        <color rgb="FF000000"/>
        <rFont val="Resource Han Rounded CN Normal"/>
        <charset val="134"/>
      </rPr>
      <t>1</t>
    </r>
    <r>
      <rPr>
        <sz val="14"/>
        <color rgb="FF000000"/>
        <rFont val="宋体"/>
        <charset val="134"/>
      </rPr>
      <t>岁。如果是</t>
    </r>
    <r>
      <rPr>
        <sz val="14"/>
        <color rgb="FF000000"/>
        <rFont val="Resource Han Rounded CN Normal"/>
        <charset val="134"/>
      </rPr>
      <t>6</t>
    </r>
    <r>
      <rPr>
        <sz val="14"/>
        <color rgb="FF000000"/>
        <rFont val="宋体"/>
        <charset val="134"/>
      </rPr>
      <t>天</t>
    </r>
    <r>
      <rPr>
        <sz val="14"/>
        <color rgb="FF000000"/>
        <rFont val="Resource Han Rounded CN Normal"/>
        <charset val="134"/>
      </rPr>
      <t>,</t>
    </r>
    <r>
      <rPr>
        <sz val="14"/>
        <color rgb="FF000000"/>
        <rFont val="宋体"/>
        <charset val="134"/>
      </rPr>
      <t>则每天消耗</t>
    </r>
    <r>
      <rPr>
        <sz val="14"/>
        <color rgb="FF000000"/>
        <rFont val="Resource Han Rounded CN Normal"/>
        <charset val="134"/>
      </rPr>
      <t>6</t>
    </r>
    <r>
      <rPr>
        <sz val="14"/>
        <color rgb="FF000000"/>
        <rFont val="宋体"/>
        <charset val="134"/>
      </rPr>
      <t>点魔法值，施法者此后每</t>
    </r>
    <r>
      <rPr>
        <sz val="14"/>
        <color rgb="FF000000"/>
        <rFont val="Resource Han Rounded CN Normal"/>
        <charset val="134"/>
      </rPr>
      <t>6</t>
    </r>
    <r>
      <rPr>
        <sz val="14"/>
        <color rgb="FF000000"/>
        <rFont val="宋体"/>
        <charset val="134"/>
      </rPr>
      <t>年衰老</t>
    </r>
    <r>
      <rPr>
        <sz val="14"/>
        <color rgb="FF000000"/>
        <rFont val="Resource Han Rounded CN Normal"/>
        <charset val="134"/>
      </rPr>
      <t>1</t>
    </r>
    <r>
      <rPr>
        <sz val="14"/>
        <color rgb="FF000000"/>
        <rFont val="宋体"/>
        <charset val="134"/>
      </rPr>
      <t>岁，以此类推。在仪式的最后一天，施法者要向自保袋中投入</t>
    </r>
    <r>
      <rPr>
        <sz val="14"/>
        <color rgb="FF000000"/>
        <rFont val="Resource Han Rounded CN Normal"/>
        <charset val="134"/>
      </rPr>
      <t>POW,</t>
    </r>
    <r>
      <rPr>
        <sz val="14"/>
        <color rgb="FF000000"/>
        <rFont val="宋体"/>
        <charset val="134"/>
      </rPr>
      <t>数值等于创建自保袋天数的五倍</t>
    </r>
    <r>
      <rPr>
        <sz val="14"/>
        <color rgb="FF000000"/>
        <rFont val="Resource Han Rounded CN Normal"/>
        <charset val="134"/>
      </rPr>
      <t>,</t>
    </r>
    <r>
      <rPr>
        <sz val="14"/>
        <color rgb="FF000000"/>
        <rFont val="宋体"/>
        <charset val="134"/>
      </rPr>
      <t>且每天需要消耗</t>
    </r>
    <r>
      <rPr>
        <sz val="14"/>
        <color rgb="FF000000"/>
        <rFont val="Resource Han Rounded CN Normal"/>
        <charset val="134"/>
      </rPr>
      <t>1D6</t>
    </r>
    <r>
      <rPr>
        <sz val="14"/>
        <color rgb="FF000000"/>
        <rFont val="宋体"/>
        <charset val="134"/>
      </rPr>
      <t>点理智值。如果自保袋被毁坏或倒空，或者施法者被杀死</t>
    </r>
    <r>
      <rPr>
        <sz val="14"/>
        <color rgb="FF000000"/>
        <rFont val="Resource Han Rounded CN Normal"/>
        <charset val="134"/>
      </rPr>
      <t>,</t>
    </r>
    <r>
      <rPr>
        <sz val="14"/>
        <color rgb="FF000000"/>
        <rFont val="宋体"/>
        <charset val="134"/>
      </rPr>
      <t>法术就终止了。法术终止以后</t>
    </r>
    <r>
      <rPr>
        <sz val="14"/>
        <color rgb="FF000000"/>
        <rFont val="Resource Han Rounded CN Normal"/>
        <charset val="134"/>
      </rPr>
      <t>,</t>
    </r>
    <r>
      <rPr>
        <sz val="14"/>
        <color rgb="FF000000"/>
        <rFont val="宋体"/>
        <charset val="134"/>
      </rPr>
      <t>施法者会快速衰老</t>
    </r>
    <r>
      <rPr>
        <sz val="14"/>
        <color rgb="FF000000"/>
        <rFont val="Resource Han Rounded CN Normal"/>
        <charset val="134"/>
      </rPr>
      <t>,</t>
    </r>
    <r>
      <rPr>
        <sz val="14"/>
        <color rgb="FF000000"/>
        <rFont val="宋体"/>
        <charset val="134"/>
      </rPr>
      <t>直到物理年龄等于按出生年份计算的年龄为止</t>
    </r>
    <r>
      <rPr>
        <sz val="14"/>
        <color rgb="FF000000"/>
        <rFont val="Resource Han Rounded CN Normal"/>
        <charset val="134"/>
      </rPr>
      <t>(</t>
    </r>
    <r>
      <rPr>
        <sz val="14"/>
        <color rgb="FF000000"/>
        <rFont val="宋体"/>
        <charset val="134"/>
      </rPr>
      <t>参考衰老</t>
    </r>
    <r>
      <rPr>
        <sz val="14"/>
        <color rgb="FF000000"/>
        <rFont val="Resource Han Rounded CN Normal"/>
        <charset val="134"/>
      </rPr>
      <t>,RB98)</t>
    </r>
    <r>
      <rPr>
        <sz val="14"/>
        <color rgb="FF000000"/>
        <rFont val="宋体"/>
        <charset val="134"/>
      </rPr>
      <t>。施法者还要损失</t>
    </r>
    <r>
      <rPr>
        <sz val="14"/>
        <color rgb="FF000000"/>
        <rFont val="Resource Han Rounded CN Normal"/>
        <charset val="134"/>
      </rPr>
      <t>CON,</t>
    </r>
    <r>
      <rPr>
        <sz val="14"/>
        <color rgb="FF000000"/>
        <rFont val="宋体"/>
        <charset val="134"/>
      </rPr>
      <t>数值等于自保袋中投入的</t>
    </r>
    <r>
      <rPr>
        <sz val="14"/>
        <color rgb="FF000000"/>
        <rFont val="Resource Han Rounded CN Normal"/>
        <charset val="134"/>
      </rPr>
      <t>POW</t>
    </r>
    <r>
      <rPr>
        <sz val="14"/>
        <color rgb="FF000000"/>
        <rFont val="宋体"/>
        <charset val="134"/>
      </rPr>
      <t>。</t>
    </r>
    <r>
      <rPr>
        <sz val="14"/>
        <color rgb="FF000000"/>
        <rFont val="Resource Han Rounded CN Normal"/>
        <charset val="134"/>
      </rPr>
      <t xml:space="preserve">
</t>
    </r>
    <r>
      <rPr>
        <sz val="14"/>
        <color rgb="FF000000"/>
        <rFont val="宋体"/>
        <charset val="134"/>
      </rPr>
      <t>深层魔法：疯狂的施法者可以利用他们可怕的知识</t>
    </r>
    <r>
      <rPr>
        <sz val="14"/>
        <color rgb="FF000000"/>
        <rFont val="Resource Han Rounded CN Normal"/>
        <charset val="134"/>
      </rPr>
      <t>,</t>
    </r>
    <r>
      <rPr>
        <sz val="14"/>
        <color rgb="FF000000"/>
        <rFont val="宋体"/>
        <charset val="134"/>
      </rPr>
      <t>使用自保袋牺牲别人的精血来逆转衰老过程。巫师吟唱咒语，吸取牺牲者的精血，将它用特殊雕刻的铜碗收集起来。自保袋要在新月期间放在碗里。在五天的施法过程中</t>
    </r>
    <r>
      <rPr>
        <sz val="14"/>
        <color rgb="FF000000"/>
        <rFont val="Resource Han Rounded CN Normal"/>
        <charset val="134"/>
      </rPr>
      <t>,</t>
    </r>
    <r>
      <rPr>
        <sz val="14"/>
        <color rgb="FF000000"/>
        <rFont val="宋体"/>
        <charset val="134"/>
      </rPr>
      <t>自保袋将吸尽血液。施法者每花一天创建自保袋</t>
    </r>
    <r>
      <rPr>
        <sz val="14"/>
        <color rgb="FF000000"/>
        <rFont val="Resource Han Rounded CN Normal"/>
        <charset val="134"/>
      </rPr>
      <t>,</t>
    </r>
    <r>
      <rPr>
        <sz val="14"/>
        <color rgb="FF000000"/>
        <rFont val="宋体"/>
        <charset val="134"/>
      </rPr>
      <t>这个过程就会减去施法者</t>
    </r>
    <r>
      <rPr>
        <sz val="14"/>
        <color rgb="FF000000"/>
        <rFont val="Resource Han Rounded CN Normal"/>
        <charset val="134"/>
      </rPr>
      <t>10</t>
    </r>
    <r>
      <rPr>
        <sz val="14"/>
        <color rgb="FF000000"/>
        <rFont val="宋体"/>
        <charset val="134"/>
      </rPr>
      <t>年的年龄</t>
    </r>
    <r>
      <rPr>
        <sz val="14"/>
        <color rgb="FF000000"/>
        <rFont val="Resource Han Rounded CN Normal"/>
        <charset val="134"/>
      </rPr>
      <t>--</t>
    </r>
    <r>
      <rPr>
        <sz val="14"/>
        <color rgb="FF000000"/>
        <rFont val="宋体"/>
        <charset val="134"/>
      </rPr>
      <t>因此如果用</t>
    </r>
    <r>
      <rPr>
        <sz val="14"/>
        <color rgb="FF000000"/>
        <rFont val="Resource Han Rounded CN Normal"/>
        <charset val="134"/>
      </rPr>
      <t>3</t>
    </r>
    <r>
      <rPr>
        <sz val="14"/>
        <color rgb="FF000000"/>
        <rFont val="宋体"/>
        <charset val="134"/>
      </rPr>
      <t>天创建自保袋</t>
    </r>
    <r>
      <rPr>
        <sz val="14"/>
        <color rgb="FF000000"/>
        <rFont val="Resource Han Rounded CN Normal"/>
        <charset val="134"/>
      </rPr>
      <t>,</t>
    </r>
    <r>
      <rPr>
        <sz val="14"/>
        <color rgb="FF000000"/>
        <rFont val="宋体"/>
        <charset val="134"/>
      </rPr>
      <t>巫师的年龄可以减少</t>
    </r>
    <r>
      <rPr>
        <sz val="14"/>
        <color rgb="FF000000"/>
        <rFont val="Resource Han Rounded CN Normal"/>
        <charset val="134"/>
      </rPr>
      <t>30</t>
    </r>
    <r>
      <rPr>
        <sz val="14"/>
        <color rgb="FF000000"/>
        <rFont val="宋体"/>
        <charset val="134"/>
      </rPr>
      <t>岁。</t>
    </r>
    <r>
      <rPr>
        <sz val="14"/>
        <color rgb="FF000000"/>
        <rFont val="Resource Han Rounded CN Normal"/>
        <charset val="134"/>
      </rPr>
      <t xml:space="preserve">
</t>
    </r>
    <r>
      <rPr>
        <sz val="14"/>
        <color rgb="FF000000"/>
        <rFont val="宋体"/>
        <charset val="134"/>
      </rPr>
      <t>别名：不老者的仪式、古老的交易、永恒青春的恩惠</t>
    </r>
  </si>
  <si>
    <t>南太平洋</t>
  </si>
  <si>
    <r>
      <rPr>
        <sz val="14"/>
        <color rgb="FF000000"/>
        <rFont val="Resource Han Rounded CN Normal"/>
        <charset val="134"/>
      </rPr>
      <t>1</t>
    </r>
    <r>
      <rPr>
        <sz val="14"/>
        <color rgb="FF000000"/>
        <rFont val="宋体"/>
        <charset val="134"/>
      </rPr>
      <t>点</t>
    </r>
  </si>
  <si>
    <t>海上施放、呼唤鲨鱼滴血液入海、呼唤海豚投小活鱼</t>
  </si>
  <si>
    <t>鲨鱼/海豚</t>
  </si>
  <si>
    <t>追加魔法值增加成功率、幸运检定成功则两只生物到来</t>
  </si>
  <si>
    <t>SENDING OF THE DEAD</t>
  </si>
  <si>
    <t>死之发送术</t>
  </si>
  <si>
    <r>
      <rPr>
        <sz val="14"/>
        <color rgb="FF000000"/>
        <rFont val="宋体"/>
        <charset val="134"/>
      </rPr>
      <t>死者</t>
    </r>
    <r>
      <rPr>
        <sz val="14"/>
        <color rgb="FF000000"/>
        <rFont val="MS Gothic"/>
        <charset val="134"/>
      </rPr>
      <t>を</t>
    </r>
    <r>
      <rPr>
        <sz val="14"/>
        <color rgb="FF000000"/>
        <rFont val="宋体"/>
        <charset val="134"/>
      </rPr>
      <t>送</t>
    </r>
    <r>
      <rPr>
        <sz val="14"/>
        <color rgb="FF000000"/>
        <rFont val="MS Gothic"/>
        <charset val="134"/>
      </rPr>
      <t>る</t>
    </r>
  </si>
  <si>
    <r>
      <rPr>
        <sz val="14"/>
        <color rgb="FF000000"/>
        <rFont val="宋体"/>
        <charset val="134"/>
      </rPr>
      <t>死之发送术〔害〕</t>
    </r>
    <r>
      <rPr>
        <sz val="14"/>
        <color rgb="FF000000"/>
        <rFont val="Resource Han Rounded CN Normal"/>
        <charset val="134"/>
      </rPr>
      <t xml:space="preserve">
Sending of theDead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轮</t>
    </r>
    <r>
      <rPr>
        <sz val="14"/>
        <color rgb="FF000000"/>
        <rFont val="Resource Han Rounded CN Normal"/>
        <charset val="134"/>
      </rPr>
      <t xml:space="preserve">
</t>
    </r>
    <r>
      <rPr>
        <sz val="14"/>
        <color rgb="FF000000"/>
        <rFont val="宋体"/>
        <charset val="134"/>
      </rPr>
      <t>对目标造成重大伤害甚至死亡。施法者或祈求者必须在法术中使用目标的一些个人物品（头发、指甲屑、衣服等等）。这些个人物品要和几捧坟墓中取来的土混合起来。施法者须和目标进行一次</t>
    </r>
    <r>
      <rPr>
        <sz val="14"/>
        <color rgb="FF000000"/>
        <rFont val="Resource Han Rounded CN Normal"/>
        <charset val="134"/>
      </rPr>
      <t>POW</t>
    </r>
    <r>
      <rPr>
        <sz val="14"/>
        <color rgb="FF000000"/>
        <rFont val="宋体"/>
        <charset val="134"/>
      </rPr>
      <t>对抗检定并胜出（距离不限），法术才能生效。法术生效后，施法者或祈求者必须将附魔的个人物品放到目标走过的地方上，或埋到下面。如果目标走过这一物品，死者的魂魄就会进入其身体，造成疼痛、焦虑、精神衰弱甚至物理伤害</t>
    </r>
    <r>
      <rPr>
        <sz val="14"/>
        <color rgb="FF000000"/>
        <rFont val="Resource Han Rounded CN Normal"/>
        <charset val="134"/>
      </rPr>
      <t>——</t>
    </r>
    <r>
      <rPr>
        <sz val="14"/>
        <color rgb="FF000000"/>
        <rFont val="宋体"/>
        <charset val="134"/>
      </rPr>
      <t>投掷</t>
    </r>
    <r>
      <rPr>
        <sz val="14"/>
        <color rgb="FF000000"/>
        <rFont val="Resource Han Rounded CN Normal"/>
        <charset val="134"/>
      </rPr>
      <t>1D10</t>
    </r>
    <r>
      <rPr>
        <sz val="14"/>
        <color rgb="FF000000"/>
        <rFont val="宋体"/>
        <charset val="134"/>
      </rPr>
      <t>决定法术对目标的严重性。</t>
    </r>
    <r>
      <rPr>
        <sz val="14"/>
        <color rgb="FF000000"/>
        <rFont val="Resource Han Rounded CN Normal"/>
        <charset val="134"/>
      </rPr>
      <t xml:space="preserve">
</t>
    </r>
    <r>
      <rPr>
        <sz val="14"/>
        <color rgb="FF000000"/>
        <rFont val="宋体"/>
        <charset val="134"/>
      </rPr>
      <t>（表格参考魔法大典）</t>
    </r>
    <r>
      <rPr>
        <sz val="14"/>
        <color rgb="FF000000"/>
        <rFont val="Resource Han Rounded CN Normal"/>
        <charset val="134"/>
      </rPr>
      <t xml:space="preserve">
KP</t>
    </r>
    <r>
      <rPr>
        <sz val="14"/>
        <color rgb="FF000000"/>
        <rFont val="宋体"/>
        <charset val="134"/>
      </rPr>
      <t>决定死者的魂魄如何在目标身上显灵，提示包括手指、手掌、颜面部的记号；黑色</t>
    </r>
    <r>
      <rPr>
        <sz val="14"/>
        <color rgb="FF000000"/>
        <rFont val="Resource Han Rounded CN Normal"/>
        <charset val="134"/>
      </rPr>
      <t>“</t>
    </r>
    <r>
      <rPr>
        <sz val="14"/>
        <color rgb="FF000000"/>
        <rFont val="宋体"/>
        <charset val="134"/>
      </rPr>
      <t>无神</t>
    </r>
    <r>
      <rPr>
        <sz val="14"/>
        <color rgb="FF000000"/>
        <rFont val="Resource Han Rounded CN Normal"/>
        <charset val="134"/>
      </rPr>
      <t>”</t>
    </r>
    <r>
      <rPr>
        <sz val="14"/>
        <color rgb="FF000000"/>
        <rFont val="宋体"/>
        <charset val="134"/>
      </rPr>
      <t>的眼睛；用奇怪声音说话的目标等等。</t>
    </r>
  </si>
  <si>
    <r>
      <rPr>
        <sz val="14"/>
        <color rgb="FF000000"/>
        <rFont val="宋体"/>
        <charset val="134"/>
      </rPr>
      <t>致盲术</t>
    </r>
    <r>
      <rPr>
        <sz val="14"/>
        <color rgb="FF000000"/>
        <rFont val="Resource Han Rounded CN Normal"/>
        <charset val="134"/>
      </rPr>
      <t>/</t>
    </r>
    <r>
      <rPr>
        <sz val="14"/>
        <color rgb="FF000000"/>
        <rFont val="宋体"/>
        <charset val="134"/>
      </rPr>
      <t>治盲术〔害〕</t>
    </r>
  </si>
  <si>
    <r>
      <rPr>
        <sz val="14"/>
        <color rgb="FF000000"/>
        <rFont val="Resource Han Rounded CN Normal"/>
        <charset val="134"/>
      </rPr>
      <t>8</t>
    </r>
    <r>
      <rPr>
        <sz val="14"/>
        <color rgb="FF000000"/>
        <rFont val="宋体"/>
        <charset val="134"/>
      </rPr>
      <t>点魔法值（致盲术额外消耗</t>
    </r>
    <r>
      <rPr>
        <sz val="14"/>
        <color rgb="FF000000"/>
        <rFont val="Resource Han Rounded CN Normal"/>
        <charset val="134"/>
      </rPr>
      <t>2D6</t>
    </r>
    <r>
      <rPr>
        <sz val="14"/>
        <color rgb="FF000000"/>
        <rFont val="宋体"/>
        <charset val="134"/>
      </rPr>
      <t>点理智值）</t>
    </r>
  </si>
  <si>
    <t>目盲术、视觉授予、黑暗之影、法老的诅咒</t>
  </si>
  <si>
    <t>CREATE BAD-CORPSE DUST</t>
  </si>
  <si>
    <t>坏尸粉创建术</t>
  </si>
  <si>
    <r>
      <rPr>
        <sz val="14"/>
        <color rgb="FF000000"/>
        <rFont val="宋体"/>
        <charset val="134"/>
      </rPr>
      <t>死体</t>
    </r>
    <r>
      <rPr>
        <sz val="14"/>
        <color rgb="FF000000"/>
        <rFont val="MS Gothic"/>
        <charset val="134"/>
      </rPr>
      <t>の</t>
    </r>
    <r>
      <rPr>
        <sz val="14"/>
        <color rgb="FF000000"/>
        <rFont val="宋体"/>
        <charset val="134"/>
      </rPr>
      <t>粉</t>
    </r>
    <r>
      <rPr>
        <sz val="14"/>
        <color rgb="FF000000"/>
        <rFont val="MS Gothic"/>
        <charset val="134"/>
      </rPr>
      <t>の</t>
    </r>
    <r>
      <rPr>
        <sz val="14"/>
        <color rgb="FF000000"/>
        <rFont val="宋体"/>
        <charset val="134"/>
      </rPr>
      <t>創造</t>
    </r>
  </si>
  <si>
    <r>
      <rPr>
        <sz val="14"/>
        <color rgb="FF000000"/>
        <rFont val="宋体"/>
        <charset val="134"/>
      </rPr>
      <t>坏尸粉创建术〔保〕</t>
    </r>
    <r>
      <rPr>
        <sz val="14"/>
        <color rgb="FF000000"/>
        <rFont val="Resource Han Rounded CN Normal"/>
        <charset val="134"/>
      </rPr>
      <t xml:space="preserve">
Create Bad-Corpse Dust
</t>
    </r>
    <r>
      <rPr>
        <sz val="14"/>
        <color rgb="FF000000"/>
        <rFont val="宋体"/>
        <charset val="134"/>
      </rPr>
      <t>消耗：</t>
    </r>
    <r>
      <rPr>
        <sz val="14"/>
        <color rgb="FF000000"/>
        <rFont val="Resource Han Rounded CN Normal"/>
        <charset val="134"/>
      </rPr>
      <t>2</t>
    </r>
    <r>
      <rPr>
        <sz val="14"/>
        <color rgb="FF000000"/>
        <rFont val="宋体"/>
        <charset val="134"/>
      </rPr>
      <t>点魔法值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6</t>
    </r>
    <r>
      <rPr>
        <sz val="14"/>
        <color rgb="FF000000"/>
        <rFont val="宋体"/>
        <charset val="134"/>
      </rPr>
      <t>小时</t>
    </r>
    <r>
      <rPr>
        <sz val="14"/>
        <color rgb="FF000000"/>
        <rFont val="Resource Han Rounded CN Normal"/>
        <charset val="134"/>
      </rPr>
      <t xml:space="preserve">
</t>
    </r>
    <r>
      <rPr>
        <sz val="14"/>
        <color rgb="FF000000"/>
        <rFont val="宋体"/>
        <charset val="134"/>
      </rPr>
      <t>创建一道僵尸无法通过的屏障。本粉末需要僵尸的肠子、一盎司肉（必须是施法者自己咬下来）、还有一种从雨林蔓藤开的花晒干制成的粉末。这些材料要晒干、粉碎、混合并吟唱几个小时的咒语，最终倒到预先准备的轨道或线上。最后的吟唱可以激活粉末的功用。</t>
    </r>
    <r>
      <rPr>
        <sz val="14"/>
        <color rgb="FF000000"/>
        <rFont val="Resource Han Rounded CN Normal"/>
        <charset val="134"/>
      </rPr>
      <t xml:space="preserve">
</t>
    </r>
    <r>
      <rPr>
        <sz val="14"/>
        <color rgb="FF000000"/>
        <rFont val="宋体"/>
        <charset val="134"/>
      </rPr>
      <t>粉末可以制造一道不可见的魔法墙壁，阻挡通过的僵尸。墙壁会持续到粉末被冲刷或吹干净为止。每次制造的粉末足够制造一道</t>
    </r>
    <r>
      <rPr>
        <sz val="14"/>
        <color rgb="FF000000"/>
        <rFont val="Resource Han Rounded CN Normal"/>
        <charset val="134"/>
      </rPr>
      <t>30</t>
    </r>
    <r>
      <rPr>
        <sz val="14"/>
        <color rgb="FF000000"/>
        <rFont val="宋体"/>
        <charset val="134"/>
      </rPr>
      <t>码长的墙壁。</t>
    </r>
    <r>
      <rPr>
        <sz val="14"/>
        <color rgb="FF000000"/>
        <rFont val="Resource Han Rounded CN Normal"/>
        <charset val="134"/>
      </rPr>
      <t xml:space="preserve">
</t>
    </r>
    <r>
      <rPr>
        <sz val="14"/>
        <color rgb="FF000000"/>
        <rFont val="宋体"/>
        <charset val="134"/>
      </rPr>
      <t>别名：死者守卫术、粉尘之线、血肉屏障</t>
    </r>
  </si>
  <si>
    <t>时空门（空间门）〔旅〕</t>
  </si>
  <si>
    <r>
      <rPr>
        <sz val="14"/>
        <color rgb="FF000000"/>
        <rFont val="宋体"/>
        <charset val="134"/>
      </rPr>
      <t>可变的</t>
    </r>
    <r>
      <rPr>
        <sz val="14"/>
        <color rgb="FF000000"/>
        <rFont val="Resource Han Rounded CN Normal"/>
        <charset val="134"/>
      </rPr>
      <t>POW</t>
    </r>
    <r>
      <rPr>
        <sz val="14"/>
        <color rgb="FF000000"/>
        <rFont val="宋体"/>
        <charset val="134"/>
      </rPr>
      <t>消耗的每点</t>
    </r>
    <r>
      <rPr>
        <sz val="14"/>
        <color rgb="FF000000"/>
        <rFont val="Resource Han Rounded CN Normal"/>
        <charset val="134"/>
      </rPr>
      <t>POW</t>
    </r>
    <r>
      <rPr>
        <sz val="14"/>
        <color rgb="FF000000"/>
        <rFont val="宋体"/>
        <charset val="134"/>
      </rPr>
      <t>一小时</t>
    </r>
  </si>
  <si>
    <r>
      <rPr>
        <sz val="14"/>
        <color rgb="FF000000"/>
        <rFont val="宋体"/>
        <charset val="134"/>
      </rPr>
      <t>可变的魔法值和</t>
    </r>
    <r>
      <rPr>
        <sz val="14"/>
        <color rgb="FF000000"/>
        <rFont val="Resource Han Rounded CN Normal"/>
        <charset val="134"/>
      </rPr>
      <t>1</t>
    </r>
    <r>
      <rPr>
        <sz val="14"/>
        <color rgb="FF000000"/>
        <rFont val="宋体"/>
        <charset val="134"/>
      </rPr>
      <t>点理智值</t>
    </r>
  </si>
  <si>
    <t>神秘大门创建术、视力仪式、（望见）通向他处之门、万千旅途之门、时空拱门、通向遥远过去和未见之景的大门、巫师的陷阱</t>
  </si>
  <si>
    <t>DOMINATE</t>
  </si>
  <si>
    <t>支配术</t>
  </si>
  <si>
    <r>
      <rPr>
        <sz val="14"/>
        <color rgb="FF000000"/>
        <rFont val="宋体"/>
        <charset val="134"/>
      </rPr>
      <t>支配术〔战、支〕</t>
    </r>
    <r>
      <rPr>
        <sz val="14"/>
        <color rgb="FF000000"/>
        <rFont val="Resource Han Rounded CN Normal"/>
        <charset val="134"/>
      </rPr>
      <t xml:space="preserve">
Dominate
</t>
    </r>
    <r>
      <rPr>
        <sz val="14"/>
        <color rgb="FF000000"/>
        <rFont val="宋体"/>
        <charset val="134"/>
      </rPr>
      <t>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让目标的意志屈从于施法者的意志。施法者须和目标进行一次</t>
    </r>
    <r>
      <rPr>
        <sz val="14"/>
        <color rgb="FF000000"/>
        <rFont val="Resource Han Rounded CN Normal"/>
        <charset val="134"/>
      </rPr>
      <t>POW</t>
    </r>
    <r>
      <rPr>
        <sz val="14"/>
        <color rgb="FF000000"/>
        <rFont val="宋体"/>
        <charset val="134"/>
      </rPr>
      <t>对抗检定并胜出，法术才能生效。若成功，目标必须服从施法者的命令，没有例外，直到下一个战斗轮结束为止。</t>
    </r>
    <r>
      <rPr>
        <sz val="14"/>
        <color rgb="FF000000"/>
        <rFont val="Resource Han Rounded CN Normal"/>
        <charset val="134"/>
      </rPr>
      <t xml:space="preserve">
</t>
    </r>
    <r>
      <rPr>
        <sz val="14"/>
        <color rgb="FF000000"/>
        <rFont val="宋体"/>
        <charset val="134"/>
      </rPr>
      <t>本法术只能影响单一个体，最大作用范围是</t>
    </r>
    <r>
      <rPr>
        <sz val="14"/>
        <color rgb="FF000000"/>
        <rFont val="Resource Han Rounded CN Normal"/>
        <charset val="134"/>
      </rPr>
      <t>10</t>
    </r>
    <r>
      <rPr>
        <sz val="14"/>
        <color rgb="FF000000"/>
        <rFont val="宋体"/>
        <charset val="134"/>
      </rPr>
      <t>码。显然，命令必须要在目标的智力理解范围之内，并且如果命令和目标本能相悖</t>
    </r>
    <r>
      <rPr>
        <sz val="14"/>
        <color rgb="FF000000"/>
        <rFont val="Resource Han Rounded CN Normal"/>
        <charset val="134"/>
      </rPr>
      <t>(</t>
    </r>
    <r>
      <rPr>
        <sz val="14"/>
        <color rgb="FF000000"/>
        <rFont val="宋体"/>
        <charset val="134"/>
      </rPr>
      <t>例如命令人类去飞行</t>
    </r>
    <r>
      <rPr>
        <sz val="14"/>
        <color rgb="FF000000"/>
        <rFont val="Resource Han Rounded CN Normal"/>
        <charset val="134"/>
      </rPr>
      <t>)</t>
    </r>
    <r>
      <rPr>
        <sz val="14"/>
        <color rgb="FF000000"/>
        <rFont val="宋体"/>
        <charset val="134"/>
      </rPr>
      <t>，法术可能会被破坏。只要施法者认为可行的话，支配术就可以反复施放任意多次，使得一名目标被连续不断地控制数分钟。本法术的每次施放都具有相同的消耗和限制。反复施放是即时的。</t>
    </r>
    <r>
      <rPr>
        <sz val="14"/>
        <color rgb="FF000000"/>
        <rFont val="Resource Han Rounded CN Normal"/>
        <charset val="134"/>
      </rPr>
      <t xml:space="preserve">
</t>
    </r>
    <r>
      <rPr>
        <sz val="14"/>
        <color rgb="FF000000"/>
        <rFont val="宋体"/>
        <charset val="134"/>
      </rPr>
      <t>别名</t>
    </r>
    <r>
      <rPr>
        <sz val="14"/>
        <color rgb="FF000000"/>
        <rFont val="Resource Han Rounded CN Normal"/>
        <charset val="134"/>
      </rPr>
      <t>:</t>
    </r>
    <r>
      <rPr>
        <sz val="14"/>
        <color rgb="FF000000"/>
        <rFont val="宋体"/>
        <charset val="134"/>
      </rPr>
      <t>巫师令、控制之咏、恶意支配、言于内声</t>
    </r>
  </si>
  <si>
    <t>自保袋创建术〔续、保〕</t>
  </si>
  <si>
    <r>
      <rPr>
        <sz val="14"/>
        <color rgb="FF000000"/>
        <rFont val="宋体"/>
        <charset val="134"/>
      </rPr>
      <t>每天可变的魔法值、</t>
    </r>
    <r>
      <rPr>
        <sz val="14"/>
        <color rgb="FF000000"/>
        <rFont val="Resource Han Rounded CN Normal"/>
        <charset val="134"/>
      </rPr>
      <t>POW</t>
    </r>
    <r>
      <rPr>
        <sz val="14"/>
        <color rgb="FF000000"/>
        <rFont val="宋体"/>
        <charset val="134"/>
      </rPr>
      <t>、理智值</t>
    </r>
  </si>
  <si>
    <t>可变（天）</t>
  </si>
  <si>
    <t>不老者的仪式、古老的交易、永恒青春的恩惠</t>
  </si>
  <si>
    <t>EVIL EYE</t>
  </si>
  <si>
    <t>邪眼术</t>
  </si>
  <si>
    <t>邪眼</t>
  </si>
  <si>
    <r>
      <rPr>
        <sz val="14"/>
        <color rgb="FF000000"/>
        <rFont val="宋体"/>
        <charset val="134"/>
      </rPr>
      <t>邪眼术〔害、支〕</t>
    </r>
    <r>
      <rPr>
        <sz val="14"/>
        <color rgb="FF000000"/>
        <rFont val="Resource Han Rounded CN Normal"/>
        <charset val="134"/>
      </rPr>
      <t xml:space="preserve">
Evil Eye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让一名目标遭受厄运的折磨。目标必须在施法者视野范围之内，但此时目标并不一定能感觉到邪眼术的影响，只是可能在邪眼术初次施放的时候感觉到奇怪的寒意和不安。</t>
    </r>
    <r>
      <rPr>
        <sz val="14"/>
        <color rgb="FF000000"/>
        <rFont val="Resource Han Rounded CN Normal"/>
        <charset val="134"/>
      </rPr>
      <t xml:space="preserve">
</t>
    </r>
    <r>
      <rPr>
        <sz val="14"/>
        <color rgb="FF000000"/>
        <rFont val="宋体"/>
        <charset val="134"/>
      </rPr>
      <t>施法成功后，目标的幸运检定成功率减半</t>
    </r>
    <r>
      <rPr>
        <sz val="14"/>
        <color rgb="FF000000"/>
        <rFont val="Resource Han Rounded CN Normal"/>
        <charset val="134"/>
      </rPr>
      <t>*</t>
    </r>
    <r>
      <rPr>
        <sz val="14"/>
        <color rgb="FF000000"/>
        <rFont val="宋体"/>
        <charset val="134"/>
      </rPr>
      <t>。</t>
    </r>
    <r>
      <rPr>
        <sz val="14"/>
        <color rgb="FF000000"/>
        <rFont val="Resource Han Rounded CN Normal"/>
        <charset val="134"/>
      </rPr>
      <t xml:space="preserve">
</t>
    </r>
    <r>
      <rPr>
        <sz val="14"/>
        <color rgb="FF000000"/>
        <rFont val="宋体"/>
        <charset val="134"/>
      </rPr>
      <t>目标所有的属性和技能检定均得到一颗惩罚骰；他用枪时每当掷骰出</t>
    </r>
    <r>
      <rPr>
        <sz val="14"/>
        <color rgb="FF000000"/>
        <rFont val="Resource Han Rounded CN Normal"/>
        <charset val="134"/>
      </rPr>
      <t>75</t>
    </r>
    <r>
      <rPr>
        <sz val="14"/>
        <color rgb="FF000000"/>
        <rFont val="宋体"/>
        <charset val="134"/>
      </rPr>
      <t>以上枪就会卡壳，用近战武器的时候每当掷骰在</t>
    </r>
    <r>
      <rPr>
        <sz val="14"/>
        <color rgb="FF000000"/>
        <rFont val="Resource Han Rounded CN Normal"/>
        <charset val="134"/>
      </rPr>
      <t>75</t>
    </r>
    <r>
      <rPr>
        <sz val="14"/>
        <color rgb="FF000000"/>
        <rFont val="宋体"/>
        <charset val="134"/>
      </rPr>
      <t>以上武器就会损坏；召唤、束缚术的成功率减半。效果将持续到第二天的日出、或者施法者撤回法术、或者施法者被找到并流血（狠狠地打，打到出血为止）、或者目标死亡。本法术可以被</t>
    </r>
    <r>
      <rPr>
        <sz val="14"/>
        <color rgb="FF000000"/>
        <rFont val="Resource Han Rounded CN Normal"/>
        <charset val="134"/>
      </rPr>
      <t>“</t>
    </r>
    <r>
      <rPr>
        <sz val="14"/>
        <color rgb="FF000000"/>
        <rFont val="宋体"/>
        <charset val="134"/>
      </rPr>
      <t>邪眼守卫术</t>
    </r>
    <r>
      <rPr>
        <sz val="14"/>
        <color rgb="FF000000"/>
        <rFont val="Resource Han Rounded CN Normal"/>
        <charset val="134"/>
      </rPr>
      <t>”(P188)</t>
    </r>
    <r>
      <rPr>
        <sz val="14"/>
        <color rgb="FF000000"/>
        <rFont val="宋体"/>
        <charset val="134"/>
      </rPr>
      <t>抵消。</t>
    </r>
    <r>
      <rPr>
        <sz val="14"/>
        <color rgb="FF000000"/>
        <rFont val="Resource Han Rounded CN Normal"/>
        <charset val="134"/>
      </rPr>
      <t xml:space="preserve">
*</t>
    </r>
    <r>
      <rPr>
        <sz val="14"/>
        <color rgb="FF000000"/>
        <rFont val="宋体"/>
        <charset val="134"/>
      </rPr>
      <t>注，如果使用了幸运的可选规则，目标也不能消耗和增加幸运点数。</t>
    </r>
    <r>
      <rPr>
        <sz val="14"/>
        <color rgb="FF000000"/>
        <rFont val="Resource Han Rounded CN Normal"/>
        <charset val="134"/>
      </rPr>
      <t xml:space="preserve">
</t>
    </r>
    <r>
      <rPr>
        <sz val="14"/>
        <color rgb="FF000000"/>
        <rFont val="宋体"/>
        <charset val="134"/>
      </rPr>
      <t>深层魔法：能够召唤克苏鲁神话更深层智慧和知识的人能够对多人（最多五名）使用本法术，他们必须在施法者的视野范围内。</t>
    </r>
    <r>
      <rPr>
        <sz val="14"/>
        <color rgb="FF000000"/>
        <rFont val="Resource Han Rounded CN Normal"/>
        <charset val="134"/>
      </rPr>
      <t xml:space="preserve">
</t>
    </r>
    <r>
      <rPr>
        <sz val="14"/>
        <color rgb="FF000000"/>
        <rFont val="宋体"/>
        <charset val="134"/>
      </rPr>
      <t>别名：噩运之仪、诅咒术、黑暗妖术</t>
    </r>
  </si>
  <si>
    <t>死之发送术〔害〕</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</si>
  <si>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1D6</t>
    </r>
    <r>
      <rPr>
        <sz val="14"/>
        <color rgb="FF000000"/>
        <rFont val="宋体"/>
        <charset val="134"/>
      </rPr>
      <t>点理智值</t>
    </r>
  </si>
  <si>
    <t>使用目标的个人物品与坟墓中取来的土混合，进行POW对抗检定，对目标造成重大伤害甚至死亡，魂魄进入目标身体造成各种影响</t>
  </si>
  <si>
    <t>CAST OUT SHAN</t>
  </si>
  <si>
    <t>夏恩逐出术</t>
  </si>
  <si>
    <r>
      <rPr>
        <sz val="14"/>
        <color rgb="FF000000"/>
        <rFont val="MS Gothic"/>
        <charset val="134"/>
      </rPr>
      <t>シャンを</t>
    </r>
    <r>
      <rPr>
        <sz val="14"/>
        <color rgb="FF000000"/>
        <rFont val="宋体"/>
        <charset val="134"/>
      </rPr>
      <t>追</t>
    </r>
    <r>
      <rPr>
        <sz val="14"/>
        <color rgb="FF000000"/>
        <rFont val="MS Gothic"/>
        <charset val="134"/>
      </rPr>
      <t>い</t>
    </r>
    <r>
      <rPr>
        <sz val="14"/>
        <color rgb="FF000000"/>
        <rFont val="宋体"/>
        <charset val="134"/>
      </rPr>
      <t>出</t>
    </r>
    <r>
      <rPr>
        <sz val="14"/>
        <color rgb="FF000000"/>
        <rFont val="MS Gothic"/>
        <charset val="134"/>
      </rPr>
      <t>す</t>
    </r>
  </si>
  <si>
    <r>
      <rPr>
        <sz val="14"/>
        <color rgb="FF000000"/>
        <rFont val="宋体"/>
        <charset val="134"/>
      </rPr>
      <t>夏恩逐出术〔驱〕</t>
    </r>
    <r>
      <rPr>
        <sz val="14"/>
        <color rgb="FF000000"/>
        <rFont val="Resource Han Rounded CN Normal"/>
        <charset val="134"/>
      </rPr>
      <t xml:space="preserve">
Cast Out Shan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t>
    </r>
    <r>
      <rPr>
        <sz val="14"/>
        <color rgb="FF000000"/>
        <rFont val="宋体"/>
        <charset val="134"/>
      </rPr>
      <t>点理智值施法用时：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本法术可以从活体寄主当中驱逐夏恩（夏盖虫族），寄主须在一个用马鞭草摆出的五英尺大小的五角星形区域当中。施法者损失</t>
    </r>
    <r>
      <rPr>
        <sz val="14"/>
        <color rgb="FF000000"/>
        <rFont val="Resource Han Rounded CN Normal"/>
        <charset val="134"/>
      </rPr>
      <t>1</t>
    </r>
    <r>
      <rPr>
        <sz val="14"/>
        <color rgb="FF000000"/>
        <rFont val="宋体"/>
        <charset val="134"/>
      </rPr>
      <t>点理智值（如果对自己施放，施法者消耗</t>
    </r>
    <r>
      <rPr>
        <sz val="14"/>
        <color rgb="FF000000"/>
        <rFont val="Resource Han Rounded CN Normal"/>
        <charset val="134"/>
      </rPr>
      <t>2</t>
    </r>
    <r>
      <rPr>
        <sz val="14"/>
        <color rgb="FF000000"/>
        <rFont val="宋体"/>
        <charset val="134"/>
      </rPr>
      <t>点理智值）。在仪式之后，五角星在接下来的十二小时之内可以保护人不受新的夏恩入侵。</t>
    </r>
    <r>
      <rPr>
        <sz val="14"/>
        <color rgb="FF000000"/>
        <rFont val="Resource Han Rounded CN Normal"/>
        <charset val="134"/>
      </rPr>
      <t xml:space="preserve">
</t>
    </r>
    <r>
      <rPr>
        <sz val="14"/>
        <color rgb="FF000000"/>
        <rFont val="宋体"/>
        <charset val="134"/>
      </rPr>
      <t>别名：取出仪式、极恶夏盖的净化、五角守卫</t>
    </r>
  </si>
  <si>
    <t>坏尸粉创建术〔保〕</t>
  </si>
  <si>
    <r>
      <rPr>
        <sz val="14"/>
        <color rgb="FF000000"/>
        <rFont val="Resource Han Rounded CN Normal"/>
        <charset val="134"/>
      </rPr>
      <t>2</t>
    </r>
    <r>
      <rPr>
        <sz val="14"/>
        <color rgb="FF000000"/>
        <rFont val="宋体"/>
        <charset val="134"/>
      </rPr>
      <t>点魔法值</t>
    </r>
  </si>
  <si>
    <r>
      <rPr>
        <sz val="14"/>
        <color rgb="FF000000"/>
        <rFont val="Resource Han Rounded CN Normal"/>
        <charset val="134"/>
      </rPr>
      <t>6</t>
    </r>
    <r>
      <rPr>
        <sz val="14"/>
        <color rgb="FF000000"/>
        <rFont val="宋体"/>
        <charset val="134"/>
      </rPr>
      <t>小时</t>
    </r>
  </si>
  <si>
    <t>死者守卫术、粉尘之线、血肉屏障</t>
  </si>
  <si>
    <t>RED SIGN OF SHUDDEM'ELL</t>
  </si>
  <si>
    <t>赤印术</t>
  </si>
  <si>
    <r>
      <rPr>
        <sz val="14"/>
        <color rgb="FF000000"/>
        <rFont val="MS Gothic"/>
        <charset val="134"/>
      </rPr>
      <t>シュド・メルの</t>
    </r>
    <r>
      <rPr>
        <sz val="14"/>
        <color rgb="FF000000"/>
        <rFont val="宋体"/>
        <charset val="134"/>
      </rPr>
      <t>赤</t>
    </r>
    <r>
      <rPr>
        <sz val="14"/>
        <color rgb="FF000000"/>
        <rFont val="MS Gothic"/>
        <charset val="134"/>
      </rPr>
      <t>い</t>
    </r>
    <r>
      <rPr>
        <sz val="14"/>
        <color rgb="FF000000"/>
        <rFont val="宋体"/>
        <charset val="134"/>
      </rPr>
      <t>印</t>
    </r>
  </si>
  <si>
    <r>
      <rPr>
        <sz val="14"/>
        <color rgb="FF000000"/>
        <rFont val="宋体"/>
        <charset val="134"/>
      </rPr>
      <t>赤印术〔战〕</t>
    </r>
    <r>
      <rPr>
        <sz val="14"/>
        <color rgb="FF000000"/>
        <rFont val="Resource Han Rounded CN Normal"/>
        <charset val="134"/>
      </rPr>
      <t xml:space="preserve">
Red Sign,the
</t>
    </r>
    <r>
      <rPr>
        <sz val="14"/>
        <color rgb="FF000000"/>
        <rFont val="宋体"/>
        <charset val="134"/>
      </rPr>
      <t>消耗：</t>
    </r>
    <r>
      <rPr>
        <sz val="14"/>
        <color rgb="FF000000"/>
        <rFont val="Resource Han Rounded CN Normal"/>
        <charset val="134"/>
      </rPr>
      <t>3</t>
    </r>
    <r>
      <rPr>
        <sz val="14"/>
        <color rgb="FF000000"/>
        <rFont val="宋体"/>
        <charset val="134"/>
      </rPr>
      <t>点魔法值；</t>
    </r>
    <r>
      <rPr>
        <sz val="14"/>
        <color rgb="FF000000"/>
        <rFont val="Resource Han Rounded CN Normal"/>
        <charset val="134"/>
      </rPr>
      <t>1D8</t>
    </r>
    <r>
      <rPr>
        <sz val="14"/>
        <color rgb="FF000000"/>
        <rFont val="宋体"/>
        <charset val="134"/>
      </rPr>
      <t>点理智值；每轮</t>
    </r>
    <r>
      <rPr>
        <sz val="14"/>
        <color rgb="FF000000"/>
        <rFont val="Resource Han Rounded CN Normal"/>
        <charset val="134"/>
      </rPr>
      <t>1</t>
    </r>
    <r>
      <rPr>
        <sz val="14"/>
        <color rgb="FF000000"/>
        <rFont val="宋体"/>
        <charset val="134"/>
      </rPr>
      <t>点耐久值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这种可怕的法术可以让一个或多个目标恐怖地死去。施法者在空中划出可畏的红色印记，同时念动真言。如果施法正确，施法者手指划过的地方会出现暗红色的印记并在空中发光。此印的邪恶效果在创建后一轮显现出来。印记在形成之后必须靠专注来维持（施法者要站在附近），并且此后每轮都要额外消耗</t>
    </r>
    <r>
      <rPr>
        <sz val="14"/>
        <color rgb="FF000000"/>
        <rFont val="Resource Han Rounded CN Normal"/>
        <charset val="134"/>
      </rPr>
      <t>3</t>
    </r>
    <r>
      <rPr>
        <sz val="14"/>
        <color rgb="FF000000"/>
        <rFont val="宋体"/>
        <charset val="134"/>
      </rPr>
      <t>点魔法值。施法者因为接近印记，此后每轮须损失</t>
    </r>
    <r>
      <rPr>
        <sz val="14"/>
        <color rgb="FF000000"/>
        <rFont val="Resource Han Rounded CN Normal"/>
        <charset val="134"/>
      </rPr>
      <t>1</t>
    </r>
    <r>
      <rPr>
        <sz val="14"/>
        <color rgb="FF000000"/>
        <rFont val="宋体"/>
        <charset val="134"/>
      </rPr>
      <t>点耐久值。</t>
    </r>
    <r>
      <rPr>
        <sz val="14"/>
        <color rgb="FF000000"/>
        <rFont val="Resource Han Rounded CN Normal"/>
        <charset val="134"/>
      </rPr>
      <t xml:space="preserve">
</t>
    </r>
    <r>
      <rPr>
        <sz val="14"/>
        <color rgb="FF000000"/>
        <rFont val="宋体"/>
        <charset val="134"/>
      </rPr>
      <t>距本印记</t>
    </r>
    <r>
      <rPr>
        <sz val="14"/>
        <color rgb="FF000000"/>
        <rFont val="Resource Han Rounded CN Normal"/>
        <charset val="134"/>
      </rPr>
      <t>10</t>
    </r>
    <r>
      <rPr>
        <sz val="14"/>
        <color rgb="FF000000"/>
        <rFont val="宋体"/>
        <charset val="134"/>
      </rPr>
      <t>码以内的人，每人每轮损失</t>
    </r>
    <r>
      <rPr>
        <sz val="14"/>
        <color rgb="FF000000"/>
        <rFont val="Resource Han Rounded CN Normal"/>
        <charset val="134"/>
      </rPr>
      <t>1D3</t>
    </r>
    <r>
      <rPr>
        <sz val="14"/>
        <color rgb="FF000000"/>
        <rFont val="宋体"/>
        <charset val="134"/>
      </rPr>
      <t>点耐久值；他们的身体战栗、痉挛，内部的器官和血管也在抽搐。距离超过</t>
    </r>
    <r>
      <rPr>
        <sz val="14"/>
        <color rgb="FF000000"/>
        <rFont val="Resource Han Rounded CN Normal"/>
        <charset val="134"/>
      </rPr>
      <t>10</t>
    </r>
    <r>
      <rPr>
        <sz val="14"/>
        <color rgb="FF000000"/>
        <rFont val="宋体"/>
        <charset val="134"/>
      </rPr>
      <t>码、不足</t>
    </r>
    <r>
      <rPr>
        <sz val="14"/>
        <color rgb="FF000000"/>
        <rFont val="Resource Han Rounded CN Normal"/>
        <charset val="134"/>
      </rPr>
      <t>30</t>
    </r>
    <r>
      <rPr>
        <sz val="14"/>
        <color rgb="FF000000"/>
        <rFont val="宋体"/>
        <charset val="134"/>
      </rPr>
      <t>码的人，每轮损失</t>
    </r>
    <r>
      <rPr>
        <sz val="14"/>
        <color rgb="FF000000"/>
        <rFont val="Resource Han Rounded CN Normal"/>
        <charset val="134"/>
      </rPr>
      <t>1</t>
    </r>
    <r>
      <rPr>
        <sz val="14"/>
        <color rgb="FF000000"/>
        <rFont val="宋体"/>
        <charset val="134"/>
      </rPr>
      <t>点耐久值。距离超过</t>
    </r>
    <r>
      <rPr>
        <sz val="14"/>
        <color rgb="FF000000"/>
        <rFont val="Resource Han Rounded CN Normal"/>
        <charset val="134"/>
      </rPr>
      <t>30</t>
    </r>
    <r>
      <rPr>
        <sz val="14"/>
        <color rgb="FF000000"/>
        <rFont val="宋体"/>
        <charset val="134"/>
      </rPr>
      <t>码的人不受伤害。隐蔽在坚固和墙壁和其他不透明的屏障后面，可能躲避法术效果。</t>
    </r>
    <r>
      <rPr>
        <sz val="14"/>
        <color rgb="FF000000"/>
        <rFont val="Resource Han Rounded CN Normal"/>
        <charset val="134"/>
      </rPr>
      <t xml:space="preserve">
</t>
    </r>
    <r>
      <rPr>
        <sz val="14"/>
        <color rgb="FF000000"/>
        <rFont val="宋体"/>
        <charset val="134"/>
      </rPr>
      <t>深层魔法：施法者在创造印记时投入</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可以增强赤印。若如此做，每轮中</t>
    </r>
    <r>
      <rPr>
        <sz val="14"/>
        <color rgb="FF000000"/>
        <rFont val="Resource Han Rounded CN Normal"/>
        <charset val="134"/>
      </rPr>
      <t>10</t>
    </r>
    <r>
      <rPr>
        <sz val="14"/>
        <color rgb="FF000000"/>
        <rFont val="宋体"/>
        <charset val="134"/>
      </rPr>
      <t>码内的人受到</t>
    </r>
    <r>
      <rPr>
        <sz val="14"/>
        <color rgb="FF000000"/>
        <rFont val="Resource Han Rounded CN Normal"/>
        <charset val="134"/>
      </rPr>
      <t>1D6</t>
    </r>
    <r>
      <rPr>
        <sz val="14"/>
        <color rgb="FF000000"/>
        <rFont val="宋体"/>
        <charset val="134"/>
      </rPr>
      <t>点伤害，</t>
    </r>
    <r>
      <rPr>
        <sz val="14"/>
        <color rgb="FF000000"/>
        <rFont val="Resource Han Rounded CN Normal"/>
        <charset val="134"/>
      </rPr>
      <t>10~30</t>
    </r>
    <r>
      <rPr>
        <sz val="14"/>
        <color rgb="FF000000"/>
        <rFont val="宋体"/>
        <charset val="134"/>
      </rPr>
      <t>码之间的人受到</t>
    </r>
    <r>
      <rPr>
        <sz val="14"/>
        <color rgb="FF000000"/>
        <rFont val="Resource Han Rounded CN Normal"/>
        <charset val="134"/>
      </rPr>
      <t>2</t>
    </r>
    <r>
      <rPr>
        <sz val="14"/>
        <color rgb="FF000000"/>
        <rFont val="宋体"/>
        <charset val="134"/>
      </rPr>
      <t>点伤害。</t>
    </r>
    <r>
      <rPr>
        <sz val="14"/>
        <color rgb="FF000000"/>
        <rFont val="Resource Han Rounded CN Normal"/>
        <charset val="134"/>
      </rPr>
      <t xml:space="preserve">
</t>
    </r>
    <r>
      <rPr>
        <sz val="14"/>
        <color rgb="FF000000"/>
        <rFont val="宋体"/>
        <charset val="134"/>
      </rPr>
      <t>或者，施法者可以选择让印记一下子释放它的黑暗能量。他照常创造印记并投入</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。在随后</t>
    </r>
    <r>
      <rPr>
        <sz val="14"/>
        <color rgb="FF000000"/>
        <rFont val="Resource Han Rounded CN Normal"/>
        <charset val="134"/>
      </rPr>
      <t>1D4</t>
    </r>
    <r>
      <rPr>
        <sz val="14"/>
        <color rgb="FF000000"/>
        <rFont val="宋体"/>
        <charset val="134"/>
      </rPr>
      <t>轮中印记将爆炸，变成闪耀的红光，对</t>
    </r>
    <r>
      <rPr>
        <sz val="14"/>
        <color rgb="FF000000"/>
        <rFont val="Resource Han Rounded CN Normal"/>
        <charset val="134"/>
      </rPr>
      <t>50</t>
    </r>
    <r>
      <rPr>
        <sz val="14"/>
        <color rgb="FF000000"/>
        <rFont val="宋体"/>
        <charset val="134"/>
      </rPr>
      <t>码内一切存在造成</t>
    </r>
    <r>
      <rPr>
        <sz val="14"/>
        <color rgb="FF000000"/>
        <rFont val="Resource Han Rounded CN Normal"/>
        <charset val="134"/>
      </rPr>
      <t>2D8</t>
    </r>
    <r>
      <rPr>
        <sz val="14"/>
        <color rgb="FF000000"/>
        <rFont val="宋体"/>
        <charset val="134"/>
      </rPr>
      <t>点伤害（包括施法者）。</t>
    </r>
    <r>
      <rPr>
        <sz val="14"/>
        <color rgb="FF000000"/>
        <rFont val="Resource Han Rounded CN Normal"/>
        <charset val="134"/>
      </rPr>
      <t xml:space="preserve">
</t>
    </r>
    <r>
      <rPr>
        <sz val="14"/>
        <color rgb="FF000000"/>
        <rFont val="宋体"/>
        <charset val="134"/>
      </rPr>
      <t>别名：修德</t>
    </r>
    <r>
      <rPr>
        <sz val="14"/>
        <color rgb="FF000000"/>
        <rFont val="Resource Han Rounded CN Normal"/>
        <charset val="134"/>
      </rPr>
      <t>·</t>
    </r>
    <r>
      <rPr>
        <sz val="14"/>
        <color rgb="FF000000"/>
        <rFont val="宋体"/>
        <charset val="134"/>
      </rPr>
      <t>梅尔之赤印、灼痛之印、猩红咒印</t>
    </r>
  </si>
  <si>
    <t>支配术〔战、支〕</t>
  </si>
  <si>
    <t>巫师令、控制之咏、恶意支配、言于内声</t>
  </si>
  <si>
    <t>VANISH</t>
  </si>
  <si>
    <t>消失术</t>
  </si>
  <si>
    <t>消滅</t>
  </si>
  <si>
    <r>
      <rPr>
        <sz val="14"/>
        <color rgb="FF000000"/>
        <rFont val="宋体"/>
        <charset val="134"/>
      </rPr>
      <t>消失术（时空箱创建术变体）〔战、旅〕</t>
    </r>
    <r>
      <rPr>
        <sz val="14"/>
        <color rgb="FF000000"/>
        <rFont val="Resource Han Rounded CN Normal"/>
        <charset val="134"/>
      </rPr>
      <t xml:space="preserve">
Vanish
</t>
    </r>
    <r>
      <rPr>
        <sz val="14"/>
        <color rgb="FF000000"/>
        <rFont val="宋体"/>
        <charset val="134"/>
      </rPr>
      <t>消耗：</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t>
    </r>
    <r>
      <rPr>
        <sz val="14"/>
        <color rgb="FF000000"/>
        <rFont val="宋体"/>
        <charset val="134"/>
      </rPr>
      <t>点理智值；（一次性的</t>
    </r>
    <r>
      <rPr>
        <sz val="14"/>
        <color rgb="FF000000"/>
        <rFont val="Resource Han Rounded CN Normal"/>
        <charset val="134"/>
      </rPr>
      <t xml:space="preserve">
10</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施法者在一阵烟雾中消失，并在预定地点重新出现。该地点在创建一个</t>
    </r>
    <r>
      <rPr>
        <sz val="14"/>
        <color rgb="FF000000"/>
        <rFont val="Resource Han Rounded CN Normal"/>
        <charset val="134"/>
      </rPr>
      <t>“</t>
    </r>
    <r>
      <rPr>
        <sz val="14"/>
        <color rgb="FF000000"/>
        <rFont val="宋体"/>
        <charset val="134"/>
      </rPr>
      <t>时空箱</t>
    </r>
    <r>
      <rPr>
        <sz val="14"/>
        <color rgb="FF000000"/>
        <rFont val="Resource Han Rounded CN Normal"/>
        <charset val="134"/>
      </rPr>
      <t>”(P120)</t>
    </r>
    <r>
      <rPr>
        <sz val="14"/>
        <color rgb="FF000000"/>
        <rFont val="宋体"/>
        <charset val="134"/>
      </rPr>
      <t>时确定。时空箱准备完成后，施法者牺牲</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（一次性消费）并将他身体的一部分（血液、牙齿或指甲）放进箱子；若取出这些部分清空箱子，法术不会生效，巫师必须重新准备箱子（并再次支付法术消耗）。</t>
    </r>
    <r>
      <rPr>
        <sz val="14"/>
        <color rgb="FF000000"/>
        <rFont val="Resource Han Rounded CN Normal"/>
        <charset val="134"/>
      </rPr>
      <t xml:space="preserve">
</t>
    </r>
    <r>
      <rPr>
        <sz val="14"/>
        <color rgb="FF000000"/>
        <rFont val="宋体"/>
        <charset val="134"/>
      </rPr>
      <t>施法者在读出某个短语或打出某个手势之后，会立即传送到时空箱内部，不管它在什么地方。时空箱甚至可以在几百英里的距离之外。箱子可以在施法者不知情的情况下移动，可能会让旅行的人大吃一惊！每次用这种方式旅行需要消耗</t>
    </r>
    <r>
      <rPr>
        <sz val="14"/>
        <color rgb="FF000000"/>
        <rFont val="Resource Han Rounded CN Normal"/>
        <charset val="134"/>
      </rPr>
      <t>5</t>
    </r>
    <r>
      <rPr>
        <sz val="14"/>
        <color rgb="FF000000"/>
        <rFont val="宋体"/>
        <charset val="134"/>
      </rPr>
      <t>点魔法值和</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别名：巫师的出口、回返万全、身体蒸发术</t>
    </r>
  </si>
  <si>
    <t>邪眼术〔害、支〕</t>
  </si>
  <si>
    <t>噩运之仪、诅咒术、黑暗妖术</t>
  </si>
  <si>
    <t>BREATH OF THE DEEP</t>
  </si>
  <si>
    <t>深渊之息</t>
  </si>
  <si>
    <r>
      <rPr>
        <sz val="14"/>
        <color rgb="FF000000"/>
        <rFont val="宋体"/>
        <charset val="134"/>
      </rPr>
      <t>深淵</t>
    </r>
    <r>
      <rPr>
        <sz val="14"/>
        <color rgb="FF000000"/>
        <rFont val="MS Gothic"/>
        <charset val="134"/>
      </rPr>
      <t>の</t>
    </r>
    <r>
      <rPr>
        <sz val="14"/>
        <color rgb="FF000000"/>
        <rFont val="宋体"/>
        <charset val="134"/>
      </rPr>
      <t>息</t>
    </r>
  </si>
  <si>
    <r>
      <rPr>
        <sz val="14"/>
        <color rgb="FF000000"/>
        <rFont val="宋体"/>
        <charset val="134"/>
      </rPr>
      <t>深渊之息〔战〕</t>
    </r>
    <r>
      <rPr>
        <sz val="14"/>
        <color rgb="FF000000"/>
        <rFont val="Resource Han Rounded CN Normal"/>
        <charset val="134"/>
      </rPr>
      <t xml:space="preserve">
Breath of the Deep
</t>
    </r>
    <r>
      <rPr>
        <sz val="14"/>
        <color rgb="FF000000"/>
        <rFont val="宋体"/>
        <charset val="134"/>
      </rPr>
      <t>消耗：</t>
    </r>
    <r>
      <rPr>
        <sz val="14"/>
        <color rgb="FF000000"/>
        <rFont val="Resource Han Rounded CN Normal"/>
        <charset val="134"/>
      </rPr>
      <t>8</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目标的肺里会灌满海水，可以造成痛苦的溺亡。</t>
    </r>
    <r>
      <rPr>
        <sz val="14"/>
        <color rgb="FF000000"/>
        <rFont val="Resource Han Rounded CN Normal"/>
        <charset val="134"/>
      </rPr>
      <t xml:space="preserve">
</t>
    </r>
    <r>
      <rPr>
        <sz val="14"/>
        <color rgb="FF000000"/>
        <rFont val="宋体"/>
        <charset val="134"/>
      </rPr>
      <t>目标必须在施法者的视野内。在</t>
    </r>
    <r>
      <rPr>
        <sz val="14"/>
        <color rgb="FF000000"/>
        <rFont val="Resource Han Rounded CN Normal"/>
        <charset val="134"/>
      </rPr>
      <t>1</t>
    </r>
    <r>
      <rPr>
        <sz val="14"/>
        <color rgb="FF000000"/>
        <rFont val="宋体"/>
        <charset val="134"/>
      </rPr>
      <t>轮的咒语默念之后，施法者须和目标进行一次</t>
    </r>
    <r>
      <rPr>
        <sz val="14"/>
        <color rgb="FF000000"/>
        <rFont val="Resource Han Rounded CN Normal"/>
        <charset val="134"/>
      </rPr>
      <t>POW</t>
    </r>
    <r>
      <rPr>
        <sz val="14"/>
        <color rgb="FF000000"/>
        <rFont val="宋体"/>
        <charset val="134"/>
      </rPr>
      <t>对抗检定并胜出，法术才能生效。若施法者胜出，目标开始溺水</t>
    </r>
    <r>
      <rPr>
        <sz val="14"/>
        <color rgb="FF000000"/>
        <rFont val="Resource Han Rounded CN Normal"/>
        <charset val="134"/>
      </rPr>
      <t>——</t>
    </r>
    <r>
      <rPr>
        <sz val="14"/>
        <color rgb="FF000000"/>
        <rFont val="宋体"/>
        <charset val="134"/>
      </rPr>
      <t>倒地并被海水窒息，每轮受到</t>
    </r>
    <r>
      <rPr>
        <sz val="14"/>
        <color rgb="FF000000"/>
        <rFont val="Resource Han Rounded CN Normal"/>
        <charset val="134"/>
      </rPr>
      <t>1D8</t>
    </r>
    <r>
      <rPr>
        <sz val="14"/>
        <color rgb="FF000000"/>
        <rFont val="宋体"/>
        <charset val="134"/>
      </rPr>
      <t>点伤害。目标须在每轮受伤害后进行一次极难</t>
    </r>
    <r>
      <rPr>
        <sz val="14"/>
        <color rgb="FF000000"/>
        <rFont val="Resource Han Rounded CN Normal"/>
        <charset val="134"/>
      </rPr>
      <t>CON</t>
    </r>
    <r>
      <rPr>
        <sz val="14"/>
        <color rgb="FF000000"/>
        <rFont val="宋体"/>
        <charset val="134"/>
      </rPr>
      <t>（</t>
    </r>
    <r>
      <rPr>
        <sz val="14"/>
        <color rgb="FF000000"/>
        <rFont val="Resource Han Rounded CN Normal"/>
        <charset val="134"/>
      </rPr>
      <t>≤1/5CON</t>
    </r>
    <r>
      <rPr>
        <sz val="14"/>
        <color rgb="FF000000"/>
        <rFont val="宋体"/>
        <charset val="134"/>
      </rPr>
      <t>）检定；如果检定成功，表明咸水已经被排出，法术效果终止。注意施法者可以在任何时候中止法术的效果。</t>
    </r>
    <r>
      <rPr>
        <sz val="14"/>
        <color rgb="FF000000"/>
        <rFont val="Resource Han Rounded CN Normal"/>
        <charset val="134"/>
      </rPr>
      <t xml:space="preserve">
</t>
    </r>
    <r>
      <rPr>
        <sz val="14"/>
        <color rgb="FF000000"/>
        <rFont val="宋体"/>
        <charset val="134"/>
      </rPr>
      <t>别名：蓝色海洋的通货、水手的诅咒、盐卤之吻</t>
    </r>
  </si>
  <si>
    <t>夏恩逐出术〔驱〕</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</si>
  <si>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t>
    </r>
    <r>
      <rPr>
        <sz val="14"/>
        <color rgb="FF000000"/>
        <rFont val="宋体"/>
        <charset val="134"/>
      </rPr>
      <t>点理智值</t>
    </r>
  </si>
  <si>
    <t>取出仪式、极恶夏盖的净化、五角守卫</t>
  </si>
  <si>
    <t>STOP HEART</t>
  </si>
  <si>
    <t>心跳停止术</t>
  </si>
  <si>
    <t>心臓停止</t>
  </si>
  <si>
    <r>
      <rPr>
        <sz val="14"/>
        <color rgb="FF000000"/>
        <rFont val="宋体"/>
        <charset val="134"/>
      </rPr>
      <t>心跳停止术〔害〕</t>
    </r>
    <r>
      <rPr>
        <sz val="14"/>
        <color rgb="FF000000"/>
        <rFont val="Resource Han Rounded CN Normal"/>
        <charset val="134"/>
      </rPr>
      <t xml:space="preserve">
Stop Heart
</t>
    </r>
    <r>
      <rPr>
        <sz val="14"/>
        <color rgb="FF000000"/>
        <rFont val="宋体"/>
        <charset val="134"/>
      </rPr>
      <t>消耗：</t>
    </r>
    <r>
      <rPr>
        <sz val="14"/>
        <color rgb="FF000000"/>
        <rFont val="Resource Han Rounded CN Normal"/>
        <charset val="134"/>
      </rPr>
      <t>14</t>
    </r>
    <r>
      <rPr>
        <sz val="14"/>
        <color rgb="FF000000"/>
        <rFont val="宋体"/>
        <charset val="134"/>
      </rPr>
      <t>点魔法值；</t>
    </r>
    <r>
      <rPr>
        <sz val="14"/>
        <color rgb="FF000000"/>
        <rFont val="Resource Han Rounded CN Normal"/>
        <charset val="134"/>
      </rPr>
      <t>2D6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令法术的目标经受一次严重的心脏病发作。</t>
    </r>
    <r>
      <rPr>
        <sz val="14"/>
        <color rgb="FF000000"/>
        <rFont val="Resource Han Rounded CN Normal"/>
        <charset val="134"/>
      </rPr>
      <t xml:space="preserve">
</t>
    </r>
    <r>
      <rPr>
        <sz val="14"/>
        <color rgb="FF000000"/>
        <rFont val="宋体"/>
        <charset val="134"/>
      </rPr>
      <t>虽然本法术只需要一轮去施放，但施法者必须花掉至少一天的时间来准备本法术（在法术施放前一星期）。准备过程包括一场认真的仪式，施法者在仪式中净化自己的身心。净化过后，法术可以</t>
    </r>
    <r>
      <rPr>
        <sz val="14"/>
        <color rgb="FF000000"/>
        <rFont val="Resource Han Rounded CN Normal"/>
        <charset val="134"/>
      </rPr>
      <t xml:space="preserve">
</t>
    </r>
    <r>
      <rPr>
        <sz val="14"/>
        <color rgb="FF000000"/>
        <rFont val="宋体"/>
        <charset val="134"/>
      </rPr>
      <t>在随后七天的任何时候施放。施法者须和目标进行一次</t>
    </r>
    <r>
      <rPr>
        <sz val="14"/>
        <color rgb="FF000000"/>
        <rFont val="Resource Han Rounded CN Normal"/>
        <charset val="134"/>
      </rPr>
      <t>POW</t>
    </r>
    <r>
      <rPr>
        <sz val="14"/>
        <color rgb="FF000000"/>
        <rFont val="宋体"/>
        <charset val="134"/>
      </rPr>
      <t>对抗检定并胜出，法术才能生效，且目标须在施法者视野范围内。若成功，目标失去</t>
    </r>
    <r>
      <rPr>
        <sz val="14"/>
        <color rgb="FF000000"/>
        <rFont val="Resource Han Rounded CN Normal"/>
        <charset val="134"/>
      </rPr>
      <t>4D6</t>
    </r>
    <r>
      <rPr>
        <sz val="14"/>
        <color rgb="FF000000"/>
        <rFont val="宋体"/>
        <charset val="134"/>
      </rPr>
      <t>点耐久值，若还活着也会在</t>
    </r>
    <r>
      <rPr>
        <sz val="14"/>
        <color rgb="FF000000"/>
        <rFont val="Resource Han Rounded CN Normal"/>
        <charset val="134"/>
      </rPr>
      <t>2D10</t>
    </r>
    <r>
      <rPr>
        <sz val="14"/>
        <color rgb="FF000000"/>
        <rFont val="宋体"/>
        <charset val="134"/>
      </rPr>
      <t>轮当中失去战斗能力。</t>
    </r>
    <r>
      <rPr>
        <sz val="14"/>
        <color rgb="FF000000"/>
        <rFont val="Resource Han Rounded CN Normal"/>
        <charset val="134"/>
      </rPr>
      <t xml:space="preserve">
</t>
    </r>
    <r>
      <rPr>
        <sz val="14"/>
        <color rgb="FF000000"/>
        <rFont val="宋体"/>
        <charset val="134"/>
      </rPr>
      <t>深层魔法：在本法术的一个恐怖扭曲版本中，目标尚在搏动的心脏会被召唤到施法者的手中（最大距离</t>
    </r>
    <r>
      <rPr>
        <sz val="14"/>
        <color rgb="FF000000"/>
        <rFont val="Resource Han Rounded CN Normal"/>
        <charset val="134"/>
      </rPr>
      <t>100</t>
    </r>
    <r>
      <rPr>
        <sz val="14"/>
        <color rgb="FF000000"/>
        <rFont val="宋体"/>
        <charset val="134"/>
      </rPr>
      <t>尺）。必死无疑。</t>
    </r>
    <r>
      <rPr>
        <sz val="14"/>
        <color rgb="FF000000"/>
        <rFont val="Resource Han Rounded CN Normal"/>
        <charset val="134"/>
      </rPr>
      <t xml:space="preserve">
</t>
    </r>
    <r>
      <rPr>
        <sz val="14"/>
        <color rgb="FF000000"/>
        <rFont val="宋体"/>
        <charset val="134"/>
      </rPr>
      <t>别名：抓攫不信者跳动的心脏、血手术、死之真言</t>
    </r>
  </si>
  <si>
    <t>赤印术〔战〕</t>
  </si>
  <si>
    <r>
      <rPr>
        <sz val="14"/>
        <color rgb="FF000000"/>
        <rFont val="Resource Han Rounded CN Normal"/>
        <charset val="134"/>
      </rPr>
      <t>3</t>
    </r>
    <r>
      <rPr>
        <sz val="14"/>
        <color rgb="FF000000"/>
        <rFont val="宋体"/>
        <charset val="134"/>
      </rPr>
      <t>点魔法值；</t>
    </r>
    <r>
      <rPr>
        <sz val="14"/>
        <color rgb="FF000000"/>
        <rFont val="Resource Han Rounded CN Normal"/>
        <charset val="134"/>
      </rPr>
      <t>1D8</t>
    </r>
    <r>
      <rPr>
        <sz val="14"/>
        <color rgb="FF000000"/>
        <rFont val="宋体"/>
        <charset val="134"/>
      </rPr>
      <t>点理智值；每轮</t>
    </r>
    <r>
      <rPr>
        <sz val="14"/>
        <color rgb="FF000000"/>
        <rFont val="Resource Han Rounded CN Normal"/>
        <charset val="134"/>
      </rPr>
      <t>1</t>
    </r>
    <r>
      <rPr>
        <sz val="14"/>
        <color rgb="FF000000"/>
        <rFont val="宋体"/>
        <charset val="134"/>
      </rPr>
      <t>点耐久值</t>
    </r>
  </si>
  <si>
    <r>
      <rPr>
        <sz val="14"/>
        <color rgb="FF000000"/>
        <rFont val="宋体"/>
        <charset val="134"/>
      </rPr>
      <t>修德</t>
    </r>
    <r>
      <rPr>
        <sz val="14"/>
        <color rgb="FF000000"/>
        <rFont val="Resource Han Rounded CN Normal"/>
        <charset val="134"/>
      </rPr>
      <t>·</t>
    </r>
    <r>
      <rPr>
        <sz val="14"/>
        <color rgb="FF000000"/>
        <rFont val="宋体"/>
        <charset val="134"/>
      </rPr>
      <t>梅尔之赤印、灼痛之印、猩红咒印</t>
    </r>
  </si>
  <si>
    <t>SEEK HEART</t>
  </si>
  <si>
    <t>心脏寻求术</t>
  </si>
  <si>
    <r>
      <rPr>
        <sz val="14"/>
        <color rgb="FF000000"/>
        <rFont val="宋体"/>
        <charset val="134"/>
      </rPr>
      <t>心臓</t>
    </r>
    <r>
      <rPr>
        <sz val="14"/>
        <color rgb="FF000000"/>
        <rFont val="MS Gothic"/>
        <charset val="134"/>
      </rPr>
      <t>の</t>
    </r>
    <r>
      <rPr>
        <sz val="14"/>
        <color rgb="FF000000"/>
        <rFont val="宋体"/>
        <charset val="134"/>
      </rPr>
      <t>探求</t>
    </r>
  </si>
  <si>
    <r>
      <rPr>
        <sz val="14"/>
        <color rgb="FF000000"/>
        <rFont val="宋体"/>
        <charset val="134"/>
      </rPr>
      <t>心脏寻求术</t>
    </r>
    <r>
      <rPr>
        <sz val="14"/>
        <color rgb="FF000000"/>
        <rFont val="Resource Han Rounded CN Normal"/>
        <charset val="134"/>
      </rPr>
      <t xml:space="preserve">
Seek Heart
</t>
    </r>
    <r>
      <rPr>
        <sz val="14"/>
        <color rgb="FF000000"/>
        <rFont val="宋体"/>
        <charset val="134"/>
      </rPr>
      <t>以意志驱使尸体，让其去寻找一个新鲜的心脏以取代它失去的部分。施展该咒文需要支付</t>
    </r>
    <r>
      <rPr>
        <sz val="14"/>
        <color rgb="FF000000"/>
        <rFont val="Resource Han Rounded CN Normal"/>
        <charset val="134"/>
      </rPr>
      <t>6</t>
    </r>
    <r>
      <rPr>
        <sz val="14"/>
        <color rgb="FF000000"/>
        <rFont val="宋体"/>
        <charset val="134"/>
      </rPr>
      <t>点理智值与</t>
    </r>
    <r>
      <rPr>
        <sz val="14"/>
        <color rgb="FF000000"/>
        <rFont val="Resource Han Rounded CN Normal"/>
        <charset val="134"/>
      </rPr>
      <t>8</t>
    </r>
    <r>
      <rPr>
        <sz val="14"/>
        <color rgb="FF000000"/>
        <rFont val="宋体"/>
        <charset val="134"/>
      </rPr>
      <t>点魔法值。同时，施法者必须在一具可见尸体周遭一百码距离之内施法。</t>
    </r>
    <r>
      <rPr>
        <sz val="14"/>
        <color rgb="FF000000"/>
        <rFont val="Resource Han Rounded CN Normal"/>
        <charset val="134"/>
      </rPr>
      <t xml:space="preserve">
</t>
    </r>
    <r>
      <rPr>
        <sz val="14"/>
        <color rgb="FF000000"/>
        <rFont val="宋体"/>
        <charset val="134"/>
      </rPr>
      <t>一当施咒，尸体将尽其所能找到第一个受害者。它会攻击受害者并撕开其腹腔，把他的心脏扯出。攻击者会将跃动的心脏嵌入尸首之内，享受着这转瞬即逝的狂喜。随后，寻索的死尸便会崩塌腐毁。正因这隐于肉体内的力量，一旦被抽离，尸体则迅速腐败。</t>
    </r>
    <r>
      <rPr>
        <sz val="14"/>
        <color rgb="FF000000"/>
        <rFont val="Resource Han Rounded CN Normal"/>
        <charset val="134"/>
      </rPr>
      <t xml:space="preserve">
</t>
    </r>
    <r>
      <rPr>
        <sz val="14"/>
        <color rgb="FF000000"/>
        <rFont val="宋体"/>
        <charset val="134"/>
      </rPr>
      <t>咒文的效果将以分钟的长度持续等同造尸者的力量值＋体质值＋魔法值的时间。若在持续时间内尸体不能寻获新的心脏，它会高鸣起低沉的耶利米哀歌，倒在地上化作尘埃。</t>
    </r>
    <r>
      <rPr>
        <sz val="14"/>
        <color rgb="FF000000"/>
        <rFont val="Resource Han Rounded CN Normal"/>
        <charset val="134"/>
      </rPr>
      <t xml:space="preserve">
</t>
    </r>
    <r>
      <rPr>
        <sz val="14"/>
        <color rgb="FF000000"/>
        <rFont val="宋体"/>
        <charset val="134"/>
      </rPr>
      <t>每次施展咒文都需要一具仍未腐烂、相对新鲜的尸体。尸首的血液须要抽干，并且取出其心脏。准备这具尸体以及施展这道咒文需要</t>
    </r>
    <r>
      <rPr>
        <sz val="14"/>
        <color rgb="FF000000"/>
        <rFont val="Resource Han Rounded CN Normal"/>
        <charset val="134"/>
      </rPr>
      <t>1D3</t>
    </r>
    <r>
      <rPr>
        <sz val="14"/>
        <color rgb="FF000000"/>
        <rFont val="宋体"/>
        <charset val="134"/>
      </rPr>
      <t>个小时。</t>
    </r>
  </si>
  <si>
    <t>消失术（时空箱创建术变体）〔战、旅〕</t>
  </si>
  <si>
    <r>
      <rPr>
        <sz val="14"/>
        <color rgb="FF000000"/>
        <rFont val="Resource Han Rounded CN Normal"/>
        <charset val="134"/>
      </rPr>
      <t>5</t>
    </r>
    <r>
      <rPr>
        <sz val="14"/>
        <color rgb="FF000000"/>
        <rFont val="宋体"/>
        <charset val="134"/>
      </rPr>
      <t>点魔法值；</t>
    </r>
    <r>
      <rPr>
        <sz val="14"/>
        <color rgb="FF000000"/>
        <rFont val="Resource Han Rounded CN Normal"/>
        <charset val="134"/>
      </rPr>
      <t>1</t>
    </r>
    <r>
      <rPr>
        <sz val="14"/>
        <color rgb="FF000000"/>
        <rFont val="宋体"/>
        <charset val="134"/>
      </rPr>
      <t>点理智值；（一次性的</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t>
    </r>
  </si>
  <si>
    <t>巫师的出口、回返万全、身体蒸发术</t>
  </si>
  <si>
    <t>TRANSFER BODY PART</t>
  </si>
  <si>
    <t>身体部件转移术</t>
  </si>
  <si>
    <r>
      <rPr>
        <sz val="14"/>
        <color rgb="FF000000"/>
        <rFont val="宋体"/>
        <charset val="134"/>
      </rPr>
      <t>身体部分</t>
    </r>
    <r>
      <rPr>
        <sz val="14"/>
        <color rgb="FF000000"/>
        <rFont val="MS Gothic"/>
        <charset val="134"/>
      </rPr>
      <t>の</t>
    </r>
    <r>
      <rPr>
        <sz val="14"/>
        <color rgb="FF000000"/>
        <rFont val="宋体"/>
        <charset val="134"/>
      </rPr>
      <t>転移</t>
    </r>
  </si>
  <si>
    <r>
      <rPr>
        <sz val="14"/>
        <color rgb="FF000000"/>
        <rFont val="宋体"/>
        <charset val="134"/>
      </rPr>
      <t>身体部件转移术〔续、变〕</t>
    </r>
    <r>
      <rPr>
        <sz val="14"/>
        <color rgb="FF000000"/>
        <rFont val="Resource Han Rounded CN Normal"/>
        <charset val="134"/>
      </rPr>
      <t xml:space="preserve">
Transfer Body Part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1D10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能让施法者在两具身体之间转移身体部件。没有互换器官或肢体的限制。如果目标不同意，则施法者须和目标进行一次</t>
    </r>
    <r>
      <rPr>
        <sz val="14"/>
        <color rgb="FF000000"/>
        <rFont val="Resource Han Rounded CN Normal"/>
        <charset val="134"/>
      </rPr>
      <t>POW</t>
    </r>
    <r>
      <rPr>
        <sz val="14"/>
        <color rgb="FF000000"/>
        <rFont val="宋体"/>
        <charset val="134"/>
      </rPr>
      <t>对抗检定并胜出，法术才能生效。本法术包括附魔过程，制造一条魔法线来缝合转移的身体部件。大多数肢体需要投入</t>
    </r>
    <r>
      <rPr>
        <sz val="14"/>
        <color rgb="FF000000"/>
        <rFont val="Resource Han Rounded CN Normal"/>
        <charset val="134"/>
      </rPr>
      <t>10</t>
    </r>
    <r>
      <rPr>
        <sz val="14"/>
        <color rgb="FF000000"/>
        <rFont val="宋体"/>
        <charset val="134"/>
      </rPr>
      <t>点魔法值，转移越复杂，消耗越大（因此转移双腿需要</t>
    </r>
    <r>
      <rPr>
        <sz val="14"/>
        <color rgb="FF000000"/>
        <rFont val="Resource Han Rounded CN Normal"/>
        <charset val="134"/>
      </rPr>
      <t>20</t>
    </r>
    <r>
      <rPr>
        <sz val="14"/>
        <color rgb="FF000000"/>
        <rFont val="宋体"/>
        <charset val="134"/>
      </rPr>
      <t>点魔法值，转移头颅和大脑需要</t>
    </r>
    <r>
      <rPr>
        <sz val="14"/>
        <color rgb="FF000000"/>
        <rFont val="Resource Han Rounded CN Normal"/>
        <charset val="134"/>
      </rPr>
      <t>100</t>
    </r>
    <r>
      <rPr>
        <sz val="14"/>
        <color rgb="FF000000"/>
        <rFont val="宋体"/>
        <charset val="134"/>
      </rPr>
      <t>点魔法值）。若其中一具对象是尸体（如施法者想要把尸体的手转移到活物身上），则消耗由</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上升到</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 xml:space="preserve">
</t>
    </r>
    <r>
      <rPr>
        <sz val="14"/>
        <color rgb="FF000000"/>
        <rFont val="宋体"/>
        <charset val="134"/>
      </rPr>
      <t>若要把身体部件还给原主（在通过本法术转</t>
    </r>
    <r>
      <rPr>
        <sz val="14"/>
        <color rgb="FF000000"/>
        <rFont val="Resource Han Rounded CN Normal"/>
        <charset val="134"/>
      </rPr>
      <t xml:space="preserve">
</t>
    </r>
    <r>
      <rPr>
        <sz val="14"/>
        <color rgb="FF000000"/>
        <rFont val="宋体"/>
        <charset val="134"/>
      </rPr>
      <t>移了身体部件以后），需要施放</t>
    </r>
    <r>
      <rPr>
        <sz val="14"/>
        <color rgb="FF000000"/>
        <rFont val="Resource Han Rounded CN Normal"/>
        <charset val="134"/>
      </rPr>
      <t>“</t>
    </r>
    <r>
      <rPr>
        <sz val="14"/>
        <color rgb="FF000000"/>
        <rFont val="宋体"/>
        <charset val="134"/>
      </rPr>
      <t>反转移术</t>
    </r>
    <r>
      <rPr>
        <sz val="14"/>
        <color rgb="FF000000"/>
        <rFont val="Resource Han Rounded CN Normal"/>
        <charset val="134"/>
      </rPr>
      <t>”(P95)</t>
    </r>
    <r>
      <rPr>
        <sz val="14"/>
        <color rgb="FF000000"/>
        <rFont val="宋体"/>
        <charset val="134"/>
      </rPr>
      <t>。</t>
    </r>
    <r>
      <rPr>
        <sz val="14"/>
        <color rgb="FF000000"/>
        <rFont val="Resource Han Rounded CN Normal"/>
        <charset val="134"/>
      </rPr>
      <t xml:space="preserve">
</t>
    </r>
    <r>
      <rPr>
        <sz val="14"/>
        <color rgb="FF000000"/>
        <rFont val="宋体"/>
        <charset val="134"/>
      </rPr>
      <t>深层魔法：熟练运用本法术的皮肤兄弟会监视某些目标，图谋珍贵的解剖材料，如田径运动员的腿、拳击手的拳头、潜水员的肺、钢琴家的手等等。本法术具有的邪恶变体不可尽述。</t>
    </r>
    <r>
      <rPr>
        <sz val="14"/>
        <color rgb="FF000000"/>
        <rFont val="Resource Han Rounded CN Normal"/>
        <charset val="134"/>
      </rPr>
      <t xml:space="preserve">
</t>
    </r>
    <r>
      <rPr>
        <sz val="14"/>
        <color rgb="FF000000"/>
        <rFont val="宋体"/>
        <charset val="134"/>
      </rPr>
      <t>别名：血肉收藏、皮肤交易</t>
    </r>
  </si>
  <si>
    <t>深渊之息〔战〕</t>
  </si>
  <si>
    <r>
      <rPr>
        <sz val="14"/>
        <color rgb="FF000000"/>
        <rFont val="Resource Han Rounded CN Normal"/>
        <charset val="134"/>
      </rPr>
      <t>8</t>
    </r>
    <r>
      <rPr>
        <sz val="14"/>
        <color rgb="FF000000"/>
        <rFont val="宋体"/>
        <charset val="134"/>
      </rPr>
      <t>点魔法值；</t>
    </r>
    <r>
      <rPr>
        <sz val="14"/>
        <color rgb="FF000000"/>
        <rFont val="Resource Han Rounded CN Normal"/>
        <charset val="134"/>
      </rPr>
      <t>1D6</t>
    </r>
    <r>
      <rPr>
        <sz val="14"/>
        <color rgb="FF000000"/>
        <rFont val="宋体"/>
        <charset val="134"/>
      </rPr>
      <t>点理智值</t>
    </r>
  </si>
  <si>
    <t>蓝色海洋的通货、水手的诅咒、盐卤之吻</t>
  </si>
  <si>
    <t>BIND LOUP-GAROU/CAGE OF KIND</t>
  </si>
  <si>
    <t>兽化人束缚术</t>
  </si>
  <si>
    <r>
      <rPr>
        <sz val="14"/>
        <color rgb="FF000000"/>
        <rFont val="宋体"/>
        <charset val="134"/>
      </rPr>
      <t>人狼</t>
    </r>
    <r>
      <rPr>
        <sz val="14"/>
        <color rgb="FF000000"/>
        <rFont val="MS Gothic"/>
        <charset val="134"/>
      </rPr>
      <t>の</t>
    </r>
    <r>
      <rPr>
        <sz val="14"/>
        <color rgb="FF000000"/>
        <rFont val="宋体"/>
        <charset val="134"/>
      </rPr>
      <t>拘束／種族</t>
    </r>
    <r>
      <rPr>
        <sz val="14"/>
        <color rgb="FF000000"/>
        <rFont val="MS Gothic"/>
        <charset val="134"/>
      </rPr>
      <t>の</t>
    </r>
    <r>
      <rPr>
        <sz val="14"/>
        <color rgb="FF000000"/>
        <rFont val="宋体"/>
        <charset val="134"/>
      </rPr>
      <t>橿</t>
    </r>
  </si>
  <si>
    <r>
      <rPr>
        <sz val="14"/>
        <color rgb="FF000000"/>
        <rFont val="宋体"/>
        <charset val="134"/>
      </rPr>
      <t>兽化人束缚术〔驱〕</t>
    </r>
    <r>
      <rPr>
        <sz val="14"/>
        <color rgb="FF000000"/>
        <rFont val="Resource Han Rounded CN Normal"/>
        <charset val="134"/>
      </rPr>
      <t xml:space="preserve">
Bind Were-Creature
</t>
    </r>
    <r>
      <rPr>
        <sz val="14"/>
        <color rgb="FF000000"/>
        <rFont val="宋体"/>
        <charset val="134"/>
      </rPr>
      <t>消耗：</t>
    </r>
    <r>
      <rPr>
        <sz val="14"/>
        <color rgb="FF000000"/>
        <rFont val="Resource Han Rounded CN Normal"/>
        <charset val="134"/>
      </rPr>
      <t xml:space="preserve">14 </t>
    </r>
    <r>
      <rPr>
        <sz val="14"/>
        <color rgb="FF000000"/>
        <rFont val="宋体"/>
        <charset val="134"/>
      </rPr>
      <t>点魔法值；</t>
    </r>
    <r>
      <rPr>
        <sz val="14"/>
        <color rgb="FF000000"/>
        <rFont val="Resource Han Rounded CN Normal"/>
        <charset val="134"/>
      </rPr>
      <t xml:space="preserve">2D4 </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 xml:space="preserve">1 </t>
    </r>
    <r>
      <rPr>
        <sz val="14"/>
        <color rgb="FF000000"/>
        <rFont val="宋体"/>
        <charset val="134"/>
      </rPr>
      <t>小时</t>
    </r>
    <r>
      <rPr>
        <sz val="14"/>
        <color rgb="FF000000"/>
        <rFont val="Resource Han Rounded CN Normal"/>
        <charset val="134"/>
      </rPr>
      <t xml:space="preserve">
</t>
    </r>
    <r>
      <rPr>
        <sz val="14"/>
        <color rgb="FF000000"/>
        <rFont val="宋体"/>
        <charset val="134"/>
      </rPr>
      <t>移除兽化人控制它变形能力的愿望，在短时间内迫使它此后以变化的形态去生活。被这样束缚的生物将除去人性，永远变成野兽。</t>
    </r>
    <r>
      <rPr>
        <sz val="14"/>
        <color rgb="FF000000"/>
        <rFont val="Resource Han Rounded CN Normal"/>
        <charset val="134"/>
      </rPr>
      <t xml:space="preserve">
</t>
    </r>
    <r>
      <rPr>
        <sz val="14"/>
        <color rgb="FF000000"/>
        <rFont val="宋体"/>
        <charset val="134"/>
      </rPr>
      <t>本法术一经施放，目标即失去选择何时变身的能力。它将变得越来越像野兽，愤怒、恐惧、性欲和饥饿之类的兽性本能都增强。变形将不再是有意的选择。效果随着时间而加强。在</t>
    </r>
    <r>
      <rPr>
        <sz val="14"/>
        <color rgb="FF000000"/>
        <rFont val="Resource Han Rounded CN Normal"/>
        <charset val="134"/>
      </rPr>
      <t xml:space="preserve"> 1D6 </t>
    </r>
    <r>
      <rPr>
        <sz val="14"/>
        <color rgb="FF000000"/>
        <rFont val="宋体"/>
        <charset val="134"/>
      </rPr>
      <t>天之后，目标的一半时间都是动物状态。再</t>
    </r>
    <r>
      <rPr>
        <sz val="14"/>
        <color rgb="FF000000"/>
        <rFont val="Resource Han Rounded CN Normal"/>
        <charset val="134"/>
      </rPr>
      <t xml:space="preserve"> 1D6 </t>
    </r>
    <r>
      <rPr>
        <sz val="14"/>
        <color rgb="FF000000"/>
        <rFont val="宋体"/>
        <charset val="134"/>
      </rPr>
      <t>天之后，这个生物的人性已经变得毫无吸引力且乏味，它将从此作为野兽生活下去。</t>
    </r>
    <r>
      <rPr>
        <sz val="14"/>
        <color rgb="FF000000"/>
        <rFont val="Resource Han Rounded CN Normal"/>
        <charset val="134"/>
      </rPr>
      <t xml:space="preserve">
</t>
    </r>
    <r>
      <rPr>
        <sz val="14"/>
        <color rgb="FF000000"/>
        <rFont val="宋体"/>
        <charset val="134"/>
      </rPr>
      <t>要施放本法术，施法者需要一碗固体的银子或者金子。碗的内表面必须刻画有本法术的咒语。施法者还要在施法地点的地面上刻画一个圆形的保护圈，围绕保护圈点燃六支蜡烛。当蜡烛点亮以后，施法者就不可以离开保护圈。至少要在碗里滴入六滴人类鲜血。在碗里放入目标的所有物来确定目标（毛发、指甲、个人物品等等）。可以一次指定多名目标。必须不间断地咏唱咒语一个小时，如果一切顺利，碗会短暂发光，法术便生效了。</t>
    </r>
    <r>
      <rPr>
        <sz val="14"/>
        <color rgb="FF000000"/>
        <rFont val="Resource Han Rounded CN Normal"/>
        <charset val="134"/>
      </rPr>
      <t xml:space="preserve">
</t>
    </r>
    <r>
      <rPr>
        <sz val="14"/>
        <color rgb="FF000000"/>
        <rFont val="宋体"/>
        <charset val="134"/>
      </rPr>
      <t>施法之后，目标将因为兽性的需求经历不断增长的恐惧和欲望，在它知道自己发生了什么之前，不损失理智值；知道了以后，每天损失</t>
    </r>
    <r>
      <rPr>
        <sz val="14"/>
        <color rgb="FF000000"/>
        <rFont val="Resource Han Rounded CN Normal"/>
        <charset val="134"/>
      </rPr>
      <t xml:space="preserve">1D3+1 </t>
    </r>
    <r>
      <rPr>
        <sz val="14"/>
        <color rgb="FF000000"/>
        <rFont val="宋体"/>
        <charset val="134"/>
      </rPr>
      <t>点理智值，直到</t>
    </r>
    <r>
      <rPr>
        <sz val="14"/>
        <color rgb="FF000000"/>
        <rFont val="Resource Han Rounded CN Normal"/>
        <charset val="134"/>
      </rPr>
      <t xml:space="preserve"> POW </t>
    </r>
    <r>
      <rPr>
        <sz val="14"/>
        <color rgb="FF000000"/>
        <rFont val="宋体"/>
        <charset val="134"/>
      </rPr>
      <t>的五分之一天以后，它失去自己所有的理智值（人类形态下的），并永久疯狂。</t>
    </r>
    <r>
      <rPr>
        <sz val="14"/>
        <color rgb="FF000000"/>
        <rFont val="Resource Han Rounded CN Normal"/>
        <charset val="134"/>
      </rPr>
      <t xml:space="preserve">
</t>
    </r>
    <r>
      <rPr>
        <sz val="14"/>
        <color rgb="FF000000"/>
        <rFont val="宋体"/>
        <charset val="134"/>
      </rPr>
      <t>别名：物种之牢狱、狼人束缚术</t>
    </r>
  </si>
  <si>
    <t>心跳停止术〔害〕</t>
  </si>
  <si>
    <r>
      <rPr>
        <sz val="14"/>
        <color rgb="FF000000"/>
        <rFont val="Resource Han Rounded CN Normal"/>
        <charset val="134"/>
      </rPr>
      <t>14</t>
    </r>
    <r>
      <rPr>
        <sz val="14"/>
        <color rgb="FF000000"/>
        <rFont val="宋体"/>
        <charset val="134"/>
      </rPr>
      <t>点魔法值；</t>
    </r>
    <r>
      <rPr>
        <sz val="14"/>
        <color rgb="FF000000"/>
        <rFont val="Resource Han Rounded CN Normal"/>
        <charset val="134"/>
      </rPr>
      <t>2D6</t>
    </r>
    <r>
      <rPr>
        <sz val="14"/>
        <color rgb="FF000000"/>
        <rFont val="宋体"/>
        <charset val="134"/>
      </rPr>
      <t>点理智值</t>
    </r>
  </si>
  <si>
    <t>抓攫不信者跳动的心脏、血手术、死之真言</t>
  </si>
  <si>
    <t>CREATE SCRYING WINDOW</t>
  </si>
  <si>
    <t>占卜窗创建术</t>
  </si>
  <si>
    <r>
      <rPr>
        <sz val="14"/>
        <color rgb="FF000000"/>
        <rFont val="宋体"/>
        <charset val="134"/>
      </rPr>
      <t>水晶占</t>
    </r>
    <r>
      <rPr>
        <sz val="14"/>
        <color rgb="FF000000"/>
        <rFont val="MS Gothic"/>
        <charset val="134"/>
      </rPr>
      <t>いの</t>
    </r>
    <r>
      <rPr>
        <sz val="14"/>
        <color rgb="FF000000"/>
        <rFont val="宋体"/>
        <charset val="134"/>
      </rPr>
      <t>窓</t>
    </r>
    <r>
      <rPr>
        <sz val="14"/>
        <color rgb="FF000000"/>
        <rFont val="MS Gothic"/>
        <charset val="134"/>
      </rPr>
      <t>の</t>
    </r>
    <r>
      <rPr>
        <sz val="14"/>
        <color rgb="FF000000"/>
        <rFont val="宋体"/>
        <charset val="134"/>
      </rPr>
      <t>創造</t>
    </r>
  </si>
  <si>
    <r>
      <rPr>
        <sz val="14"/>
        <color rgb="FF000000"/>
        <rFont val="宋体"/>
        <charset val="134"/>
      </rPr>
      <t>占卜窗创建术〔时〕</t>
    </r>
    <r>
      <rPr>
        <sz val="14"/>
        <color rgb="FF000000"/>
        <rFont val="Resource Han Rounded CN Normal"/>
        <charset val="134"/>
      </rPr>
      <t xml:space="preserve">
Create ScryingW indow
</t>
    </r>
    <r>
      <rPr>
        <sz val="14"/>
        <color rgb="FF000000"/>
        <rFont val="宋体"/>
        <charset val="134"/>
      </rPr>
      <t>消耗：</t>
    </r>
    <r>
      <rPr>
        <sz val="14"/>
        <color rgb="FF000000"/>
        <rFont val="Resource Han Rounded CN Normal"/>
        <charset val="134"/>
      </rPr>
      <t>98</t>
    </r>
    <r>
      <rPr>
        <sz val="14"/>
        <color rgb="FF000000"/>
        <rFont val="宋体"/>
        <charset val="134"/>
      </rPr>
      <t>点魔法值；</t>
    </r>
    <r>
      <rPr>
        <sz val="14"/>
        <color rgb="FF000000"/>
        <rFont val="Resource Han Rounded CN Normal"/>
        <charset val="134"/>
      </rPr>
      <t>50</t>
    </r>
    <r>
      <rPr>
        <sz val="14"/>
        <color rgb="FF000000"/>
        <rFont val="宋体"/>
        <charset val="134"/>
      </rPr>
      <t>点</t>
    </r>
    <r>
      <rPr>
        <sz val="14"/>
        <color rgb="FF000000"/>
        <rFont val="Resource Han Rounded CN Normal"/>
        <charset val="134"/>
      </rPr>
      <t>POW</t>
    </r>
    <r>
      <rPr>
        <sz val="14"/>
        <color rgb="FF000000"/>
        <rFont val="宋体"/>
        <charset val="134"/>
      </rPr>
      <t>；每次</t>
    </r>
    <r>
      <rPr>
        <sz val="14"/>
        <color rgb="FF000000"/>
        <rFont val="Resource Han Rounded CN Normal"/>
        <charset val="134"/>
      </rPr>
      <t>1D3</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施法用时：很多星期</t>
    </r>
    <r>
      <rPr>
        <sz val="14"/>
        <color rgb="FF000000"/>
        <rFont val="Resource Han Rounded CN Normal"/>
        <charset val="134"/>
      </rPr>
      <t xml:space="preserve">
</t>
    </r>
    <r>
      <rPr>
        <sz val="14"/>
        <color rgb="FF000000"/>
        <rFont val="宋体"/>
        <charset val="134"/>
      </rPr>
      <t>附魔一块玻璃，可以创建一扇魔法窗户，巫师通过它可以观察过去。每次使用玻璃需要观察者损失</t>
    </r>
    <r>
      <rPr>
        <sz val="14"/>
        <color rgb="FF000000"/>
        <rFont val="Resource Han Rounded CN Normal"/>
        <charset val="134"/>
      </rPr>
      <t>1D3</t>
    </r>
    <r>
      <rPr>
        <sz val="14"/>
        <color rgb="FF000000"/>
        <rFont val="宋体"/>
        <charset val="134"/>
      </rPr>
      <t>点理智值，并且在观察到某些怪物时还要单独处理理智值损失。</t>
    </r>
    <r>
      <rPr>
        <sz val="14"/>
        <color rgb="FF000000"/>
        <rFont val="Resource Han Rounded CN Normal"/>
        <charset val="134"/>
      </rPr>
      <t xml:space="preserve">
</t>
    </r>
    <r>
      <rPr>
        <sz val="14"/>
        <color rgb="FF000000"/>
        <rFont val="宋体"/>
        <charset val="134"/>
      </rPr>
      <t>要创建一扇占卜窗，施法者必须用</t>
    </r>
    <r>
      <rPr>
        <sz val="14"/>
        <color rgb="FF000000"/>
        <rFont val="Resource Han Rounded CN Normal"/>
        <charset val="134"/>
      </rPr>
      <t>50</t>
    </r>
    <r>
      <rPr>
        <sz val="14"/>
        <color rgb="FF000000"/>
        <rFont val="宋体"/>
        <charset val="134"/>
      </rPr>
      <t>点</t>
    </r>
    <r>
      <rPr>
        <sz val="14"/>
        <color rgb="FF000000"/>
        <rFont val="Resource Han Rounded CN Normal"/>
        <charset val="134"/>
      </rPr>
      <t>POW</t>
    </r>
    <r>
      <rPr>
        <sz val="14"/>
        <color rgb="FF000000"/>
        <rFont val="宋体"/>
        <charset val="134"/>
      </rPr>
      <t>来附魔一扇透明的观察玻璃。在附魔玻璃时，它必须指明过去的精确时间，这个时间是相对于玻璃创建时刻的。例如，可以说</t>
    </r>
    <r>
      <rPr>
        <sz val="14"/>
        <color rgb="FF000000"/>
        <rFont val="Resource Han Rounded CN Normal"/>
        <charset val="134"/>
      </rPr>
      <t>“800</t>
    </r>
    <r>
      <rPr>
        <sz val="14"/>
        <color rgb="FF000000"/>
        <rFont val="宋体"/>
        <charset val="134"/>
      </rPr>
      <t>年以前</t>
    </r>
    <r>
      <rPr>
        <sz val="14"/>
        <color rgb="FF000000"/>
        <rFont val="Resource Han Rounded CN Normal"/>
        <charset val="134"/>
      </rPr>
      <t>”</t>
    </r>
    <r>
      <rPr>
        <sz val="14"/>
        <color rgb="FF000000"/>
        <rFont val="宋体"/>
        <charset val="134"/>
      </rPr>
      <t>，但不能说</t>
    </r>
    <r>
      <rPr>
        <sz val="14"/>
        <color rgb="FF000000"/>
        <rFont val="Resource Han Rounded CN Normal"/>
        <charset val="134"/>
      </rPr>
      <t>“</t>
    </r>
    <r>
      <rPr>
        <sz val="14"/>
        <color rgb="FF000000"/>
        <rFont val="宋体"/>
        <charset val="134"/>
      </rPr>
      <t>公元前</t>
    </r>
    <r>
      <rPr>
        <sz val="14"/>
        <color rgb="FF000000"/>
        <rFont val="Resource Han Rounded CN Normal"/>
        <charset val="134"/>
      </rPr>
      <t>1125</t>
    </r>
    <r>
      <rPr>
        <sz val="14"/>
        <color rgb="FF000000"/>
        <rFont val="宋体"/>
        <charset val="134"/>
      </rPr>
      <t>年</t>
    </r>
    <r>
      <rPr>
        <sz val="14"/>
        <color rgb="FF000000"/>
        <rFont val="Resource Han Rounded CN Normal"/>
        <charset val="134"/>
      </rPr>
      <t>”</t>
    </r>
    <r>
      <rPr>
        <sz val="14"/>
        <color rgb="FF000000"/>
        <rFont val="宋体"/>
        <charset val="134"/>
      </rPr>
      <t>。在玻璃附魔锚定完成之后，须再附魔</t>
    </r>
    <r>
      <rPr>
        <sz val="14"/>
        <color rgb="FF000000"/>
        <rFont val="Resource Han Rounded CN Normal"/>
        <charset val="134"/>
      </rPr>
      <t>98</t>
    </r>
    <r>
      <rPr>
        <sz val="14"/>
        <color rgb="FF000000"/>
        <rFont val="宋体"/>
        <charset val="134"/>
      </rPr>
      <t>块昂贵的彩色玻璃，每块都需要</t>
    </r>
    <r>
      <rPr>
        <sz val="14"/>
        <color rgb="FF000000"/>
        <rFont val="Resource Han Rounded CN Normal"/>
        <charset val="134"/>
      </rPr>
      <t>1</t>
    </r>
    <r>
      <rPr>
        <sz val="14"/>
        <color rgb="FF000000"/>
        <rFont val="宋体"/>
        <charset val="134"/>
      </rPr>
      <t>点魔法值，仔细安装成几何形状的锦砖图案，透明玻璃在中央的位置。完成以后，中央的玻璃会显示它放置的位置的景象（只不过是过去的某个时间）。</t>
    </r>
    <r>
      <rPr>
        <sz val="14"/>
        <color rgb="FF000000"/>
        <rFont val="Resource Han Rounded CN Normal"/>
        <charset val="134"/>
      </rPr>
      <t xml:space="preserve">
</t>
    </r>
    <r>
      <rPr>
        <sz val="14"/>
        <color rgb="FF000000"/>
        <rFont val="宋体"/>
        <charset val="134"/>
      </rPr>
      <t>观察位置可以改变，每移动</t>
    </r>
    <r>
      <rPr>
        <sz val="14"/>
        <color rgb="FF000000"/>
        <rFont val="Resource Han Rounded CN Normal"/>
        <charset val="134"/>
      </rPr>
      <t>100</t>
    </r>
    <r>
      <rPr>
        <sz val="14"/>
        <color rgb="FF000000"/>
        <rFont val="宋体"/>
        <charset val="134"/>
      </rPr>
      <t>英里（不足进位）需要消费</t>
    </r>
    <r>
      <rPr>
        <sz val="14"/>
        <color rgb="FF000000"/>
        <rFont val="Resource Han Rounded CN Normal"/>
        <charset val="134"/>
      </rPr>
      <t>1</t>
    </r>
    <r>
      <rPr>
        <sz val="14"/>
        <color rgb="FF000000"/>
        <rFont val="宋体"/>
        <charset val="134"/>
      </rPr>
      <t>点魔法值并专注</t>
    </r>
    <r>
      <rPr>
        <sz val="14"/>
        <color rgb="FF000000"/>
        <rFont val="Resource Han Rounded CN Normal"/>
        <charset val="134"/>
      </rPr>
      <t>5</t>
    </r>
    <r>
      <rPr>
        <sz val="14"/>
        <color rgb="FF000000"/>
        <rFont val="宋体"/>
        <charset val="134"/>
      </rPr>
      <t>分钟。</t>
    </r>
    <r>
      <rPr>
        <sz val="14"/>
        <color rgb="FF000000"/>
        <rFont val="Resource Han Rounded CN Normal"/>
        <charset val="134"/>
      </rPr>
      <t xml:space="preserve">
</t>
    </r>
    <r>
      <rPr>
        <sz val="14"/>
        <color rgb="FF000000"/>
        <rFont val="宋体"/>
        <charset val="134"/>
      </rPr>
      <t>占卜窗的缺点显而易见：特定的场景只能观察一次，因为窗两边的时间都在流逝；并且窗子必须设定在事件发生的位置。</t>
    </r>
    <r>
      <rPr>
        <sz val="14"/>
        <color rgb="FF000000"/>
        <rFont val="Resource Han Rounded CN Normal"/>
        <charset val="134"/>
      </rPr>
      <t xml:space="preserve">
</t>
    </r>
    <r>
      <rPr>
        <sz val="14"/>
        <color rgb="FF000000"/>
        <rFont val="宋体"/>
        <charset val="134"/>
      </rPr>
      <t>占卜窗也有着天然的危险。任何被观察的智能生物都可以通过一次困难的</t>
    </r>
    <r>
      <rPr>
        <sz val="14"/>
        <color rgb="FF000000"/>
        <rFont val="Resource Han Rounded CN Normal"/>
        <charset val="134"/>
      </rPr>
      <t>POW</t>
    </r>
    <r>
      <rPr>
        <sz val="14"/>
        <color rgb="FF000000"/>
        <rFont val="宋体"/>
        <charset val="134"/>
      </rPr>
      <t>检定发现自己被观察了。发现了以后，这个生物（如果可以的话）会马上隔着窗子施放法术，包括召唤术、请神术，这可以让窗子的观察者一侧出现怪物！</t>
    </r>
    <r>
      <rPr>
        <sz val="14"/>
        <color rgb="FF000000"/>
        <rFont val="Resource Han Rounded CN Normal"/>
        <charset val="134"/>
      </rPr>
      <t xml:space="preserve">
</t>
    </r>
    <r>
      <rPr>
        <sz val="14"/>
        <color rgb="FF000000"/>
        <rFont val="宋体"/>
        <charset val="134"/>
      </rPr>
      <t>别名：过去之事的视野创建术、历史之鉴、时代的玻璃</t>
    </r>
  </si>
  <si>
    <t>Seek Heart</t>
  </si>
  <si>
    <r>
      <rPr>
        <sz val="14"/>
        <color rgb="FF000000"/>
        <rFont val="Resource Han Rounded CN Normal"/>
        <charset val="134"/>
      </rPr>
      <t>6</t>
    </r>
    <r>
      <rPr>
        <sz val="14"/>
        <color rgb="FF000000"/>
        <rFont val="宋体"/>
        <charset val="134"/>
      </rPr>
      <t>点理智值与</t>
    </r>
    <r>
      <rPr>
        <sz val="14"/>
        <color rgb="FF000000"/>
        <rFont val="Resource Han Rounded CN Normal"/>
        <charset val="134"/>
      </rPr>
      <t>8</t>
    </r>
    <r>
      <rPr>
        <sz val="14"/>
        <color rgb="FF000000"/>
        <rFont val="宋体"/>
        <charset val="134"/>
      </rPr>
      <t>点魔法值</t>
    </r>
  </si>
  <si>
    <t>一具可见尸体周遭一百码距离之内</t>
  </si>
  <si>
    <t>尸体寻找新鲜心脏并嵌入，随后崩塌腐，毁造尸者的力量值＋体质值＋魔法值的时间</t>
  </si>
  <si>
    <t>BECOME SPECTRAL HUNTER</t>
  </si>
  <si>
    <t>灵体猎手变身术</t>
  </si>
  <si>
    <r>
      <rPr>
        <sz val="14"/>
        <color rgb="FF000000"/>
        <rFont val="MS Gothic"/>
        <charset val="134"/>
      </rPr>
      <t>スベクトラル・ハンターへの</t>
    </r>
    <r>
      <rPr>
        <sz val="14"/>
        <color rgb="FF000000"/>
        <rFont val="宋体"/>
        <charset val="134"/>
      </rPr>
      <t>変身</t>
    </r>
  </si>
  <si>
    <r>
      <rPr>
        <sz val="14"/>
        <color rgb="FF000000"/>
        <rFont val="宋体"/>
        <charset val="134"/>
      </rPr>
      <t>灵体猎手变身术〔造〕</t>
    </r>
    <r>
      <rPr>
        <sz val="14"/>
        <color rgb="FF000000"/>
        <rFont val="Resource Han Rounded CN Normal"/>
        <charset val="134"/>
      </rPr>
      <t xml:space="preserve">
Become Spectral Hunter
</t>
    </r>
    <r>
      <rPr>
        <sz val="14"/>
        <color rgb="FF000000"/>
        <rFont val="宋体"/>
        <charset val="134"/>
      </rPr>
      <t>消耗：</t>
    </r>
    <r>
      <rPr>
        <sz val="14"/>
        <color rgb="FF000000"/>
        <rFont val="Resource Han Rounded CN Normal"/>
        <charset val="134"/>
      </rPr>
      <t>16</t>
    </r>
    <r>
      <rPr>
        <sz val="14"/>
        <color rgb="FF000000"/>
        <rFont val="宋体"/>
        <charset val="134"/>
      </rPr>
      <t>点魔法值；</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3D6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施法者将一名自愿的目标转化成一头不可见的、可怕的人形怪物，它可以守卫、追击或者攻击。本法术需要一尊特制的小塑像、数种动物的血液，并且要法术目标失去所有的理智值。目标会被永久转变并且完全不朽。</t>
    </r>
    <r>
      <rPr>
        <sz val="14"/>
        <color rgb="FF000000"/>
        <rFont val="Resource Han Rounded CN Normal"/>
        <charset val="134"/>
      </rPr>
      <t xml:space="preserve">
</t>
    </r>
    <r>
      <rPr>
        <sz val="14"/>
        <color rgb="FF000000"/>
        <rFont val="宋体"/>
        <charset val="134"/>
      </rPr>
      <t>灵体猎手和小塑像之间会产生联系，它不能走得离塑像所在的位置太远。如果破坏了小塑像，该生物将被驱散；但它经过一个星期以后能（魔法地）重建一个新的小塑像。如果在破坏小塑像的同时说出了</t>
    </r>
    <r>
      <rPr>
        <sz val="14"/>
        <color rgb="FF000000"/>
        <rFont val="Resource Han Rounded CN Normal"/>
        <charset val="134"/>
      </rPr>
      <t>“</t>
    </r>
    <r>
      <rPr>
        <sz val="14"/>
        <color rgb="FF000000"/>
        <rFont val="宋体"/>
        <charset val="134"/>
      </rPr>
      <t>遣散之咏</t>
    </r>
    <r>
      <rPr>
        <sz val="14"/>
        <color rgb="FF000000"/>
        <rFont val="Resource Han Rounded CN Normal"/>
        <charset val="134"/>
      </rPr>
      <t>(ChantofDismissal)”</t>
    </r>
    <r>
      <rPr>
        <sz val="14"/>
        <color rgb="FF000000"/>
        <rFont val="宋体"/>
        <charset val="134"/>
      </rPr>
      <t>，灵体猎手将被永久驱逐。</t>
    </r>
    <r>
      <rPr>
        <sz val="14"/>
        <color rgb="FF000000"/>
        <rFont val="Resource Han Rounded CN Normal"/>
        <charset val="134"/>
      </rPr>
      <t xml:space="preserve">
</t>
    </r>
    <r>
      <rPr>
        <sz val="14"/>
        <color rgb="FF000000"/>
        <rFont val="宋体"/>
        <charset val="134"/>
      </rPr>
      <t>灵体猎手的信息请查看附近的边栏。</t>
    </r>
    <r>
      <rPr>
        <sz val="14"/>
        <color rgb="FF000000"/>
        <rFont val="Resource Han Rounded CN Normal"/>
        <charset val="134"/>
      </rPr>
      <t xml:space="preserve">
</t>
    </r>
    <r>
      <rPr>
        <sz val="14"/>
        <color rgb="FF000000"/>
        <rFont val="宋体"/>
        <charset val="134"/>
      </rPr>
      <t>备注：据传，生活在莫哈维沙漠当中的霍特奇克</t>
    </r>
    <r>
      <rPr>
        <sz val="14"/>
        <color rgb="FF000000"/>
        <rFont val="Resource Han Rounded CN Normal"/>
        <charset val="134"/>
      </rPr>
      <t>[6]</t>
    </r>
    <r>
      <rPr>
        <sz val="14"/>
        <color rgb="FF000000"/>
        <rFont val="宋体"/>
        <charset val="134"/>
      </rPr>
      <t>族人知道</t>
    </r>
    <r>
      <rPr>
        <sz val="14"/>
        <color rgb="FF000000"/>
        <rFont val="Resource Han Rounded CN Normal"/>
        <charset val="134"/>
      </rPr>
      <t>“</t>
    </r>
    <r>
      <rPr>
        <sz val="14"/>
        <color rgb="FF000000"/>
        <rFont val="宋体"/>
        <charset val="134"/>
      </rPr>
      <t>遣散之咏</t>
    </r>
    <r>
      <rPr>
        <sz val="14"/>
        <color rgb="FF000000"/>
        <rFont val="Resource Han Rounded CN Normal"/>
        <charset val="134"/>
      </rPr>
      <t>”</t>
    </r>
    <r>
      <rPr>
        <sz val="14"/>
        <color rgb="FF000000"/>
        <rFont val="宋体"/>
        <charset val="134"/>
      </rPr>
      <t>（他们也知道如何创造灵体猎手），据说在霍特奇克族消失之前，</t>
    </r>
    <r>
      <rPr>
        <sz val="14"/>
        <color rgb="FF000000"/>
        <rFont val="Resource Han Rounded CN Normal"/>
        <charset val="134"/>
      </rPr>
      <t>“</t>
    </r>
    <r>
      <rPr>
        <sz val="14"/>
        <color rgb="FF000000"/>
        <rFont val="宋体"/>
        <charset val="134"/>
      </rPr>
      <t>遣散之咏</t>
    </r>
    <r>
      <rPr>
        <sz val="14"/>
        <color rgb="FF000000"/>
        <rFont val="Resource Han Rounded CN Normal"/>
        <charset val="134"/>
      </rPr>
      <t>”</t>
    </r>
    <r>
      <rPr>
        <sz val="14"/>
        <color rgb="FF000000"/>
        <rFont val="宋体"/>
        <charset val="134"/>
      </rPr>
      <t>至少还被一名来访者转抄过。</t>
    </r>
    <r>
      <rPr>
        <sz val="14"/>
        <color rgb="FF000000"/>
        <rFont val="Resource Han Rounded CN Normal"/>
        <charset val="134"/>
      </rPr>
      <t xml:space="preserve">
</t>
    </r>
    <r>
      <rPr>
        <sz val="14"/>
        <color rgb="FF000000"/>
        <rFont val="宋体"/>
        <charset val="134"/>
      </rPr>
      <t>深层魔法：若将投入法术的</t>
    </r>
    <r>
      <rPr>
        <sz val="14"/>
        <color rgb="FF000000"/>
        <rFont val="Resource Han Rounded CN Normal"/>
        <charset val="134"/>
      </rPr>
      <t>POW[7]</t>
    </r>
    <r>
      <rPr>
        <sz val="14"/>
        <color rgb="FF000000"/>
        <rFont val="宋体"/>
        <charset val="134"/>
      </rPr>
      <t>增加到</t>
    </r>
    <r>
      <rPr>
        <sz val="14"/>
        <color rgb="FF000000"/>
        <rFont val="Resource Han Rounded CN Normal"/>
        <charset val="134"/>
      </rPr>
      <t>32</t>
    </r>
    <r>
      <rPr>
        <sz val="14"/>
        <color rgb="FF000000"/>
        <rFont val="宋体"/>
        <charset val="134"/>
      </rPr>
      <t>点，则巫师可以创造一头更像怪物的灵体猎手，</t>
    </r>
    <r>
      <rPr>
        <sz val="14"/>
        <color rgb="FF000000"/>
        <rFont val="Resource Han Rounded CN Normal"/>
        <charset val="134"/>
      </rPr>
      <t>STR</t>
    </r>
    <r>
      <rPr>
        <sz val="14"/>
        <color rgb="FF000000"/>
        <rFont val="宋体"/>
        <charset val="134"/>
      </rPr>
      <t>、</t>
    </r>
    <r>
      <rPr>
        <sz val="14"/>
        <color rgb="FF000000"/>
        <rFont val="Resource Han Rounded CN Normal"/>
        <charset val="134"/>
      </rPr>
      <t>CON</t>
    </r>
    <r>
      <rPr>
        <sz val="14"/>
        <color rgb="FF000000"/>
        <rFont val="宋体"/>
        <charset val="134"/>
      </rPr>
      <t>、</t>
    </r>
    <r>
      <rPr>
        <sz val="14"/>
        <color rgb="FF000000"/>
        <rFont val="Resource Han Rounded CN Normal"/>
        <charset val="134"/>
      </rPr>
      <t>SIZ</t>
    </r>
    <r>
      <rPr>
        <sz val="14"/>
        <color rgb="FF000000"/>
        <rFont val="宋体"/>
        <charset val="134"/>
      </rPr>
      <t>和耐久值均加倍。</t>
    </r>
    <r>
      <rPr>
        <sz val="14"/>
        <color rgb="FF000000"/>
        <rFont val="Resource Han Rounded CN Normal"/>
        <charset val="134"/>
      </rPr>
      <t xml:space="preserve">
</t>
    </r>
    <r>
      <rPr>
        <sz val="14"/>
        <color rgb="FF000000"/>
        <rFont val="宋体"/>
        <charset val="134"/>
      </rPr>
      <t>别名：召唤伏行的卫士、隐形监视者的仪式</t>
    </r>
  </si>
  <si>
    <t>身体部件转移术〔续、变〕</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</si>
  <si>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1D10</t>
    </r>
    <r>
      <rPr>
        <sz val="14"/>
        <color rgb="FF000000"/>
        <rFont val="宋体"/>
        <charset val="134"/>
      </rPr>
      <t>点理智值</t>
    </r>
  </si>
  <si>
    <t>血肉收藏、皮肤交易</t>
  </si>
  <si>
    <t>BRING HABOOB/SANDSTROM</t>
  </si>
  <si>
    <t>哈布沙暴发生术</t>
  </si>
  <si>
    <r>
      <rPr>
        <sz val="14"/>
        <color rgb="FF000000"/>
        <rFont val="宋体"/>
        <charset val="134"/>
      </rPr>
      <t>砂嵐</t>
    </r>
    <r>
      <rPr>
        <sz val="14"/>
        <color rgb="FF000000"/>
        <rFont val="MS Gothic"/>
        <charset val="134"/>
      </rPr>
      <t>を</t>
    </r>
    <r>
      <rPr>
        <sz val="14"/>
        <color rgb="FF000000"/>
        <rFont val="宋体"/>
        <charset val="134"/>
      </rPr>
      <t>起</t>
    </r>
    <r>
      <rPr>
        <sz val="14"/>
        <color rgb="FF000000"/>
        <rFont val="MS Gothic"/>
        <charset val="134"/>
      </rPr>
      <t>こす</t>
    </r>
  </si>
  <si>
    <r>
      <rPr>
        <sz val="14"/>
        <color rgb="FF000000"/>
        <rFont val="宋体"/>
        <charset val="134"/>
      </rPr>
      <t>哈布沙暴发生术〔环〕</t>
    </r>
    <r>
      <rPr>
        <sz val="14"/>
        <color rgb="FF000000"/>
        <rFont val="Resource Han Rounded CN Normal"/>
        <charset val="134"/>
      </rPr>
      <t xml:space="preserve">
Bring Haboob
</t>
    </r>
    <r>
      <rPr>
        <sz val="14"/>
        <color rgb="FF000000"/>
        <rFont val="宋体"/>
        <charset val="134"/>
      </rPr>
      <t>消耗：</t>
    </r>
    <r>
      <rPr>
        <sz val="14"/>
        <color rgb="FF000000"/>
        <rFont val="Resource Han Rounded CN Normal"/>
        <charset val="134"/>
      </rPr>
      <t>20</t>
    </r>
    <r>
      <rPr>
        <sz val="14"/>
        <color rgb="FF000000"/>
        <rFont val="宋体"/>
        <charset val="134"/>
      </rPr>
      <t>点魔法值；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施法者召唤自然的力量，聚集强力的旋风。</t>
    </r>
    <r>
      <rPr>
        <sz val="14"/>
        <color rgb="FF000000"/>
        <rFont val="Resource Han Rounded CN Normal"/>
        <charset val="134"/>
      </rPr>
      <t xml:space="preserve">
</t>
    </r>
    <r>
      <rPr>
        <sz val="14"/>
        <color rgb="FF000000"/>
        <rFont val="宋体"/>
        <charset val="134"/>
      </rPr>
      <t>在沙漠或者海滨沙丘上，旋风能产生沙尘暴的效果。本法术的各种变体似乎都是基于各地的地理和信仰而作的，每个版本中施法者都会召唤不同的神话神祇，诸如阿蒙</t>
    </r>
    <r>
      <rPr>
        <sz val="14"/>
        <color rgb="FF000000"/>
        <rFont val="Resource Han Rounded CN Normal"/>
        <charset val="134"/>
      </rPr>
      <t>-</t>
    </r>
    <r>
      <rPr>
        <sz val="14"/>
        <color rgb="FF000000"/>
        <rFont val="宋体"/>
        <charset val="134"/>
      </rPr>
      <t>戈尔洛斯</t>
    </r>
    <r>
      <rPr>
        <sz val="14"/>
        <color rgb="FF000000"/>
        <rFont val="Resource Han Rounded CN Normal"/>
        <charset val="134"/>
      </rPr>
      <t>(Amon-Gorloth)</t>
    </r>
    <r>
      <rPr>
        <sz val="14"/>
        <color rgb="FF000000"/>
        <rFont val="宋体"/>
        <charset val="134"/>
      </rPr>
      <t>，修德</t>
    </r>
    <r>
      <rPr>
        <sz val="14"/>
        <color rgb="FF000000"/>
        <rFont val="Resource Han Rounded CN Normal"/>
        <charset val="134"/>
      </rPr>
      <t>·</t>
    </r>
    <r>
      <rPr>
        <sz val="14"/>
        <color rgb="FF000000"/>
        <rFont val="宋体"/>
        <charset val="134"/>
      </rPr>
      <t>梅尔或者伊塔库亚等。</t>
    </r>
    <r>
      <rPr>
        <sz val="14"/>
        <color rgb="FF000000"/>
        <rFont val="Resource Han Rounded CN Normal"/>
        <charset val="134"/>
      </rPr>
      <t xml:space="preserve">
</t>
    </r>
    <r>
      <rPr>
        <sz val="14"/>
        <color rgb="FF000000"/>
        <rFont val="宋体"/>
        <charset val="134"/>
      </rPr>
      <t>旋风大概</t>
    </r>
    <r>
      <rPr>
        <sz val="14"/>
        <color rgb="FF000000"/>
        <rFont val="Resource Han Rounded CN Normal"/>
        <charset val="134"/>
      </rPr>
      <t>20</t>
    </r>
    <r>
      <rPr>
        <sz val="14"/>
        <color rgb="FF000000"/>
        <rFont val="宋体"/>
        <charset val="134"/>
      </rPr>
      <t>英里围圆，内部风速每小时</t>
    </r>
    <r>
      <rPr>
        <sz val="14"/>
        <color rgb="FF000000"/>
        <rFont val="Resource Han Rounded CN Normal"/>
        <charset val="134"/>
      </rPr>
      <t>30</t>
    </r>
    <r>
      <rPr>
        <sz val="14"/>
        <color rgb="FF000000"/>
        <rFont val="宋体"/>
        <charset val="134"/>
      </rPr>
      <t>英里（七级），阵风风速大约是其二倍（十一级）。</t>
    </r>
    <r>
      <rPr>
        <sz val="14"/>
        <color rgb="FF000000"/>
        <rFont val="Resource Han Rounded CN Normal"/>
        <charset val="134"/>
      </rPr>
      <t xml:space="preserve">
</t>
    </r>
    <r>
      <rPr>
        <sz val="14"/>
        <color rgb="FF000000"/>
        <rFont val="宋体"/>
        <charset val="134"/>
      </rPr>
      <t>在风暴中的角色，根据行动不同，要得到相应的惩罚和难度等级提升。</t>
    </r>
    <r>
      <rPr>
        <sz val="14"/>
        <color rgb="FF000000"/>
        <rFont val="Resource Han Rounded CN Normal"/>
        <charset val="134"/>
      </rPr>
      <t xml:space="preserve">
</t>
    </r>
    <r>
      <rPr>
        <sz val="14"/>
        <color rgb="FF000000"/>
        <rFont val="宋体"/>
        <charset val="134"/>
      </rPr>
      <t>深层魔法：可以召唤更强、更有破坏力的风暴，可能造成巨大的灾难，当然法术的消耗也要相应增加。</t>
    </r>
    <r>
      <rPr>
        <sz val="14"/>
        <color rgb="FF000000"/>
        <rFont val="Resource Han Rounded CN Normal"/>
        <charset val="134"/>
      </rPr>
      <t xml:space="preserve">
</t>
    </r>
    <r>
      <rPr>
        <sz val="14"/>
        <color rgb="FF000000"/>
        <rFont val="宋体"/>
        <charset val="134"/>
      </rPr>
      <t>别名：沙暴发生术、巨灵的血腥挠痒、伏木之手</t>
    </r>
  </si>
  <si>
    <t>兽化人束缚术〔驱〕</t>
  </si>
  <si>
    <r>
      <rPr>
        <sz val="14"/>
        <color rgb="FF000000"/>
        <rFont val="Resource Han Rounded CN Normal"/>
        <charset val="134"/>
      </rPr>
      <t xml:space="preserve">14 </t>
    </r>
    <r>
      <rPr>
        <sz val="14"/>
        <color rgb="FF000000"/>
        <rFont val="宋体"/>
        <charset val="134"/>
      </rPr>
      <t>点魔法值；</t>
    </r>
    <r>
      <rPr>
        <sz val="14"/>
        <color rgb="FF000000"/>
        <rFont val="Resource Han Rounded CN Normal"/>
        <charset val="134"/>
      </rPr>
      <t xml:space="preserve">2D4 </t>
    </r>
    <r>
      <rPr>
        <sz val="14"/>
        <color rgb="FF000000"/>
        <rFont val="宋体"/>
        <charset val="134"/>
      </rPr>
      <t>点理智值</t>
    </r>
  </si>
  <si>
    <r>
      <rPr>
        <sz val="14"/>
        <color rgb="FF000000"/>
        <rFont val="Resource Han Rounded CN Normal"/>
        <charset val="134"/>
      </rPr>
      <t xml:space="preserve">1 </t>
    </r>
    <r>
      <rPr>
        <sz val="14"/>
        <color rgb="FF000000"/>
        <rFont val="宋体"/>
        <charset val="134"/>
      </rPr>
      <t>小时</t>
    </r>
  </si>
  <si>
    <t>物种之牢狱、狼人束缚术</t>
  </si>
  <si>
    <t>DUST OF SULEIMAN</t>
  </si>
  <si>
    <t>苏莱曼之尘</t>
  </si>
  <si>
    <r>
      <rPr>
        <sz val="14"/>
        <color rgb="FF000000"/>
        <rFont val="MS Gothic"/>
        <charset val="134"/>
      </rPr>
      <t>スレイマンの</t>
    </r>
    <r>
      <rPr>
        <sz val="14"/>
        <color rgb="FF000000"/>
        <rFont val="宋体"/>
        <charset val="134"/>
      </rPr>
      <t>塵</t>
    </r>
  </si>
  <si>
    <r>
      <rPr>
        <sz val="14"/>
        <color rgb="FF000000"/>
        <rFont val="宋体"/>
        <charset val="134"/>
      </rPr>
      <t>苏莱曼之尘〔驱、战〕</t>
    </r>
    <r>
      <rPr>
        <sz val="14"/>
        <color rgb="FF000000"/>
        <rFont val="Resource Han Rounded CN Normal"/>
        <charset val="134"/>
      </rPr>
      <t xml:space="preserve">
Dust of Suleiman
</t>
    </r>
    <r>
      <rPr>
        <sz val="14"/>
        <color rgb="FF000000"/>
        <rFont val="宋体"/>
        <charset val="134"/>
      </rPr>
      <t>消耗：每</t>
    </r>
    <r>
      <rPr>
        <sz val="14"/>
        <color rgb="FF000000"/>
        <rFont val="Resource Han Rounded CN Normal"/>
        <charset val="134"/>
      </rPr>
      <t>3</t>
    </r>
    <r>
      <rPr>
        <sz val="14"/>
        <color rgb="FF000000"/>
        <rFont val="宋体"/>
        <charset val="134"/>
      </rPr>
      <t>剂</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24+</t>
    </r>
    <r>
      <rPr>
        <sz val="14"/>
        <color rgb="FF000000"/>
        <rFont val="宋体"/>
        <charset val="134"/>
      </rPr>
      <t>小时（使用时每剂需</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制造一种灰绿色的粉末，可以伤害来自其他存在位面的非自然的生物。这种粉末需要从至少</t>
    </r>
    <r>
      <rPr>
        <sz val="14"/>
        <color rgb="FF000000"/>
        <rFont val="Resource Han Rounded CN Normal"/>
        <charset val="134"/>
      </rPr>
      <t>2000</t>
    </r>
    <r>
      <rPr>
        <sz val="14"/>
        <color rgb="FF000000"/>
        <rFont val="宋体"/>
        <charset val="134"/>
      </rPr>
      <t>年历史的木乃伊上取得灰尘，每具木乃伊足够制作三份魔法粉尘。原料还包括乳香、硫磺和硝石。依施法者的能力以及原料的获取的不同，制造这种混合物最少需要</t>
    </r>
    <r>
      <rPr>
        <sz val="14"/>
        <color rgb="FF000000"/>
        <rFont val="Resource Han Rounded CN Normal"/>
        <charset val="134"/>
      </rPr>
      <t>24</t>
    </r>
    <r>
      <rPr>
        <sz val="14"/>
        <color rgb="FF000000"/>
        <rFont val="宋体"/>
        <charset val="134"/>
      </rPr>
      <t>小时，最多需要很多天。</t>
    </r>
    <r>
      <rPr>
        <sz val="14"/>
        <color rgb="FF000000"/>
        <rFont val="Resource Han Rounded CN Normal"/>
        <charset val="134"/>
      </rPr>
      <t xml:space="preserve">
</t>
    </r>
    <r>
      <rPr>
        <sz val="14"/>
        <color rgb="FF000000"/>
        <rFont val="宋体"/>
        <charset val="134"/>
      </rPr>
      <t>抛撒它的时候必须同时吟唱咒语。如果非地球原生的生物被这种粉尘撒中，每被一剂粉尘撒中，就损失</t>
    </r>
    <r>
      <rPr>
        <sz val="14"/>
        <color rgb="FF000000"/>
        <rFont val="Resource Han Rounded CN Normal"/>
        <charset val="134"/>
      </rPr>
      <t>1D20</t>
    </r>
    <r>
      <rPr>
        <sz val="14"/>
        <color rgb="FF000000"/>
        <rFont val="宋体"/>
        <charset val="134"/>
      </rPr>
      <t>点耐久值（无视护甲）。撒出一剂粉尘需要一轮。根据</t>
    </r>
    <r>
      <rPr>
        <sz val="14"/>
        <color rgb="FF000000"/>
        <rFont val="Resource Han Rounded CN Normal"/>
        <charset val="134"/>
      </rPr>
      <t>KP</t>
    </r>
    <r>
      <rPr>
        <sz val="14"/>
        <color rgb="FF000000"/>
        <rFont val="宋体"/>
        <charset val="134"/>
      </rPr>
      <t>裁定，可能需要进行「投掷」或「克苏鲁神话」检定。</t>
    </r>
    <r>
      <rPr>
        <sz val="14"/>
        <color rgb="FF000000"/>
        <rFont val="Resource Han Rounded CN Normal"/>
        <charset val="134"/>
      </rPr>
      <t xml:space="preserve">
</t>
    </r>
    <r>
      <rPr>
        <sz val="14"/>
        <color rgb="FF000000"/>
        <rFont val="宋体"/>
        <charset val="134"/>
      </rPr>
      <t>这种粉末仅对非地球的和外星的生物有效，因此它可以伤害空鬼、犹格</t>
    </r>
    <r>
      <rPr>
        <sz val="14"/>
        <color rgb="FF000000"/>
        <rFont val="Resource Han Rounded CN Normal"/>
        <charset val="134"/>
      </rPr>
      <t>-</t>
    </r>
    <r>
      <rPr>
        <sz val="14"/>
        <color rgb="FF000000"/>
        <rFont val="宋体"/>
        <charset val="134"/>
      </rPr>
      <t>索托斯和米</t>
    </r>
    <r>
      <rPr>
        <sz val="14"/>
        <color rgb="FF000000"/>
        <rFont val="Resource Han Rounded CN Normal"/>
        <charset val="134"/>
      </rPr>
      <t>-</t>
    </r>
    <r>
      <rPr>
        <sz val="14"/>
        <color rgb="FF000000"/>
        <rFont val="宋体"/>
        <charset val="134"/>
      </rPr>
      <t>戈，但对修格斯、食尸鬼和深潜者无效。</t>
    </r>
    <r>
      <rPr>
        <sz val="14"/>
        <color rgb="FF000000"/>
        <rFont val="Resource Han Rounded CN Normal"/>
        <charset val="134"/>
      </rPr>
      <t xml:space="preserve">
</t>
    </r>
    <r>
      <rPr>
        <sz val="14"/>
        <color rgb="FF000000"/>
        <rFont val="宋体"/>
        <charset val="134"/>
      </rPr>
      <t>别名：埃及粉、死者的保护</t>
    </r>
  </si>
  <si>
    <t>占卜窗创建术〔时〕</t>
  </si>
  <si>
    <r>
      <rPr>
        <sz val="14"/>
        <color rgb="FF000000"/>
        <rFont val="Resource Han Rounded CN Normal"/>
        <charset val="134"/>
      </rPr>
      <t>98</t>
    </r>
    <r>
      <rPr>
        <sz val="14"/>
        <color rgb="FF000000"/>
        <rFont val="宋体"/>
        <charset val="134"/>
      </rPr>
      <t>点魔法值；</t>
    </r>
    <r>
      <rPr>
        <sz val="14"/>
        <color rgb="FF000000"/>
        <rFont val="Resource Han Rounded CN Normal"/>
        <charset val="134"/>
      </rPr>
      <t>50</t>
    </r>
    <r>
      <rPr>
        <sz val="14"/>
        <color rgb="FF000000"/>
        <rFont val="宋体"/>
        <charset val="134"/>
      </rPr>
      <t>点</t>
    </r>
    <r>
      <rPr>
        <sz val="14"/>
        <color rgb="FF000000"/>
        <rFont val="Resource Han Rounded CN Normal"/>
        <charset val="134"/>
      </rPr>
      <t>POW</t>
    </r>
    <r>
      <rPr>
        <sz val="14"/>
        <color rgb="FF000000"/>
        <rFont val="宋体"/>
        <charset val="134"/>
      </rPr>
      <t>；每次</t>
    </r>
    <r>
      <rPr>
        <sz val="14"/>
        <color rgb="FF000000"/>
        <rFont val="Resource Han Rounded CN Normal"/>
        <charset val="134"/>
      </rPr>
      <t>1D3</t>
    </r>
    <r>
      <rPr>
        <sz val="14"/>
        <color rgb="FF000000"/>
        <rFont val="宋体"/>
        <charset val="134"/>
      </rPr>
      <t>点理智值</t>
    </r>
  </si>
  <si>
    <t>很多星期</t>
  </si>
  <si>
    <t>过去之事的视野创建术、历史之鉴、时代的玻璃</t>
  </si>
  <si>
    <t>MIND EXCHANGE</t>
  </si>
  <si>
    <t>精神交换术</t>
  </si>
  <si>
    <t>精神交換</t>
  </si>
  <si>
    <r>
      <rPr>
        <sz val="14"/>
        <color rgb="FF000000"/>
        <rFont val="宋体"/>
        <charset val="134"/>
      </rPr>
      <t>精神交换术〔变〕</t>
    </r>
    <r>
      <rPr>
        <sz val="14"/>
        <color rgb="FF000000"/>
        <rFont val="Resource Han Rounded CN Normal"/>
        <charset val="134"/>
      </rPr>
      <t xml:space="preserve">
Mind Exchange
</t>
    </r>
    <r>
      <rPr>
        <sz val="14"/>
        <color rgb="FF000000"/>
        <rFont val="宋体"/>
        <charset val="134"/>
      </rPr>
      <t>消耗：可变的魔法值；</t>
    </r>
    <r>
      <rPr>
        <sz val="14"/>
        <color rgb="FF000000"/>
        <rFont val="Resource Han Rounded CN Normal"/>
        <charset val="134"/>
      </rPr>
      <t>1D3</t>
    </r>
    <r>
      <rPr>
        <sz val="14"/>
        <color rgb="FF000000"/>
        <rFont val="宋体"/>
        <charset val="134"/>
      </rPr>
      <t>点理智值施法用时：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可以让施法者和另一人交换精神。施法者首次施放本法术时，必须消耗和目标</t>
    </r>
    <r>
      <rPr>
        <sz val="14"/>
        <color rgb="FF000000"/>
        <rFont val="Resource Han Rounded CN Normal"/>
        <charset val="134"/>
      </rPr>
      <t>POW</t>
    </r>
    <r>
      <rPr>
        <sz val="14"/>
        <color rgb="FF000000"/>
        <rFont val="宋体"/>
        <charset val="134"/>
      </rPr>
      <t>的五分之一相同的魔法值。以后每次对同一目标施放时，消耗都会减少</t>
    </r>
    <r>
      <rPr>
        <sz val="14"/>
        <color rgb="FF000000"/>
        <rFont val="Resource Han Rounded CN Normal"/>
        <charset val="134"/>
      </rPr>
      <t>1</t>
    </r>
    <r>
      <rPr>
        <sz val="14"/>
        <color rgb="FF000000"/>
        <rFont val="宋体"/>
        <charset val="134"/>
      </rPr>
      <t>点，最少为</t>
    </r>
    <r>
      <rPr>
        <sz val="14"/>
        <color rgb="FF000000"/>
        <rFont val="Resource Han Rounded CN Normal"/>
        <charset val="134"/>
      </rPr>
      <t>1</t>
    </r>
    <r>
      <rPr>
        <sz val="14"/>
        <color rgb="FF000000"/>
        <rFont val="宋体"/>
        <charset val="134"/>
      </rPr>
      <t>点。目标必须知道施法者且二者间要具有强烈的感情纽带（如爱情）。若这种感情消失了，交换将不能进行。恢复感情会恢复交换可能。</t>
    </r>
    <r>
      <rPr>
        <sz val="14"/>
        <color rgb="FF000000"/>
        <rFont val="Resource Han Rounded CN Normal"/>
        <charset val="134"/>
      </rPr>
      <t xml:space="preserve">
</t>
    </r>
    <r>
      <rPr>
        <sz val="14"/>
        <color rgb="FF000000"/>
        <rFont val="宋体"/>
        <charset val="134"/>
      </rPr>
      <t>本法术可以在任意范围施放。施法者须和目标进行一次</t>
    </r>
    <r>
      <rPr>
        <sz val="14"/>
        <color rgb="FF000000"/>
        <rFont val="Resource Han Rounded CN Normal"/>
        <charset val="134"/>
      </rPr>
      <t>POW</t>
    </r>
    <r>
      <rPr>
        <sz val="14"/>
        <color rgb="FF000000"/>
        <rFont val="宋体"/>
        <charset val="134"/>
      </rPr>
      <t>对抗检定并胜出，法术才能生效（法术施放的次数越多，交换越容易，因此法术的消耗降低了，如前文所述）。当施放本法术所需魔法值减少到</t>
    </r>
    <r>
      <rPr>
        <sz val="14"/>
        <color rgb="FF000000"/>
        <rFont val="Resource Han Rounded CN Normal"/>
        <charset val="134"/>
      </rPr>
      <t>1</t>
    </r>
    <r>
      <rPr>
        <sz val="14"/>
        <color rgb="FF000000"/>
        <rFont val="宋体"/>
        <charset val="134"/>
      </rPr>
      <t>后，就不需进行</t>
    </r>
    <r>
      <rPr>
        <sz val="14"/>
        <color rgb="FF000000"/>
        <rFont val="Resource Han Rounded CN Normal"/>
        <charset val="134"/>
      </rPr>
      <t>POW</t>
    </r>
    <r>
      <rPr>
        <sz val="14"/>
        <color rgb="FF000000"/>
        <rFont val="宋体"/>
        <charset val="134"/>
      </rPr>
      <t>对抗检定，施法者只需要强大的精神力量就可以任意交换精神。</t>
    </r>
    <r>
      <rPr>
        <sz val="14"/>
        <color rgb="FF000000"/>
        <rFont val="Resource Han Rounded CN Normal"/>
        <charset val="134"/>
      </rPr>
      <t xml:space="preserve">
</t>
    </r>
    <r>
      <rPr>
        <sz val="14"/>
        <color rgb="FF000000"/>
        <rFont val="宋体"/>
        <charset val="134"/>
      </rPr>
      <t>施法者一开始只能在目标身体里停留最多几分钟，但会（随着反复使用本法术）逐渐增加。当魔法值消耗降到</t>
    </r>
    <r>
      <rPr>
        <sz val="14"/>
        <color rgb="FF000000"/>
        <rFont val="Resource Han Rounded CN Normal"/>
        <charset val="134"/>
      </rPr>
      <t>1</t>
    </r>
    <r>
      <rPr>
        <sz val="14"/>
        <color rgb="FF000000"/>
        <rFont val="宋体"/>
        <charset val="134"/>
      </rPr>
      <t>时，施法者就能不定时地停留了。</t>
    </r>
    <r>
      <rPr>
        <sz val="14"/>
        <color rgb="FF000000"/>
        <rFont val="Resource Han Rounded CN Normal"/>
        <charset val="134"/>
      </rPr>
      <t xml:space="preserve">
</t>
    </r>
    <r>
      <rPr>
        <sz val="14"/>
        <color rgb="FF000000"/>
        <rFont val="宋体"/>
        <charset val="134"/>
      </rPr>
      <t>注意目标在被交换到他人身体中时，需要进行理智检定（根据情况，</t>
    </r>
    <r>
      <rPr>
        <sz val="14"/>
        <color rgb="FF000000"/>
        <rFont val="Resource Han Rounded CN Normal"/>
        <charset val="134"/>
      </rPr>
      <t>1/1D3</t>
    </r>
    <r>
      <rPr>
        <sz val="14"/>
        <color rgb="FF000000"/>
        <rFont val="宋体"/>
        <charset val="134"/>
      </rPr>
      <t>点或更多）。</t>
    </r>
    <r>
      <rPr>
        <sz val="14"/>
        <color rgb="FF000000"/>
        <rFont val="Resource Han Rounded CN Normal"/>
        <charset val="134"/>
      </rPr>
      <t xml:space="preserve">
</t>
    </r>
    <r>
      <rPr>
        <sz val="14"/>
        <color rgb="FF000000"/>
        <rFont val="宋体"/>
        <charset val="134"/>
      </rPr>
      <t>深层魔法：若将法术的魔法值消耗加倍，施法者可以让其他两个人互相交换精神。不需要有感情纽带，但两个人必须在同一位置（两个人之间以及他们和施法者之间都不能超过</t>
    </r>
    <r>
      <rPr>
        <sz val="14"/>
        <color rgb="FF000000"/>
        <rFont val="Resource Han Rounded CN Normal"/>
        <charset val="134"/>
      </rPr>
      <t>20</t>
    </r>
    <r>
      <rPr>
        <sz val="14"/>
        <color rgb="FF000000"/>
        <rFont val="宋体"/>
        <charset val="134"/>
      </rPr>
      <t>英尺）。</t>
    </r>
    <r>
      <rPr>
        <sz val="14"/>
        <color rgb="FF000000"/>
        <rFont val="Resource Han Rounded CN Normal"/>
        <charset val="134"/>
      </rPr>
      <t xml:space="preserve">
</t>
    </r>
    <r>
      <rPr>
        <sz val="14"/>
        <color rgb="FF000000"/>
        <rFont val="宋体"/>
        <charset val="134"/>
      </rPr>
      <t>施法者须消耗等同于目标每人</t>
    </r>
    <r>
      <rPr>
        <sz val="14"/>
        <color rgb="FF000000"/>
        <rFont val="Resource Han Rounded CN Normal"/>
        <charset val="134"/>
      </rPr>
      <t>POW</t>
    </r>
    <r>
      <rPr>
        <sz val="14"/>
        <color rgb="FF000000"/>
        <rFont val="宋体"/>
        <charset val="134"/>
      </rPr>
      <t>和的五分之一（此消耗重复施放不减少）。施法用时是可变的，通常是</t>
    </r>
    <r>
      <rPr>
        <sz val="14"/>
        <color rgb="FF000000"/>
        <rFont val="Resource Han Rounded CN Normal"/>
        <charset val="134"/>
      </rPr>
      <t>1D10+10</t>
    </r>
    <r>
      <rPr>
        <sz val="14"/>
        <color rgb="FF000000"/>
        <rFont val="宋体"/>
        <charset val="134"/>
      </rPr>
      <t>分钟，不过根据</t>
    </r>
    <r>
      <rPr>
        <sz val="14"/>
        <color rgb="FF000000"/>
        <rFont val="Resource Han Rounded CN Normal"/>
        <charset val="134"/>
      </rPr>
      <t>KP</t>
    </r>
    <r>
      <rPr>
        <sz val="14"/>
        <color rgb="FF000000"/>
        <rFont val="宋体"/>
        <charset val="134"/>
      </rPr>
      <t>裁定可以加长。逆向施放本法术可以让精神返回到正确的身体里。</t>
    </r>
    <r>
      <rPr>
        <sz val="14"/>
        <color rgb="FF000000"/>
        <rFont val="Resource Han Rounded CN Normal"/>
        <charset val="134"/>
      </rPr>
      <t xml:space="preserve">
</t>
    </r>
    <r>
      <rPr>
        <sz val="14"/>
        <color rgb="FF000000"/>
        <rFont val="宋体"/>
        <charset val="134"/>
      </rPr>
      <t>别名：反之亦然咒、交换仪式、借人皮囊作衣裳</t>
    </r>
  </si>
  <si>
    <t>灵体猎手变身术〔造〕</t>
  </si>
  <si>
    <r>
      <rPr>
        <sz val="14"/>
        <color rgb="FF000000"/>
        <rFont val="Resource Han Rounded CN Normal"/>
        <charset val="134"/>
      </rPr>
      <t>16</t>
    </r>
    <r>
      <rPr>
        <sz val="14"/>
        <color rgb="FF000000"/>
        <rFont val="宋体"/>
        <charset val="134"/>
      </rPr>
      <t>点魔法值；</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3D6</t>
    </r>
    <r>
      <rPr>
        <sz val="14"/>
        <color rgb="FF000000"/>
        <rFont val="宋体"/>
        <charset val="134"/>
      </rPr>
      <t>点理智值</t>
    </r>
  </si>
  <si>
    <t>召唤伏行的卫士、隐形监视者的仪式</t>
  </si>
  <si>
    <t>MENTAL SUGGESTION</t>
  </si>
  <si>
    <t>心理暗示术</t>
  </si>
  <si>
    <t>精神的従属</t>
  </si>
  <si>
    <r>
      <rPr>
        <sz val="14"/>
        <color rgb="FF000000"/>
        <rFont val="宋体"/>
        <charset val="134"/>
      </rPr>
      <t>心理暗示术〔战、支〕</t>
    </r>
    <r>
      <rPr>
        <sz val="14"/>
        <color rgb="FF000000"/>
        <rFont val="Resource Han Rounded CN Normal"/>
        <charset val="134"/>
      </rPr>
      <t xml:space="preserve">
Mental Suggestion
</t>
    </r>
    <r>
      <rPr>
        <sz val="14"/>
        <color rgb="FF000000"/>
        <rFont val="宋体"/>
        <charset val="134"/>
      </rPr>
      <t>消耗：可变的魔法值和理智值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t>
    </r>
    <r>
      <rPr>
        <sz val="14"/>
        <color rgb="FF000000"/>
        <rFont val="宋体"/>
        <charset val="134"/>
      </rPr>
      <t>轮</t>
    </r>
    <r>
      <rPr>
        <sz val="14"/>
        <color rgb="FF000000"/>
        <rFont val="Resource Han Rounded CN Normal"/>
        <charset val="134"/>
      </rPr>
      <t xml:space="preserve">
</t>
    </r>
    <r>
      <rPr>
        <sz val="14"/>
        <color rgb="FF000000"/>
        <rFont val="宋体"/>
        <charset val="134"/>
      </rPr>
      <t>只要生物的血管里流有人类的血液，施法者便可对它发号施令。法术作用于施法者肉眼视野范围内的单体。目标会执行施法者的所有命令，甚至自杀。本法术对冷原人、混血深潜者、食尸鬼换生灵和曾与人类交配的深潜者有效，而对夏塔克鸟和空鬼之类非人类的存在无效。</t>
    </r>
    <r>
      <rPr>
        <sz val="14"/>
        <color rgb="FF000000"/>
        <rFont val="Resource Han Rounded CN Normal"/>
        <charset val="134"/>
      </rPr>
      <t xml:space="preserve">
</t>
    </r>
    <r>
      <rPr>
        <sz val="14"/>
        <color rgb="FF000000"/>
        <rFont val="宋体"/>
        <charset val="134"/>
      </rPr>
      <t>施法者吟诵咒语并对目标叙述暗示。施法者须和目标进行一次</t>
    </r>
    <r>
      <rPr>
        <sz val="14"/>
        <color rgb="FF000000"/>
        <rFont val="Resource Han Rounded CN Normal"/>
        <charset val="134"/>
      </rPr>
      <t>POW</t>
    </r>
    <r>
      <rPr>
        <sz val="14"/>
        <color rgb="FF000000"/>
        <rFont val="宋体"/>
        <charset val="134"/>
      </rPr>
      <t>对抗检定并胜出，法术才能生效。涉及死亡或重大伤害的暗示需要在它执行之前再进行一次</t>
    </r>
    <r>
      <rPr>
        <sz val="14"/>
        <color rgb="FF000000"/>
        <rFont val="Resource Han Rounded CN Normal"/>
        <charset val="134"/>
      </rPr>
      <t>POW</t>
    </r>
    <r>
      <rPr>
        <sz val="14"/>
        <color rgb="FF000000"/>
        <rFont val="宋体"/>
        <charset val="134"/>
      </rPr>
      <t>对抗检定。</t>
    </r>
    <r>
      <rPr>
        <sz val="14"/>
        <color rgb="FF000000"/>
        <rFont val="Resource Han Rounded CN Normal"/>
        <charset val="134"/>
      </rPr>
      <t xml:space="preserve">
</t>
    </r>
    <r>
      <rPr>
        <sz val="14"/>
        <color rgb="FF000000"/>
        <rFont val="宋体"/>
        <charset val="134"/>
      </rPr>
      <t>法术的消耗随暗示而不同。对无威胁的暗示（扔下你的武器、钱留下人滚蛋等等），消耗是</t>
    </r>
    <r>
      <rPr>
        <sz val="14"/>
        <color rgb="FF000000"/>
        <rFont val="Resource Han Rounded CN Normal"/>
        <charset val="134"/>
      </rPr>
      <t>5</t>
    </r>
    <r>
      <rPr>
        <sz val="14"/>
        <color rgb="FF000000"/>
        <rFont val="宋体"/>
        <charset val="134"/>
      </rPr>
      <t>点魔法值和</t>
    </r>
    <r>
      <rPr>
        <sz val="14"/>
        <color rgb="FF000000"/>
        <rFont val="Resource Han Rounded CN Normal"/>
        <charset val="134"/>
      </rPr>
      <t>1D3</t>
    </r>
    <r>
      <rPr>
        <sz val="14"/>
        <color rgb="FF000000"/>
        <rFont val="宋体"/>
        <charset val="134"/>
      </rPr>
      <t>点理智值。较危险但不针对目标的暗示（到敦威治去、放火烧楼等等）消耗</t>
    </r>
    <r>
      <rPr>
        <sz val="14"/>
        <color rgb="FF000000"/>
        <rFont val="Resource Han Rounded CN Normal"/>
        <charset val="134"/>
      </rPr>
      <t>10</t>
    </r>
    <r>
      <rPr>
        <sz val="14"/>
        <color rgb="FF000000"/>
        <rFont val="宋体"/>
        <charset val="134"/>
      </rPr>
      <t>点魔法值和</t>
    </r>
    <r>
      <rPr>
        <sz val="14"/>
        <color rgb="FF000000"/>
        <rFont val="Resource Han Rounded CN Normal"/>
        <charset val="134"/>
      </rPr>
      <t>2D3</t>
    </r>
    <r>
      <rPr>
        <sz val="14"/>
        <color rgb="FF000000"/>
        <rFont val="宋体"/>
        <charset val="134"/>
      </rPr>
      <t>点理智值。危险或自取灭亡的暗示（如杀队友、劫持总统等等）消耗</t>
    </r>
    <r>
      <rPr>
        <sz val="14"/>
        <color rgb="FF000000"/>
        <rFont val="Resource Han Rounded CN Normal"/>
        <charset val="134"/>
      </rPr>
      <t>15</t>
    </r>
    <r>
      <rPr>
        <sz val="14"/>
        <color rgb="FF000000"/>
        <rFont val="宋体"/>
        <charset val="134"/>
      </rPr>
      <t>点魔法值和</t>
    </r>
    <r>
      <rPr>
        <sz val="14"/>
        <color rgb="FF000000"/>
        <rFont val="Resource Han Rounded CN Normal"/>
        <charset val="134"/>
      </rPr>
      <t>3D3</t>
    </r>
    <r>
      <rPr>
        <sz val="14"/>
        <color rgb="FF000000"/>
        <rFont val="宋体"/>
        <charset val="134"/>
      </rPr>
      <t>点理智值。</t>
    </r>
    <r>
      <rPr>
        <sz val="14"/>
        <color rgb="FF000000"/>
        <rFont val="Resource Han Rounded CN Normal"/>
        <charset val="134"/>
      </rPr>
      <t xml:space="preserve">
</t>
    </r>
    <r>
      <rPr>
        <sz val="14"/>
        <color rgb="FF000000"/>
        <rFont val="宋体"/>
        <charset val="134"/>
      </rPr>
      <t>若对调查员使用，施法者每有</t>
    </r>
    <r>
      <rPr>
        <sz val="14"/>
        <color rgb="FF000000"/>
        <rFont val="Resource Han Rounded CN Normal"/>
        <charset val="134"/>
      </rPr>
      <t>1</t>
    </r>
    <r>
      <rPr>
        <sz val="14"/>
        <color rgb="FF000000"/>
        <rFont val="宋体"/>
        <charset val="134"/>
      </rPr>
      <t>点</t>
    </r>
    <r>
      <rPr>
        <sz val="14"/>
        <color rgb="FF000000"/>
        <rFont val="Resource Han Rounded CN Normal"/>
        <charset val="134"/>
      </rPr>
      <t>INT</t>
    </r>
    <r>
      <rPr>
        <sz val="14"/>
        <color rgb="FF000000"/>
        <rFont val="宋体"/>
        <charset val="134"/>
      </rPr>
      <t>，法术效果延续一轮。如果调查员的</t>
    </r>
    <r>
      <rPr>
        <sz val="14"/>
        <color rgb="FF000000"/>
        <rFont val="Resource Han Rounded CN Normal"/>
        <charset val="134"/>
      </rPr>
      <t>INT</t>
    </r>
    <r>
      <rPr>
        <sz val="14"/>
        <color rgb="FF000000"/>
        <rFont val="宋体"/>
        <charset val="134"/>
      </rPr>
      <t>高于施法者，则施法者每</t>
    </r>
    <r>
      <rPr>
        <sz val="14"/>
        <color rgb="FF000000"/>
        <rFont val="Resource Han Rounded CN Normal"/>
        <charset val="134"/>
      </rPr>
      <t>10</t>
    </r>
    <r>
      <rPr>
        <sz val="14"/>
        <color rgb="FF000000"/>
        <rFont val="宋体"/>
        <charset val="134"/>
      </rPr>
      <t>轮须再进行一次</t>
    </r>
    <r>
      <rPr>
        <sz val="14"/>
        <color rgb="FF000000"/>
        <rFont val="Resource Han Rounded CN Normal"/>
        <charset val="134"/>
      </rPr>
      <t>POW</t>
    </r>
    <r>
      <rPr>
        <sz val="14"/>
        <color rgb="FF000000"/>
        <rFont val="宋体"/>
        <charset val="134"/>
      </rPr>
      <t>检定（若调查员成功则法术终止）。</t>
    </r>
    <r>
      <rPr>
        <sz val="14"/>
        <color rgb="FF000000"/>
        <rFont val="Resource Han Rounded CN Normal"/>
        <charset val="134"/>
      </rPr>
      <t xml:space="preserve">
</t>
    </r>
    <r>
      <rPr>
        <sz val="14"/>
        <color rgb="FF000000"/>
        <rFont val="宋体"/>
        <charset val="134"/>
      </rPr>
      <t>别名：意志支配术、主仆术、猎物屈从于汝之威压、迷魅术、屈从术、决心动摇术、精神统管术、暗示注入术</t>
    </r>
  </si>
  <si>
    <t>哈布沙暴发生术〔环〕</t>
  </si>
  <si>
    <r>
      <rPr>
        <sz val="14"/>
        <color rgb="FF000000"/>
        <rFont val="Resource Han Rounded CN Normal"/>
        <charset val="134"/>
      </rPr>
      <t>20</t>
    </r>
    <r>
      <rPr>
        <sz val="14"/>
        <color rgb="FF000000"/>
        <rFont val="宋体"/>
        <charset val="134"/>
      </rPr>
      <t>点魔法值；</t>
    </r>
    <r>
      <rPr>
        <sz val="14"/>
        <color rgb="FF000000"/>
        <rFont val="Resource Han Rounded CN Normal"/>
        <charset val="134"/>
      </rPr>
      <t>1D4</t>
    </r>
    <r>
      <rPr>
        <sz val="14"/>
        <color rgb="FF000000"/>
        <rFont val="宋体"/>
        <charset val="134"/>
      </rPr>
      <t>点理智值</t>
    </r>
  </si>
  <si>
    <t>沙暴发生术、巨灵的血腥挠痒、伏木之手</t>
  </si>
  <si>
    <t>MIND TRANSFER</t>
  </si>
  <si>
    <t>精神转移术</t>
  </si>
  <si>
    <t>精神転移</t>
  </si>
  <si>
    <r>
      <rPr>
        <sz val="14"/>
        <color rgb="FF000000"/>
        <rFont val="宋体"/>
        <charset val="134"/>
      </rPr>
      <t>精神转移术〔续、变〕</t>
    </r>
    <r>
      <rPr>
        <sz val="14"/>
        <color rgb="FF000000"/>
        <rFont val="Resource Han Rounded CN Normal"/>
        <charset val="134"/>
      </rPr>
      <t xml:space="preserve">
Mind Transfer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1D10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轮以上</t>
    </r>
    <r>
      <rPr>
        <sz val="14"/>
        <color rgb="FF000000"/>
        <rFont val="Resource Han Rounded CN Normal"/>
        <charset val="134"/>
      </rPr>
      <t xml:space="preserve">
</t>
    </r>
    <r>
      <rPr>
        <sz val="14"/>
        <color rgb="FF000000"/>
        <rFont val="宋体"/>
        <charset val="134"/>
      </rPr>
      <t>本法术威力强大，能让施法者和目标永久交易精神，可能是用目标的身体来为自己续命。施法者须和目标进行一次</t>
    </r>
    <r>
      <rPr>
        <sz val="14"/>
        <color rgb="FF000000"/>
        <rFont val="Resource Han Rounded CN Normal"/>
        <charset val="134"/>
      </rPr>
      <t>POW</t>
    </r>
    <r>
      <rPr>
        <sz val="14"/>
        <color rgb="FF000000"/>
        <rFont val="宋体"/>
        <charset val="134"/>
      </rPr>
      <t>对抗检定并胜出，法术才能生效。若成功，施法者失去</t>
    </r>
    <r>
      <rPr>
        <sz val="14"/>
        <color rgb="FF000000"/>
        <rFont val="Resource Han Rounded CN Normal"/>
        <charset val="134"/>
      </rPr>
      <t>1D10</t>
    </r>
    <r>
      <rPr>
        <sz val="14"/>
        <color rgb="FF000000"/>
        <rFont val="宋体"/>
        <charset val="134"/>
      </rPr>
      <t>点理智值，目标失去</t>
    </r>
    <r>
      <rPr>
        <sz val="14"/>
        <color rgb="FF000000"/>
        <rFont val="Resource Han Rounded CN Normal"/>
        <charset val="134"/>
      </rPr>
      <t>2D10</t>
    </r>
    <r>
      <rPr>
        <sz val="14"/>
        <color rgb="FF000000"/>
        <rFont val="宋体"/>
        <charset val="134"/>
      </rPr>
      <t>点理智值。若交换失败，施法者必须立即重新施法（消耗</t>
    </r>
    <r>
      <rPr>
        <sz val="14"/>
        <color rgb="FF000000"/>
        <rFont val="Resource Han Rounded CN Normal"/>
        <charset val="134"/>
      </rPr>
      <t>10</t>
    </r>
    <r>
      <rPr>
        <sz val="14"/>
        <color rgb="FF000000"/>
        <rFont val="宋体"/>
        <charset val="134"/>
      </rPr>
      <t>点以上魔法值），不然他的精神就会消散在永恒之中。转换开始后就不能停止。</t>
    </r>
    <r>
      <rPr>
        <sz val="14"/>
        <color rgb="FF000000"/>
        <rFont val="Resource Han Rounded CN Normal"/>
        <charset val="134"/>
      </rPr>
      <t xml:space="preserve">
</t>
    </r>
    <r>
      <rPr>
        <sz val="14"/>
        <color rgb="FF000000"/>
        <rFont val="宋体"/>
        <charset val="134"/>
      </rPr>
      <t>施法成功意味着施法者永久掌控了目标的身体。他原来的身体现在成了无生命的躯壳。至于目标的精神，有推测认为会从身体中被放逐而死去；但也有些线索表明它仍留在原来的身体内，屈服于施法者的精神，困在永久的恐怖疯狂状态当中。</t>
    </r>
    <r>
      <rPr>
        <sz val="14"/>
        <color rgb="FF000000"/>
        <rFont val="Resource Han Rounded CN Normal"/>
        <charset val="134"/>
      </rPr>
      <t xml:space="preserve">
</t>
    </r>
    <r>
      <rPr>
        <sz val="14"/>
        <color rgb="FF000000"/>
        <rFont val="宋体"/>
        <charset val="134"/>
      </rPr>
      <t>深层魔法：巫师的黑暗意志是强大的力量，常常会超越完全的死亡。害怕死亡或渴望长寿的巫师可能会在施放</t>
    </r>
    <r>
      <rPr>
        <sz val="14"/>
        <color rgb="FF000000"/>
        <rFont val="Resource Han Rounded CN Normal"/>
        <charset val="134"/>
      </rPr>
      <t>“</t>
    </r>
    <r>
      <rPr>
        <sz val="14"/>
        <color rgb="FF000000"/>
        <rFont val="宋体"/>
        <charset val="134"/>
      </rPr>
      <t>精神转移术</t>
    </r>
    <r>
      <rPr>
        <sz val="14"/>
        <color rgb="FF000000"/>
        <rFont val="Resource Han Rounded CN Normal"/>
        <charset val="134"/>
      </rPr>
      <t>”</t>
    </r>
    <r>
      <rPr>
        <sz val="14"/>
        <color rgb="FF000000"/>
        <rFont val="宋体"/>
        <charset val="134"/>
      </rPr>
      <t>之前准备许多年。这些准备工作常与一些个人物品有关（如塑像和日记），法术的关键会在这些物品中等待让它实现的合适条件。通常这些关键是施法者的后裔子孙，在无意之中激活了法术。</t>
    </r>
    <r>
      <rPr>
        <sz val="14"/>
        <color rgb="FF000000"/>
        <rFont val="Resource Han Rounded CN Normal"/>
        <charset val="134"/>
      </rPr>
      <t xml:space="preserve">
</t>
    </r>
    <r>
      <rPr>
        <sz val="14"/>
        <color rgb="FF000000"/>
        <rFont val="宋体"/>
        <charset val="134"/>
      </rPr>
      <t>别名：凡人的交易、无休止的血之活力、灵魂占据术</t>
    </r>
  </si>
  <si>
    <t>苏莱曼之尘〔驱、战〕</t>
  </si>
  <si>
    <r>
      <rPr>
        <sz val="14"/>
        <color rgb="FF000000"/>
        <rFont val="宋体"/>
        <charset val="134"/>
      </rPr>
      <t>每</t>
    </r>
    <r>
      <rPr>
        <sz val="14"/>
        <color rgb="FF000000"/>
        <rFont val="Resource Han Rounded CN Normal"/>
        <charset val="134"/>
      </rPr>
      <t>3</t>
    </r>
    <r>
      <rPr>
        <sz val="14"/>
        <color rgb="FF000000"/>
        <rFont val="宋体"/>
        <charset val="134"/>
      </rPr>
      <t>剂</t>
    </r>
    <r>
      <rPr>
        <sz val="14"/>
        <color rgb="FF000000"/>
        <rFont val="Resource Han Rounded CN Normal"/>
        <charset val="134"/>
      </rPr>
      <t>10</t>
    </r>
    <r>
      <rPr>
        <sz val="14"/>
        <color rgb="FF000000"/>
        <rFont val="宋体"/>
        <charset val="134"/>
      </rPr>
      <t>点魔法值</t>
    </r>
  </si>
  <si>
    <r>
      <rPr>
        <sz val="14"/>
        <color rgb="FF000000"/>
        <rFont val="Resource Han Rounded CN Normal"/>
        <charset val="134"/>
      </rPr>
      <t>24+</t>
    </r>
    <r>
      <rPr>
        <sz val="14"/>
        <color rgb="FF000000"/>
        <rFont val="宋体"/>
        <charset val="134"/>
      </rPr>
      <t>小时（使用时每剂需</t>
    </r>
    <r>
      <rPr>
        <sz val="14"/>
        <color rgb="FF000000"/>
        <rFont val="Resource Han Rounded CN Normal"/>
        <charset val="134"/>
      </rPr>
      <t>1</t>
    </r>
    <r>
      <rPr>
        <sz val="14"/>
        <color rgb="FF000000"/>
        <rFont val="宋体"/>
        <charset val="134"/>
      </rPr>
      <t>轮）</t>
    </r>
  </si>
  <si>
    <t>埃及粉、死者的保护</t>
  </si>
  <si>
    <t>POWER DRAIN</t>
  </si>
  <si>
    <t>魔力吸取术</t>
  </si>
  <si>
    <t>精神力吸引</t>
  </si>
  <si>
    <r>
      <rPr>
        <sz val="14"/>
        <color rgb="FF000000"/>
        <rFont val="宋体"/>
        <charset val="134"/>
      </rPr>
      <t>魔力吸取术〔战、他〕</t>
    </r>
    <r>
      <rPr>
        <sz val="14"/>
        <color rgb="FF000000"/>
        <rFont val="Resource Han Rounded CN Normal"/>
        <charset val="134"/>
      </rPr>
      <t xml:space="preserve">
Power Drain
</t>
    </r>
    <r>
      <rPr>
        <sz val="14"/>
        <color rgb="FF000000"/>
        <rFont val="宋体"/>
        <charset val="134"/>
      </rPr>
      <t>消耗：</t>
    </r>
    <r>
      <rPr>
        <sz val="14"/>
        <color rgb="FF000000"/>
        <rFont val="Resource Han Rounded CN Normal"/>
        <charset val="134"/>
      </rPr>
      <t>1D8</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t>
    </r>
    <r>
      <rPr>
        <sz val="14"/>
        <color rgb="FF000000"/>
        <rFont val="宋体"/>
        <charset val="134"/>
      </rPr>
      <t>轮</t>
    </r>
    <r>
      <rPr>
        <sz val="14"/>
        <color rgb="FF000000"/>
        <rFont val="Resource Han Rounded CN Normal"/>
        <charset val="134"/>
      </rPr>
      <t xml:space="preserve">
</t>
    </r>
    <r>
      <rPr>
        <sz val="14"/>
        <color rgb="FF000000"/>
        <rFont val="宋体"/>
        <charset val="134"/>
      </rPr>
      <t>从一名目标身上吸取魔法值。施法者须和目标进行一次</t>
    </r>
    <r>
      <rPr>
        <sz val="14"/>
        <color rgb="FF000000"/>
        <rFont val="Resource Han Rounded CN Normal"/>
        <charset val="134"/>
      </rPr>
      <t>POW</t>
    </r>
    <r>
      <rPr>
        <sz val="14"/>
        <color rgb="FF000000"/>
        <rFont val="宋体"/>
        <charset val="134"/>
      </rPr>
      <t>对抗检定并胜出，法术才能生效。若施法者胜出，目标损失</t>
    </r>
    <r>
      <rPr>
        <sz val="14"/>
        <color rgb="FF000000"/>
        <rFont val="Resource Han Rounded CN Normal"/>
        <charset val="134"/>
      </rPr>
      <t>1D6</t>
    </r>
    <r>
      <rPr>
        <sz val="14"/>
        <color rgb="FF000000"/>
        <rFont val="宋体"/>
        <charset val="134"/>
      </rPr>
      <t>点魔法值，增加给施法者；若施法者未能击败目标，他会失去</t>
    </r>
    <r>
      <rPr>
        <sz val="14"/>
        <color rgb="FF000000"/>
        <rFont val="Resource Han Rounded CN Normal"/>
        <charset val="134"/>
      </rPr>
      <t>1D6</t>
    </r>
    <r>
      <rPr>
        <sz val="14"/>
        <color rgb="FF000000"/>
        <rFont val="宋体"/>
        <charset val="134"/>
      </rPr>
      <t>点魔法值给目标。如果魔法值已枯竭，则法术会转而吸取耐久值（如果所有耐久值被吸尽，目标将昏迷</t>
    </r>
    <r>
      <rPr>
        <sz val="14"/>
        <color rgb="FF000000"/>
        <rFont val="Resource Han Rounded CN Normal"/>
        <charset val="134"/>
      </rPr>
      <t>——</t>
    </r>
    <r>
      <rPr>
        <sz val="14"/>
        <color rgb="FF000000"/>
        <rFont val="宋体"/>
        <charset val="134"/>
      </rPr>
      <t>本法术没有杀死目标的能力）。</t>
    </r>
    <r>
      <rPr>
        <sz val="14"/>
        <color rgb="FF000000"/>
        <rFont val="Resource Han Rounded CN Normal"/>
        <charset val="134"/>
      </rPr>
      <t xml:space="preserve">
</t>
    </r>
    <r>
      <rPr>
        <sz val="14"/>
        <color rgb="FF000000"/>
        <rFont val="宋体"/>
        <charset val="134"/>
      </rPr>
      <t>深层魔法：钻研黑暗学识的人对力量的渴求极度强烈。熟稔魔法的巫师会从目标身上吸取</t>
    </r>
    <r>
      <rPr>
        <sz val="14"/>
        <color rgb="FF000000"/>
        <rFont val="Resource Han Rounded CN Normal"/>
        <charset val="134"/>
      </rPr>
      <t>POW</t>
    </r>
    <r>
      <rPr>
        <sz val="14"/>
        <color rgb="FF000000"/>
        <rFont val="宋体"/>
        <charset val="134"/>
      </rPr>
      <t>而非魔法值。</t>
    </r>
    <r>
      <rPr>
        <sz val="14"/>
        <color rgb="FF000000"/>
        <rFont val="Resource Han Rounded CN Normal"/>
        <charset val="134"/>
      </rPr>
      <t xml:space="preserve">
</t>
    </r>
    <r>
      <rPr>
        <sz val="14"/>
        <color rgb="FF000000"/>
        <rFont val="宋体"/>
        <charset val="134"/>
      </rPr>
      <t>别名：生命力吸取术、尼安贝的仪式、啜饮魔力的灵丹</t>
    </r>
  </si>
  <si>
    <t>精神交换术〔变〕</t>
  </si>
  <si>
    <r>
      <rPr>
        <sz val="14"/>
        <color rgb="FF000000"/>
        <rFont val="宋体"/>
        <charset val="134"/>
      </rPr>
      <t>可变的魔法值；</t>
    </r>
    <r>
      <rPr>
        <sz val="14"/>
        <color rgb="FF000000"/>
        <rFont val="Resource Han Rounded CN Normal"/>
        <charset val="134"/>
      </rPr>
      <t>1D3</t>
    </r>
    <r>
      <rPr>
        <sz val="14"/>
        <color rgb="FF000000"/>
        <rFont val="宋体"/>
        <charset val="134"/>
      </rPr>
      <t>点理智值</t>
    </r>
  </si>
  <si>
    <t>反之亦然咒、交换仪式、借人皮囊作衣裳</t>
  </si>
  <si>
    <t>SENSE LIFE</t>
  </si>
  <si>
    <t>生命觉察术</t>
  </si>
  <si>
    <r>
      <rPr>
        <sz val="14"/>
        <color rgb="FF000000"/>
        <rFont val="宋体"/>
        <charset val="134"/>
      </rPr>
      <t>生命</t>
    </r>
    <r>
      <rPr>
        <sz val="14"/>
        <color rgb="FF000000"/>
        <rFont val="MS Gothic"/>
        <charset val="134"/>
      </rPr>
      <t>の</t>
    </r>
    <r>
      <rPr>
        <sz val="14"/>
        <color rgb="FF000000"/>
        <rFont val="宋体"/>
        <charset val="134"/>
      </rPr>
      <t>察知</t>
    </r>
  </si>
  <si>
    <r>
      <rPr>
        <sz val="14"/>
        <color rgb="FF000000"/>
        <rFont val="宋体"/>
        <charset val="134"/>
      </rPr>
      <t>生命觉察术〔他〕</t>
    </r>
    <r>
      <rPr>
        <sz val="14"/>
        <color rgb="FF000000"/>
        <rFont val="Resource Han Rounded CN Normal"/>
        <charset val="134"/>
      </rPr>
      <t xml:space="preserve">
Sense Life
</t>
    </r>
    <r>
      <rPr>
        <sz val="14"/>
        <color rgb="FF000000"/>
        <rFont val="宋体"/>
        <charset val="134"/>
      </rPr>
      <t>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到</t>
    </r>
    <r>
      <rPr>
        <sz val="14"/>
        <color rgb="FF000000"/>
        <rFont val="Resource Han Rounded CN Normal"/>
        <charset val="134"/>
      </rPr>
      <t>5</t>
    </r>
    <r>
      <rPr>
        <sz val="14"/>
        <color rgb="FF000000"/>
        <rFont val="宋体"/>
        <charset val="134"/>
      </rPr>
      <t>轮</t>
    </r>
    <r>
      <rPr>
        <sz val="14"/>
        <color rgb="FF000000"/>
        <rFont val="Resource Han Rounded CN Normal"/>
        <charset val="134"/>
      </rPr>
      <t>(</t>
    </r>
    <r>
      <rPr>
        <sz val="14"/>
        <color rgb="FF000000"/>
        <rFont val="宋体"/>
        <charset val="134"/>
      </rPr>
      <t>由搜索的区域决定</t>
    </r>
    <r>
      <rPr>
        <sz val="14"/>
        <color rgb="FF000000"/>
        <rFont val="Resource Han Rounded CN Normal"/>
        <charset val="134"/>
      </rPr>
      <t xml:space="preserve">)
</t>
    </r>
    <r>
      <rPr>
        <sz val="14"/>
        <color rgb="FF000000"/>
        <rFont val="宋体"/>
        <charset val="134"/>
      </rPr>
      <t>可以让施法者侦测特定地点的生命迹象。法术的范围大约是一栋房子的大小。施法者必须在场。法术可以让施法者区分物种</t>
    </r>
    <r>
      <rPr>
        <sz val="14"/>
        <color rgb="FF000000"/>
        <rFont val="Resource Han Rounded CN Normal"/>
        <charset val="134"/>
      </rPr>
      <t>(</t>
    </r>
    <r>
      <rPr>
        <sz val="14"/>
        <color rgb="FF000000"/>
        <rFont val="宋体"/>
        <charset val="134"/>
      </rPr>
      <t>如狗或人</t>
    </r>
    <r>
      <rPr>
        <sz val="14"/>
        <color rgb="FF000000"/>
        <rFont val="Resource Han Rounded CN Normal"/>
        <charset val="134"/>
      </rPr>
      <t>),</t>
    </r>
    <r>
      <rPr>
        <sz val="14"/>
        <color rgb="FF000000"/>
        <rFont val="宋体"/>
        <charset val="134"/>
      </rPr>
      <t>但无法辨认特定的人物。施法者可以侦测生命迹象并找到大概地点</t>
    </r>
    <r>
      <rPr>
        <sz val="14"/>
        <color rgb="FF000000"/>
        <rFont val="Resource Han Rounded CN Normal"/>
        <charset val="134"/>
      </rPr>
      <t>,</t>
    </r>
    <r>
      <rPr>
        <sz val="14"/>
        <color rgb="FF000000"/>
        <rFont val="宋体"/>
        <charset val="134"/>
      </rPr>
      <t>但无法找到精确的位置。</t>
    </r>
    <r>
      <rPr>
        <sz val="14"/>
        <color rgb="FF000000"/>
        <rFont val="Resource Han Rounded CN Normal"/>
        <charset val="134"/>
      </rPr>
      <t xml:space="preserve">
</t>
    </r>
    <r>
      <rPr>
        <sz val="14"/>
        <color rgb="FF000000"/>
        <rFont val="宋体"/>
        <charset val="134"/>
      </rPr>
      <t>别名：直感他人的存在、定位生命共振</t>
    </r>
  </si>
  <si>
    <t>心理暗示术〔战、支〕</t>
  </si>
  <si>
    <t>意志支配术、主仆术、猎物屈从于汝之威压、迷魅术、屈从术、决心动摇术、精神统管术、暗示注入术</t>
  </si>
  <si>
    <t>SIREN'S SONG</t>
  </si>
  <si>
    <t>塞壬之歌</t>
  </si>
  <si>
    <r>
      <rPr>
        <sz val="14"/>
        <color rgb="FF000000"/>
        <rFont val="MS Gothic"/>
        <charset val="134"/>
      </rPr>
      <t>セイレーンの</t>
    </r>
    <r>
      <rPr>
        <sz val="14"/>
        <color rgb="FF000000"/>
        <rFont val="宋体"/>
        <charset val="134"/>
      </rPr>
      <t>歌声</t>
    </r>
  </si>
  <si>
    <r>
      <rPr>
        <sz val="14"/>
        <color rgb="FF000000"/>
        <rFont val="宋体"/>
        <charset val="134"/>
      </rPr>
      <t>塞壬之歌（民俗）〔民〕</t>
    </r>
    <r>
      <rPr>
        <sz val="14"/>
        <color rgb="FF000000"/>
        <rFont val="Resource Han Rounded CN Normal"/>
        <charset val="134"/>
      </rPr>
      <t xml:space="preserve">
Siren's Song
</t>
    </r>
    <r>
      <rPr>
        <sz val="14"/>
        <color rgb="FF000000"/>
        <rFont val="宋体"/>
        <charset val="134"/>
      </rPr>
      <t>消耗：</t>
    </r>
    <r>
      <rPr>
        <sz val="14"/>
        <color rgb="FF000000"/>
        <rFont val="Resource Han Rounded CN Normal"/>
        <charset val="134"/>
      </rPr>
      <t>6</t>
    </r>
    <r>
      <rPr>
        <sz val="14"/>
        <color rgb="FF000000"/>
        <rFont val="宋体"/>
        <charset val="134"/>
      </rPr>
      <t>点魔法值；</t>
    </r>
    <r>
      <rPr>
        <sz val="14"/>
        <color rgb="FF000000"/>
        <rFont val="Resource Han Rounded CN Normal"/>
        <charset val="134"/>
      </rPr>
      <t>5</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t>
    </r>
    <r>
      <rPr>
        <sz val="14"/>
        <color rgb="FF000000"/>
        <rFont val="宋体"/>
        <charset val="134"/>
      </rPr>
      <t>轮</t>
    </r>
    <r>
      <rPr>
        <sz val="14"/>
        <color rgb="FF000000"/>
        <rFont val="Resource Han Rounded CN Normal"/>
        <charset val="134"/>
      </rPr>
      <t xml:space="preserve">
</t>
    </r>
    <r>
      <rPr>
        <sz val="14"/>
        <color rgb="FF000000"/>
        <rFont val="宋体"/>
        <charset val="134"/>
      </rPr>
      <t>施法者通过吟唱一段歌谣或旋律，诱骗一名目标，以为施法者就是他或她心中所念之人。施法者须和目标进行一次</t>
    </r>
    <r>
      <rPr>
        <sz val="14"/>
        <color rgb="FF000000"/>
        <rFont val="Resource Han Rounded CN Normal"/>
        <charset val="134"/>
      </rPr>
      <t>POW</t>
    </r>
    <r>
      <rPr>
        <sz val="14"/>
        <color rgb="FF000000"/>
        <rFont val="宋体"/>
        <charset val="134"/>
      </rPr>
      <t>对抗检定并胜出，法术才能生效。若成功，目标的行动好像完全被施法者魅惑了一般</t>
    </r>
    <r>
      <rPr>
        <sz val="14"/>
        <color rgb="FF000000"/>
        <rFont val="Resource Han Rounded CN Normal"/>
        <charset val="134"/>
      </rPr>
      <t>——</t>
    </r>
    <r>
      <rPr>
        <sz val="14"/>
        <color rgb="FF000000"/>
        <rFont val="宋体"/>
        <charset val="134"/>
      </rPr>
      <t>他愿意照着施法者的意愿说任何话、做任何事。若目标被强迫去做对施法者所爱的他人或者目标自己造成伤害的行动时，需要再次进行</t>
    </r>
    <r>
      <rPr>
        <sz val="14"/>
        <color rgb="FF000000"/>
        <rFont val="Resource Han Rounded CN Normal"/>
        <charset val="134"/>
      </rPr>
      <t>POW</t>
    </r>
    <r>
      <rPr>
        <sz val="14"/>
        <color rgb="FF000000"/>
        <rFont val="宋体"/>
        <charset val="134"/>
      </rPr>
      <t>对抗检定。</t>
    </r>
    <r>
      <rPr>
        <sz val="14"/>
        <color rgb="FF000000"/>
        <rFont val="Resource Han Rounded CN Normal"/>
        <charset val="134"/>
      </rPr>
      <t xml:space="preserve">
</t>
    </r>
    <r>
      <rPr>
        <sz val="14"/>
        <color rgb="FF000000"/>
        <rFont val="宋体"/>
        <charset val="134"/>
      </rPr>
      <t>法术会影响所有听到歌声的人，每个人都要各自和施法者进行</t>
    </r>
    <r>
      <rPr>
        <sz val="14"/>
        <color rgb="FF000000"/>
        <rFont val="Resource Han Rounded CN Normal"/>
        <charset val="134"/>
      </rPr>
      <t>POW</t>
    </r>
    <r>
      <rPr>
        <sz val="14"/>
        <color rgb="FF000000"/>
        <rFont val="宋体"/>
        <charset val="134"/>
      </rPr>
      <t>对抗，否则会受到影响。法术的效果持续</t>
    </r>
    <r>
      <rPr>
        <sz val="14"/>
        <color rgb="FF000000"/>
        <rFont val="Resource Han Rounded CN Normal"/>
        <charset val="134"/>
      </rPr>
      <t>1D10</t>
    </r>
    <r>
      <rPr>
        <sz val="14"/>
        <color rgb="FF000000"/>
        <rFont val="宋体"/>
        <charset val="134"/>
      </rPr>
      <t>小时。</t>
    </r>
    <r>
      <rPr>
        <sz val="14"/>
        <color rgb="FF000000"/>
        <rFont val="Resource Han Rounded CN Normal"/>
        <charset val="134"/>
      </rPr>
      <t xml:space="preserve">
</t>
    </r>
    <r>
      <rPr>
        <sz val="14"/>
        <color rgb="FF000000"/>
        <rFont val="宋体"/>
        <charset val="134"/>
      </rPr>
      <t>别名：魅力术、美人鱼的催眠曲、精神敏感术</t>
    </r>
  </si>
  <si>
    <t>精神转移术〔续、变〕</t>
  </si>
  <si>
    <r>
      <rPr>
        <sz val="14"/>
        <color rgb="FF000000"/>
        <rFont val="Resource Han Rounded CN Normal"/>
        <charset val="134"/>
      </rPr>
      <t>5</t>
    </r>
    <r>
      <rPr>
        <sz val="14"/>
        <color rgb="FF000000"/>
        <rFont val="宋体"/>
        <charset val="134"/>
      </rPr>
      <t>轮以上</t>
    </r>
  </si>
  <si>
    <t>凡人的交易、无休止的血之活力、灵魂占据术</t>
  </si>
  <si>
    <t>SEKHMENKENHEP'S WORDS</t>
  </si>
  <si>
    <t>真言术</t>
  </si>
  <si>
    <r>
      <rPr>
        <sz val="14"/>
        <color rgb="FF000000"/>
        <rFont val="MS Gothic"/>
        <charset val="134"/>
      </rPr>
      <t>セクメンケネッブの</t>
    </r>
    <r>
      <rPr>
        <sz val="14"/>
        <color rgb="FF000000"/>
        <rFont val="宋体"/>
        <charset val="134"/>
      </rPr>
      <t>言葉</t>
    </r>
  </si>
  <si>
    <r>
      <rPr>
        <sz val="14"/>
        <color rgb="FF000000"/>
        <rFont val="宋体"/>
        <charset val="134"/>
      </rPr>
      <t>真言术〔交、支〕</t>
    </r>
    <r>
      <rPr>
        <sz val="14"/>
        <color rgb="FF000000"/>
        <rFont val="Resource Han Rounded CN Normal"/>
        <charset val="134"/>
      </rPr>
      <t xml:space="preserve">
Words of Power
</t>
    </r>
    <r>
      <rPr>
        <sz val="14"/>
        <color rgb="FF000000"/>
        <rFont val="宋体"/>
        <charset val="134"/>
      </rPr>
      <t>消耗：</t>
    </r>
    <r>
      <rPr>
        <sz val="14"/>
        <color rgb="FF000000"/>
        <rFont val="Resource Han Rounded CN Normal"/>
        <charset val="134"/>
      </rPr>
      <t>3+</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10+</t>
    </r>
    <r>
      <rPr>
        <sz val="14"/>
        <color rgb="FF000000"/>
        <rFont val="宋体"/>
        <charset val="134"/>
      </rPr>
      <t>分钟</t>
    </r>
    <r>
      <rPr>
        <sz val="14"/>
        <color rgb="FF000000"/>
        <rFont val="Resource Han Rounded CN Normal"/>
        <charset val="134"/>
      </rPr>
      <t xml:space="preserve">
</t>
    </r>
    <r>
      <rPr>
        <sz val="14"/>
        <color rgb="FF000000"/>
        <rFont val="宋体"/>
        <charset val="134"/>
      </rPr>
      <t>施法者与大群听众创造强烈的联系。施法者必须即兴演讲并看似真诚，来维持听众的注意力。施法者在讲到每个论据、论点和命令时都要消耗</t>
    </r>
    <r>
      <rPr>
        <sz val="14"/>
        <color rgb="FF000000"/>
        <rFont val="Resource Han Rounded CN Normal"/>
        <charset val="134"/>
      </rPr>
      <t>3</t>
    </r>
    <r>
      <rPr>
        <sz val="14"/>
        <color rgb="FF000000"/>
        <rFont val="宋体"/>
        <charset val="134"/>
      </rPr>
      <t>点魔法值并进行一次</t>
    </r>
    <r>
      <rPr>
        <sz val="14"/>
        <color rgb="FF000000"/>
        <rFont val="Resource Han Rounded CN Normal"/>
        <charset val="134"/>
      </rPr>
      <t>KP</t>
    </r>
    <r>
      <rPr>
        <sz val="14"/>
        <color rgb="FF000000"/>
        <rFont val="宋体"/>
        <charset val="134"/>
      </rPr>
      <t>认为合适的社交检定（「魅惑」「话术」或「说服」）并成功，不然演讲会在困惑不解中犹犹豫豫地结束。在演讲成功结束后，听众会在</t>
    </r>
    <r>
      <rPr>
        <sz val="14"/>
        <color rgb="FF000000"/>
        <rFont val="Resource Han Rounded CN Normal"/>
        <charset val="134"/>
      </rPr>
      <t>1D3</t>
    </r>
    <r>
      <rPr>
        <sz val="14"/>
        <color rgb="FF000000"/>
        <rFont val="宋体"/>
        <charset val="134"/>
      </rPr>
      <t>天中完全相信演讲的内容。</t>
    </r>
    <r>
      <rPr>
        <sz val="14"/>
        <color rgb="FF000000"/>
        <rFont val="Resource Han Rounded CN Normal"/>
        <charset val="134"/>
      </rPr>
      <t xml:space="preserve">
</t>
    </r>
    <r>
      <rPr>
        <sz val="14"/>
        <color rgb="FF000000"/>
        <rFont val="宋体"/>
        <charset val="134"/>
      </rPr>
      <t>别名：塞克曼克尼普</t>
    </r>
    <r>
      <rPr>
        <sz val="14"/>
        <color rgb="FF000000"/>
        <rFont val="Resource Han Rounded CN Normal"/>
        <charset val="134"/>
      </rPr>
      <t>(Sekhmenkenhep)</t>
    </r>
    <r>
      <rPr>
        <sz val="14"/>
        <color rgb="FF000000"/>
        <rFont val="宋体"/>
        <charset val="134"/>
      </rPr>
      <t>真言术、邪恶唬骗术、人群掌控术</t>
    </r>
  </si>
  <si>
    <t>魔力吸取术〔战、他〕</t>
  </si>
  <si>
    <r>
      <rPr>
        <sz val="14"/>
        <color rgb="FF000000"/>
        <rFont val="Resource Han Rounded CN Normal"/>
        <charset val="134"/>
      </rPr>
      <t>1D8</t>
    </r>
    <r>
      <rPr>
        <sz val="14"/>
        <color rgb="FF000000"/>
        <rFont val="宋体"/>
        <charset val="134"/>
      </rPr>
      <t>点理智值</t>
    </r>
  </si>
  <si>
    <t>生命力吸取术、尼安贝的仪式、啜饮魔力的灵丹</t>
  </si>
  <si>
    <t>SUMMON EFFIGY OF HATE</t>
  </si>
  <si>
    <t>仇恨雕像</t>
  </si>
  <si>
    <r>
      <rPr>
        <sz val="14"/>
        <color rgb="FF000000"/>
        <rFont val="宋体"/>
        <charset val="134"/>
      </rPr>
      <t>憎悪</t>
    </r>
    <r>
      <rPr>
        <sz val="14"/>
        <color rgb="FF000000"/>
        <rFont val="MS Gothic"/>
        <charset val="134"/>
      </rPr>
      <t>の</t>
    </r>
    <r>
      <rPr>
        <sz val="14"/>
        <color rgb="FF000000"/>
        <rFont val="宋体"/>
        <charset val="134"/>
      </rPr>
      <t>像</t>
    </r>
    <r>
      <rPr>
        <sz val="14"/>
        <color rgb="FF000000"/>
        <rFont val="MS Gothic"/>
        <charset val="134"/>
      </rPr>
      <t>の</t>
    </r>
    <r>
      <rPr>
        <sz val="14"/>
        <color rgb="FF000000"/>
        <rFont val="宋体"/>
        <charset val="134"/>
      </rPr>
      <t>召喚</t>
    </r>
  </si>
  <si>
    <r>
      <rPr>
        <sz val="14"/>
        <color rgb="FF000000"/>
        <rFont val="宋体"/>
        <charset val="134"/>
      </rPr>
      <t>仇恨雕像〔造〕</t>
    </r>
    <r>
      <rPr>
        <sz val="14"/>
        <color rgb="FF000000"/>
        <rFont val="Resource Han Rounded CN Normal"/>
        <charset val="134"/>
      </rPr>
      <t xml:space="preserve">
Eﬃgy of Hate
</t>
    </r>
    <r>
      <rPr>
        <sz val="14"/>
        <color rgb="FF000000"/>
        <rFont val="宋体"/>
        <charset val="134"/>
      </rPr>
      <t>消耗：</t>
    </r>
    <r>
      <rPr>
        <sz val="14"/>
        <color rgb="FF000000"/>
        <rFont val="Resource Han Rounded CN Normal"/>
        <charset val="134"/>
      </rPr>
      <t>12</t>
    </r>
    <r>
      <rPr>
        <sz val="14"/>
        <color rgb="FF000000"/>
        <rFont val="宋体"/>
        <charset val="134"/>
      </rPr>
      <t>点魔法值；</t>
    </r>
    <r>
      <rPr>
        <sz val="14"/>
        <color rgb="FF000000"/>
        <rFont val="Resource Han Rounded CN Normal"/>
        <charset val="134"/>
      </rPr>
      <t>45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施法用时：每晚</t>
    </r>
    <r>
      <rPr>
        <sz val="14"/>
        <color rgb="FF000000"/>
        <rFont val="Resource Han Rounded CN Normal"/>
        <charset val="134"/>
      </rPr>
      <t>8</t>
    </r>
    <r>
      <rPr>
        <sz val="14"/>
        <color rgb="FF000000"/>
        <rFont val="宋体"/>
        <charset val="134"/>
      </rPr>
      <t>小时，持续</t>
    </r>
    <r>
      <rPr>
        <sz val="14"/>
        <color rgb="FF000000"/>
        <rFont val="Resource Han Rounded CN Normal"/>
        <charset val="134"/>
      </rPr>
      <t>3</t>
    </r>
    <r>
      <rPr>
        <sz val="14"/>
        <color rgb="FF000000"/>
        <rFont val="宋体"/>
        <charset val="134"/>
      </rPr>
      <t>晚</t>
    </r>
    <r>
      <rPr>
        <sz val="14"/>
        <color rgb="FF000000"/>
        <rFont val="Resource Han Rounded CN Normal"/>
        <charset val="134"/>
      </rPr>
      <t xml:space="preserve">
</t>
    </r>
    <r>
      <rPr>
        <sz val="14"/>
        <color rgb="FF000000"/>
        <rFont val="宋体"/>
        <charset val="134"/>
      </rPr>
      <t>召唤一个可以遵照施法者意愿去执行任务的存在。本法术的仪式必须连续举行三晚，在夜里进行。施法者向法术中投入必需的魔法值，所需的</t>
    </r>
    <r>
      <rPr>
        <sz val="14"/>
        <color rgb="FF000000"/>
        <rFont val="Resource Han Rounded CN Normal"/>
        <charset val="134"/>
      </rPr>
      <t>POW</t>
    </r>
    <r>
      <rPr>
        <sz val="14"/>
        <color rgb="FF000000"/>
        <rFont val="宋体"/>
        <charset val="134"/>
      </rPr>
      <t>一般通过三份祭品（每夜一份）来</t>
    </r>
    <r>
      <rPr>
        <sz val="14"/>
        <color rgb="FF000000"/>
        <rFont val="Resource Han Rounded CN Normal"/>
        <charset val="134"/>
      </rPr>
      <t>“</t>
    </r>
    <r>
      <rPr>
        <sz val="14"/>
        <color rgb="FF000000"/>
        <rFont val="宋体"/>
        <charset val="134"/>
      </rPr>
      <t>捐献</t>
    </r>
    <r>
      <rPr>
        <sz val="14"/>
        <color rgb="FF000000"/>
        <rFont val="Resource Han Rounded CN Normal"/>
        <charset val="134"/>
      </rPr>
      <t>”——</t>
    </r>
    <r>
      <rPr>
        <sz val="14"/>
        <color rgb="FF000000"/>
        <rFont val="宋体"/>
        <charset val="134"/>
      </rPr>
      <t>如果没有祭品，则</t>
    </r>
    <r>
      <rPr>
        <sz val="14"/>
        <color rgb="FF000000"/>
        <rFont val="Resource Han Rounded CN Normal"/>
        <charset val="134"/>
      </rPr>
      <t>POW</t>
    </r>
    <r>
      <rPr>
        <sz val="14"/>
        <color rgb="FF000000"/>
        <rFont val="宋体"/>
        <charset val="134"/>
      </rPr>
      <t>会从施法者身上扣除（每夜</t>
    </r>
    <r>
      <rPr>
        <sz val="14"/>
        <color rgb="FF000000"/>
        <rFont val="Resource Han Rounded CN Normal"/>
        <charset val="134"/>
      </rPr>
      <t>15</t>
    </r>
    <r>
      <rPr>
        <sz val="14"/>
        <color rgb="FF000000"/>
        <rFont val="宋体"/>
        <charset val="134"/>
      </rPr>
      <t>点）。并且，施法者必须准备一具图腾（通常是木质），可以是任何形式（常在施法者的文化中有特殊意义）。三夜之后，该存在就会被召唤，并束缚到图腾上。</t>
    </r>
    <r>
      <rPr>
        <sz val="14"/>
        <color rgb="FF000000"/>
        <rFont val="Resource Han Rounded CN Normal"/>
        <charset val="134"/>
      </rPr>
      <t xml:space="preserve">
</t>
    </r>
    <r>
      <rPr>
        <sz val="14"/>
        <color rgb="FF000000"/>
        <rFont val="宋体"/>
        <charset val="134"/>
      </rPr>
      <t>在第三夜法术的高潮时，仇恨雕像将完全和图腾结合。它遵照施法者的意愿行动，可以开始完成施法者的愿望。</t>
    </r>
    <r>
      <rPr>
        <sz val="14"/>
        <color rgb="FF000000"/>
        <rFont val="Resource Han Rounded CN Normal"/>
        <charset val="134"/>
      </rPr>
      <t xml:space="preserve">
</t>
    </r>
    <r>
      <rPr>
        <sz val="14"/>
        <color rgb="FF000000"/>
        <rFont val="宋体"/>
        <charset val="134"/>
      </rPr>
      <t>仇恨雕像是宇宙恶意的具体化</t>
    </r>
    <r>
      <rPr>
        <sz val="14"/>
        <color rgb="FF000000"/>
        <rFont val="Resource Han Rounded CN Normal"/>
        <charset val="134"/>
      </rPr>
      <t>——</t>
    </r>
    <r>
      <rPr>
        <sz val="14"/>
        <color rgb="FF000000"/>
        <rFont val="宋体"/>
        <charset val="134"/>
      </rPr>
      <t>完全是黑暗和邪恶的集合。它只能短暂离开图腾。因为它没有实体，所以不能触碰和影响现实世界，但可以观察和收集施法者想要的信息。没有实体的雕像七宫涟个人汉化像不受物理攻击的影响（但魔法攻击会对它造成伤害）。</t>
    </r>
    <r>
      <rPr>
        <sz val="14"/>
        <color rgb="FF000000"/>
        <rFont val="Resource Han Rounded CN Normal"/>
        <charset val="134"/>
      </rPr>
      <t xml:space="preserve">
</t>
    </r>
    <r>
      <rPr>
        <sz val="14"/>
        <color rgb="FF000000"/>
        <rFont val="宋体"/>
        <charset val="134"/>
      </rPr>
      <t>当雕像从施法者的祭品中积累了</t>
    </r>
    <r>
      <rPr>
        <sz val="14"/>
        <color rgb="FF000000"/>
        <rFont val="Resource Han Rounded CN Normal"/>
        <charset val="134"/>
      </rPr>
      <t>70</t>
    </r>
    <r>
      <rPr>
        <sz val="14"/>
        <color rgb="FF000000"/>
        <rFont val="宋体"/>
        <charset val="134"/>
      </rPr>
      <t>点</t>
    </r>
    <r>
      <rPr>
        <sz val="14"/>
        <color rgb="FF000000"/>
        <rFont val="Resource Han Rounded CN Normal"/>
        <charset val="134"/>
      </rPr>
      <t>POW</t>
    </r>
    <r>
      <rPr>
        <sz val="14"/>
        <color rgb="FF000000"/>
        <rFont val="宋体"/>
        <charset val="134"/>
      </rPr>
      <t>后（不包括创建和召唤它的</t>
    </r>
    <r>
      <rPr>
        <sz val="14"/>
        <color rgb="FF000000"/>
        <rFont val="Resource Han Rounded CN Normal"/>
        <charset val="134"/>
      </rPr>
      <t>45</t>
    </r>
    <r>
      <rPr>
        <sz val="14"/>
        <color rgb="FF000000"/>
        <rFont val="宋体"/>
        <charset val="134"/>
      </rPr>
      <t>点</t>
    </r>
    <r>
      <rPr>
        <sz val="14"/>
        <color rgb="FF000000"/>
        <rFont val="Resource Han Rounded CN Normal"/>
        <charset val="134"/>
      </rPr>
      <t>POW</t>
    </r>
    <r>
      <rPr>
        <sz val="14"/>
        <color rgb="FF000000"/>
        <rFont val="宋体"/>
        <charset val="134"/>
      </rPr>
      <t>），它可以获得显形能力，每次最长</t>
    </r>
    <r>
      <rPr>
        <sz val="14"/>
        <color rgb="FF000000"/>
        <rFont val="Resource Han Rounded CN Normal"/>
        <charset val="134"/>
      </rPr>
      <t>4</t>
    </r>
    <r>
      <rPr>
        <sz val="14"/>
        <color rgb="FF000000"/>
        <rFont val="宋体"/>
        <charset val="134"/>
      </rPr>
      <t>小时（但只能在夜里），让它和现实世界互动并受到其影响（即，物理攻击可以对它造成伤害）。雕像每天可以积累</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，所以让它实体化通常需要七天七次献祭。</t>
    </r>
    <r>
      <rPr>
        <sz val="14"/>
        <color rgb="FF000000"/>
        <rFont val="Resource Han Rounded CN Normal"/>
        <charset val="134"/>
      </rPr>
      <t xml:space="preserve">
</t>
    </r>
    <r>
      <rPr>
        <sz val="14"/>
        <color rgb="FF000000"/>
        <rFont val="宋体"/>
        <charset val="134"/>
      </rPr>
      <t>别名：召来黑暗役魔、进行恶魔的交易、意志的体现</t>
    </r>
  </si>
  <si>
    <t>生命觉察术〔他〕</t>
  </si>
  <si>
    <r>
      <rPr>
        <sz val="14"/>
        <color rgb="FF000000"/>
        <rFont val="Resource Han Rounded CN Normal"/>
        <charset val="134"/>
      </rPr>
      <t>1</t>
    </r>
    <r>
      <rPr>
        <sz val="14"/>
        <color rgb="FF000000"/>
        <rFont val="宋体"/>
        <charset val="134"/>
      </rPr>
      <t>到</t>
    </r>
    <r>
      <rPr>
        <sz val="14"/>
        <color rgb="FF000000"/>
        <rFont val="Resource Han Rounded CN Normal"/>
        <charset val="134"/>
      </rPr>
      <t>5</t>
    </r>
    <r>
      <rPr>
        <sz val="14"/>
        <color rgb="FF000000"/>
        <rFont val="宋体"/>
        <charset val="134"/>
      </rPr>
      <t>轮</t>
    </r>
    <r>
      <rPr>
        <sz val="14"/>
        <color rgb="FF000000"/>
        <rFont val="Resource Han Rounded CN Normal"/>
        <charset val="134"/>
      </rPr>
      <t>(</t>
    </r>
    <r>
      <rPr>
        <sz val="14"/>
        <color rgb="FF000000"/>
        <rFont val="宋体"/>
        <charset val="134"/>
      </rPr>
      <t>由搜索的区域决定</t>
    </r>
    <r>
      <rPr>
        <sz val="14"/>
        <color rgb="FF000000"/>
        <rFont val="Resource Han Rounded CN Normal"/>
        <charset val="134"/>
      </rPr>
      <t>)</t>
    </r>
  </si>
  <si>
    <t>直感他人的存在、定位生命共振</t>
  </si>
  <si>
    <t>TRANSFER ORGAN</t>
  </si>
  <si>
    <t>器官转移术</t>
  </si>
  <si>
    <r>
      <rPr>
        <sz val="14"/>
        <color rgb="FF000000"/>
        <rFont val="宋体"/>
        <charset val="134"/>
      </rPr>
      <t>臓器</t>
    </r>
    <r>
      <rPr>
        <sz val="14"/>
        <color rgb="FF000000"/>
        <rFont val="MS Gothic"/>
        <charset val="134"/>
      </rPr>
      <t>の</t>
    </r>
    <r>
      <rPr>
        <sz val="14"/>
        <color rgb="FF000000"/>
        <rFont val="宋体"/>
        <charset val="134"/>
      </rPr>
      <t>転移</t>
    </r>
  </si>
  <si>
    <r>
      <rPr>
        <sz val="14"/>
        <color rgb="FF000000"/>
        <rFont val="宋体"/>
        <charset val="134"/>
      </rPr>
      <t>器官转移术〔续、变〕</t>
    </r>
    <r>
      <rPr>
        <sz val="14"/>
        <color rgb="FF000000"/>
        <rFont val="Resource Han Rounded CN Normal"/>
        <charset val="134"/>
      </rPr>
      <t xml:space="preserve">
Transfer Organ
</t>
    </r>
    <r>
      <rPr>
        <sz val="14"/>
        <color rgb="FF000000"/>
        <rFont val="宋体"/>
        <charset val="134"/>
      </rPr>
      <t>消耗：</t>
    </r>
    <r>
      <rPr>
        <sz val="14"/>
        <color rgb="FF000000"/>
        <rFont val="Resource Han Rounded CN Normal"/>
        <charset val="134"/>
      </rPr>
      <t>13</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1D8</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把任何人类的内脏永久改换成另一个人的对应器官</t>
    </r>
    <r>
      <rPr>
        <sz val="14"/>
        <color rgb="FF000000"/>
        <rFont val="Resource Han Rounded CN Normal"/>
        <charset val="134"/>
      </rPr>
      <t>,</t>
    </r>
    <r>
      <rPr>
        <sz val="14"/>
        <color rgb="FF000000"/>
        <rFont val="宋体"/>
        <charset val="134"/>
      </rPr>
      <t>只有心脏不能被移动或交换。手头必须有活着的供体</t>
    </r>
    <r>
      <rPr>
        <sz val="14"/>
        <color rgb="FF000000"/>
        <rFont val="Resource Han Rounded CN Normal"/>
        <charset val="134"/>
      </rPr>
      <t>——</t>
    </r>
    <r>
      <rPr>
        <sz val="14"/>
        <color rgb="FF000000"/>
        <rFont val="宋体"/>
        <charset val="134"/>
      </rPr>
      <t>供体是否同意执行此过程并不重要。若供体和受体知晓这一过程</t>
    </r>
    <r>
      <rPr>
        <sz val="14"/>
        <color rgb="FF000000"/>
        <rFont val="Resource Han Rounded CN Normal"/>
        <charset val="134"/>
      </rPr>
      <t>,</t>
    </r>
    <r>
      <rPr>
        <sz val="14"/>
        <color rgb="FF000000"/>
        <rFont val="宋体"/>
        <charset val="134"/>
      </rPr>
      <t>他们都要进行理智检定</t>
    </r>
    <r>
      <rPr>
        <sz val="14"/>
        <color rgb="FF000000"/>
        <rFont val="Resource Han Rounded CN Normal"/>
        <charset val="134"/>
      </rPr>
      <t>(</t>
    </r>
    <r>
      <rPr>
        <sz val="14"/>
        <color rgb="FF000000"/>
        <rFont val="宋体"/>
        <charset val="134"/>
      </rPr>
      <t>损失</t>
    </r>
    <r>
      <rPr>
        <sz val="14"/>
        <color rgb="FF000000"/>
        <rFont val="Resource Han Rounded CN Normal"/>
        <charset val="134"/>
      </rPr>
      <t>1D8</t>
    </r>
    <r>
      <rPr>
        <sz val="14"/>
        <color rgb="FF000000"/>
        <rFont val="宋体"/>
        <charset val="134"/>
      </rPr>
      <t>点</t>
    </r>
    <r>
      <rPr>
        <sz val="14"/>
        <color rgb="FF000000"/>
        <rFont val="Resource Han Rounded CN Normal"/>
        <charset val="134"/>
      </rPr>
      <t>);</t>
    </r>
    <r>
      <rPr>
        <sz val="14"/>
        <color rgb="FF000000"/>
        <rFont val="宋体"/>
        <charset val="134"/>
      </rPr>
      <t>若供体不知道这一过程，但后来知道自己在过程中的作用</t>
    </r>
    <r>
      <rPr>
        <sz val="14"/>
        <color rgb="FF000000"/>
        <rFont val="Resource Han Rounded CN Normal"/>
        <charset val="134"/>
      </rPr>
      <t>,</t>
    </r>
    <r>
      <rPr>
        <sz val="14"/>
        <color rgb="FF000000"/>
        <rFont val="宋体"/>
        <charset val="134"/>
      </rPr>
      <t>要损失</t>
    </r>
    <r>
      <rPr>
        <sz val="14"/>
        <color rgb="FF000000"/>
        <rFont val="Resource Han Rounded CN Normal"/>
        <charset val="134"/>
      </rPr>
      <t>1D10</t>
    </r>
    <r>
      <rPr>
        <sz val="14"/>
        <color rgb="FF000000"/>
        <rFont val="宋体"/>
        <charset val="134"/>
      </rPr>
      <t>点理智值。</t>
    </r>
    <r>
      <rPr>
        <sz val="14"/>
        <color rgb="FF000000"/>
        <rFont val="Resource Han Rounded CN Normal"/>
        <charset val="134"/>
      </rPr>
      <t xml:space="preserve">
</t>
    </r>
    <r>
      <rPr>
        <sz val="14"/>
        <color rgb="FF000000"/>
        <rFont val="宋体"/>
        <charset val="134"/>
      </rPr>
      <t>首先，用供受体双方的血液混合上一点避役的唾液</t>
    </r>
    <r>
      <rPr>
        <sz val="14"/>
        <color rgb="FF000000"/>
        <rFont val="Resource Han Rounded CN Normal"/>
        <charset val="134"/>
      </rPr>
      <t>,</t>
    </r>
    <r>
      <rPr>
        <sz val="14"/>
        <color rgb="FF000000"/>
        <rFont val="宋体"/>
        <charset val="134"/>
      </rPr>
      <t>制成糊状物。接下来要有一群人手拉着手围起供体、受体和施法者</t>
    </r>
    <r>
      <rPr>
        <sz val="14"/>
        <color rgb="FF000000"/>
        <rFont val="Resource Han Rounded CN Normal"/>
        <charset val="134"/>
      </rPr>
      <t>,</t>
    </r>
    <r>
      <rPr>
        <sz val="14"/>
        <color rgb="FF000000"/>
        <rFont val="宋体"/>
        <charset val="134"/>
      </rPr>
      <t>并且吟诵古老的诗句</t>
    </r>
    <r>
      <rPr>
        <sz val="14"/>
        <color rgb="FF000000"/>
        <rFont val="Resource Han Rounded CN Normal"/>
        <charset val="134"/>
      </rPr>
      <t>;</t>
    </r>
    <r>
      <rPr>
        <sz val="14"/>
        <color rgb="FF000000"/>
        <rFont val="宋体"/>
        <charset val="134"/>
      </rPr>
      <t>从每名吟诵者和施法者身上合计消耗</t>
    </r>
    <r>
      <rPr>
        <sz val="14"/>
        <color rgb="FF000000"/>
        <rFont val="Resource Han Rounded CN Normal"/>
        <charset val="134"/>
      </rPr>
      <t>63</t>
    </r>
    <r>
      <rPr>
        <sz val="14"/>
        <color rgb="FF000000"/>
        <rFont val="宋体"/>
        <charset val="134"/>
      </rPr>
      <t>点魔法值</t>
    </r>
    <r>
      <rPr>
        <sz val="14"/>
        <color rgb="FF000000"/>
        <rFont val="Resource Han Rounded CN Normal"/>
        <charset val="134"/>
      </rPr>
      <t>,</t>
    </r>
    <r>
      <rPr>
        <sz val="14"/>
        <color rgb="FF000000"/>
        <rFont val="宋体"/>
        <charset val="134"/>
      </rPr>
      <t>每个人消耗的数量基本相同</t>
    </r>
    <r>
      <rPr>
        <sz val="14"/>
        <color rgb="FF000000"/>
        <rFont val="Resource Han Rounded CN Normal"/>
        <charset val="134"/>
      </rPr>
      <t>(</t>
    </r>
    <r>
      <rPr>
        <sz val="14"/>
        <color rgb="FF000000"/>
        <rFont val="宋体"/>
        <charset val="134"/>
      </rPr>
      <t>这些能量会在过程中保证目标的存活</t>
    </r>
    <r>
      <rPr>
        <sz val="14"/>
        <color rgb="FF000000"/>
        <rFont val="Resource Han Rounded CN Normal"/>
        <charset val="134"/>
      </rPr>
      <t>)</t>
    </r>
    <r>
      <rPr>
        <sz val="14"/>
        <color rgb="FF000000"/>
        <rFont val="宋体"/>
        <charset val="134"/>
      </rPr>
      <t>。施法者用糊状物在供受体的身体上各画出一个标志</t>
    </r>
    <r>
      <rPr>
        <sz val="14"/>
        <color rgb="FF000000"/>
        <rFont val="Resource Han Rounded CN Normal"/>
        <charset val="134"/>
      </rPr>
      <t>,</t>
    </r>
    <r>
      <rPr>
        <sz val="14"/>
        <color rgb="FF000000"/>
        <rFont val="宋体"/>
        <charset val="134"/>
      </rPr>
      <t>标志着要转移的器官。在一小时的冥想和形象化以后</t>
    </r>
    <r>
      <rPr>
        <sz val="14"/>
        <color rgb="FF000000"/>
        <rFont val="Resource Han Rounded CN Normal"/>
        <charset val="134"/>
      </rPr>
      <t>,</t>
    </r>
    <r>
      <rPr>
        <sz val="14"/>
        <color rgb="FF000000"/>
        <rFont val="宋体"/>
        <charset val="134"/>
      </rPr>
      <t>施法者用手向供体身上画着标志的地方掏去</t>
    </r>
    <r>
      <rPr>
        <sz val="14"/>
        <color rgb="FF000000"/>
        <rFont val="Resource Han Rounded CN Normal"/>
        <charset val="134"/>
      </rPr>
      <t>;</t>
    </r>
    <r>
      <rPr>
        <sz val="14"/>
        <color rgb="FF000000"/>
        <rFont val="宋体"/>
        <charset val="134"/>
      </rPr>
      <t>用拇指和食指掐断大血管、连通新管</t>
    </r>
    <r>
      <rPr>
        <sz val="14"/>
        <color rgb="FF000000"/>
        <rFont val="Resource Han Rounded CN Normal"/>
        <charset val="134"/>
      </rPr>
      <t>,</t>
    </r>
    <r>
      <rPr>
        <sz val="14"/>
        <color rgb="FF000000"/>
        <rFont val="宋体"/>
        <charset val="134"/>
      </rPr>
      <t>抬出器官并将它放置到圆形石板上。对另一个人同样施行此过程，然后将器官装进新身体</t>
    </r>
    <r>
      <rPr>
        <sz val="14"/>
        <color rgb="FF000000"/>
        <rFont val="Resource Han Rounded CN Normal"/>
        <charset val="134"/>
      </rPr>
      <t>,</t>
    </r>
    <r>
      <rPr>
        <sz val="14"/>
        <color rgb="FF000000"/>
        <rFont val="宋体"/>
        <charset val="134"/>
      </rPr>
      <t>缝合正位。供体是否有幸装上换下来的器官</t>
    </r>
    <r>
      <rPr>
        <sz val="14"/>
        <color rgb="FF000000"/>
        <rFont val="Resource Han Rounded CN Normal"/>
        <charset val="134"/>
      </rPr>
      <t>(</t>
    </r>
    <r>
      <rPr>
        <sz val="14"/>
        <color rgb="FF000000"/>
        <rFont val="宋体"/>
        <charset val="134"/>
      </rPr>
      <t>并因此捡回一条命</t>
    </r>
    <r>
      <rPr>
        <sz val="14"/>
        <color rgb="FF000000"/>
        <rFont val="Resource Han Rounded CN Normal"/>
        <charset val="134"/>
      </rPr>
      <t>),</t>
    </r>
    <r>
      <rPr>
        <sz val="14"/>
        <color rgb="FF000000"/>
        <rFont val="宋体"/>
        <charset val="134"/>
      </rPr>
      <t>完全取决于施法者的一念。</t>
    </r>
    <r>
      <rPr>
        <sz val="14"/>
        <color rgb="FF000000"/>
        <rFont val="Resource Han Rounded CN Normal"/>
        <charset val="134"/>
      </rPr>
      <t xml:space="preserve">
</t>
    </r>
    <r>
      <rPr>
        <sz val="14"/>
        <color rgb="FF000000"/>
        <rFont val="宋体"/>
        <charset val="134"/>
      </rPr>
      <t>别名：肉体操作、血肉偷盗</t>
    </r>
  </si>
  <si>
    <t>塞壬之歌（民俗）〔民〕</t>
  </si>
  <si>
    <r>
      <rPr>
        <sz val="14"/>
        <color rgb="FF000000"/>
        <rFont val="Resource Han Rounded CN Normal"/>
        <charset val="134"/>
      </rPr>
      <t>6</t>
    </r>
    <r>
      <rPr>
        <sz val="14"/>
        <color rgb="FF000000"/>
        <rFont val="宋体"/>
        <charset val="134"/>
      </rPr>
      <t>点魔法值；</t>
    </r>
    <r>
      <rPr>
        <sz val="14"/>
        <color rgb="FF000000"/>
        <rFont val="Resource Han Rounded CN Normal"/>
        <charset val="134"/>
      </rPr>
      <t>5</t>
    </r>
    <r>
      <rPr>
        <sz val="14"/>
        <color rgb="FF000000"/>
        <rFont val="宋体"/>
        <charset val="134"/>
      </rPr>
      <t>点理智值</t>
    </r>
  </si>
  <si>
    <t>魅力术、美人鱼的催眠曲、精神敏感术</t>
  </si>
  <si>
    <t>CREATE ZOMBIE</t>
  </si>
  <si>
    <t>僵尸创建术</t>
  </si>
  <si>
    <r>
      <rPr>
        <sz val="14"/>
        <color rgb="FF000000"/>
        <rFont val="MS Gothic"/>
        <charset val="134"/>
      </rPr>
      <t>ゾンビの</t>
    </r>
    <r>
      <rPr>
        <sz val="14"/>
        <color rgb="FF000000"/>
        <rFont val="宋体"/>
        <charset val="134"/>
      </rPr>
      <t>創造</t>
    </r>
  </si>
  <si>
    <r>
      <rPr>
        <sz val="14"/>
        <color rgb="FF000000"/>
        <rFont val="宋体"/>
        <charset val="134"/>
      </rPr>
      <t>僵尸创建术〔造〕</t>
    </r>
    <r>
      <rPr>
        <sz val="14"/>
        <color rgb="FF000000"/>
        <rFont val="Resource Han Rounded CN Normal"/>
        <charset val="134"/>
      </rPr>
      <t xml:space="preserve">
Create Zombie
</t>
    </r>
    <r>
      <rPr>
        <sz val="14"/>
        <color rgb="FF000000"/>
        <rFont val="宋体"/>
        <charset val="134"/>
      </rPr>
      <t>消耗：</t>
    </r>
    <r>
      <rPr>
        <sz val="14"/>
        <color rgb="FF000000"/>
        <rFont val="Resource Han Rounded CN Normal"/>
        <charset val="134"/>
      </rPr>
      <t>16</t>
    </r>
    <r>
      <rPr>
        <sz val="14"/>
        <color rgb="FF000000"/>
        <rFont val="宋体"/>
        <charset val="134"/>
      </rPr>
      <t>点魔法值；</t>
    </r>
    <r>
      <rPr>
        <sz val="14"/>
        <color rgb="FF000000"/>
        <rFont val="Resource Han Rounded CN Normal"/>
        <charset val="134"/>
      </rPr>
      <t>1D6</t>
    </r>
    <r>
      <rPr>
        <sz val="14"/>
        <color rgb="FF000000"/>
        <rFont val="宋体"/>
        <charset val="134"/>
      </rPr>
      <t>点理智值施法用时：</t>
    </r>
    <r>
      <rPr>
        <sz val="14"/>
        <color rgb="FF000000"/>
        <rFont val="Resource Han Rounded CN Normal"/>
        <charset val="134"/>
      </rPr>
      <t>1</t>
    </r>
    <r>
      <rPr>
        <sz val="14"/>
        <color rgb="FF000000"/>
        <rFont val="宋体"/>
        <charset val="134"/>
      </rPr>
      <t>星期</t>
    </r>
    <r>
      <rPr>
        <sz val="14"/>
        <color rgb="FF000000"/>
        <rFont val="Resource Han Rounded CN Normal"/>
        <charset val="134"/>
      </rPr>
      <t xml:space="preserve">
</t>
    </r>
    <r>
      <rPr>
        <sz val="14"/>
        <color rgb="FF000000"/>
        <rFont val="宋体"/>
        <charset val="134"/>
      </rPr>
      <t>必须泼洒仪式用的液体到尸身上或者尸体葬在的坟墓中。</t>
    </r>
    <r>
      <rPr>
        <sz val="14"/>
        <color rgb="FF000000"/>
        <rFont val="Resource Han Rounded CN Normal"/>
        <charset val="134"/>
      </rPr>
      <t>KP</t>
    </r>
    <r>
      <rPr>
        <sz val="14"/>
        <color rgb="FF000000"/>
        <rFont val="宋体"/>
        <charset val="134"/>
      </rPr>
      <t>决定仪式液体的成分</t>
    </r>
    <r>
      <rPr>
        <sz val="14"/>
        <color rgb="FF000000"/>
        <rFont val="Resource Han Rounded CN Normal"/>
        <charset val="134"/>
      </rPr>
      <t>——</t>
    </r>
    <r>
      <rPr>
        <sz val="14"/>
        <color rgb="FF000000"/>
        <rFont val="宋体"/>
        <charset val="134"/>
      </rPr>
      <t>至少要有一部分是难以合法取得的。尸体即可自行熟成。在这一个星期结束时，施法者返回坟墓，吟诵束缚仪式。在半个小时的吟唱结束后，尸体会从坟墓中爬出来，之后就开始代行施法者的意愿。僵尸只会执行普通而简单的任务，如</t>
    </r>
    <r>
      <rPr>
        <sz val="14"/>
        <color rgb="FF000000"/>
        <rFont val="Resource Han Rounded CN Normal"/>
        <charset val="134"/>
      </rPr>
      <t>“</t>
    </r>
    <r>
      <rPr>
        <sz val="14"/>
        <color rgb="FF000000"/>
        <rFont val="宋体"/>
        <charset val="134"/>
      </rPr>
      <t>保护这个</t>
    </r>
    <r>
      <rPr>
        <sz val="14"/>
        <color rgb="FF000000"/>
        <rFont val="Resource Han Rounded CN Normal"/>
        <charset val="134"/>
      </rPr>
      <t>”“</t>
    </r>
    <r>
      <rPr>
        <sz val="14"/>
        <color rgb="FF000000"/>
        <rFont val="宋体"/>
        <charset val="134"/>
      </rPr>
      <t>拿那个</t>
    </r>
    <r>
      <rPr>
        <sz val="14"/>
        <color rgb="FF000000"/>
        <rFont val="Resource Han Rounded CN Normal"/>
        <charset val="134"/>
      </rPr>
      <t>”“</t>
    </r>
    <r>
      <rPr>
        <sz val="14"/>
        <color rgb="FF000000"/>
        <rFont val="宋体"/>
        <charset val="134"/>
      </rPr>
      <t>杀了他！</t>
    </r>
    <r>
      <rPr>
        <sz val="14"/>
        <color rgb="FF000000"/>
        <rFont val="Resource Han Rounded CN Normal"/>
        <charset val="134"/>
      </rPr>
      <t xml:space="preserve">”
</t>
    </r>
    <r>
      <rPr>
        <sz val="14"/>
        <color rgb="FF000000"/>
        <rFont val="宋体"/>
        <charset val="134"/>
      </rPr>
      <t>用这种方式制造的僵尸会在复苏以后继续腐坏。所以，想要维持稳定的僵尸仆从的巫师必须定期制造替代品。</t>
    </r>
    <r>
      <rPr>
        <sz val="14"/>
        <color rgb="FF000000"/>
        <rFont val="Resource Han Rounded CN Normal"/>
        <charset val="134"/>
      </rPr>
      <t xml:space="preserve">
</t>
    </r>
    <r>
      <rPr>
        <sz val="14"/>
        <color rgb="FF000000"/>
        <rFont val="宋体"/>
        <charset val="134"/>
      </rPr>
      <t>别名：不死之仪式、黑色束缚、苍白斗篷、死者苏生术</t>
    </r>
  </si>
  <si>
    <t>真言术〔交、支〕</t>
  </si>
  <si>
    <r>
      <rPr>
        <sz val="14"/>
        <color rgb="FF000000"/>
        <rFont val="Resource Han Rounded CN Normal"/>
        <charset val="134"/>
      </rPr>
      <t>3+</t>
    </r>
    <r>
      <rPr>
        <sz val="14"/>
        <color rgb="FF000000"/>
        <rFont val="宋体"/>
        <charset val="134"/>
      </rPr>
      <t>点魔法值；</t>
    </r>
    <r>
      <rPr>
        <sz val="14"/>
        <color rgb="FF000000"/>
        <rFont val="Resource Han Rounded CN Normal"/>
        <charset val="134"/>
      </rPr>
      <t>1D6</t>
    </r>
    <r>
      <rPr>
        <sz val="14"/>
        <color rgb="FF000000"/>
        <rFont val="宋体"/>
        <charset val="134"/>
      </rPr>
      <t>点理智值</t>
    </r>
  </si>
  <si>
    <r>
      <rPr>
        <sz val="14"/>
        <color rgb="FF000000"/>
        <rFont val="Resource Han Rounded CN Normal"/>
        <charset val="134"/>
      </rPr>
      <t>10+</t>
    </r>
    <r>
      <rPr>
        <sz val="14"/>
        <color rgb="FF000000"/>
        <rFont val="宋体"/>
        <charset val="134"/>
      </rPr>
      <t>分钟</t>
    </r>
  </si>
  <si>
    <r>
      <rPr>
        <sz val="14"/>
        <color rgb="FF000000"/>
        <rFont val="宋体"/>
        <charset val="134"/>
      </rPr>
      <t>塞克曼克尼普</t>
    </r>
    <r>
      <rPr>
        <sz val="14"/>
        <color rgb="FF000000"/>
        <rFont val="Resource Han Rounded CN Normal"/>
        <charset val="134"/>
      </rPr>
      <t>(Sekhmenkenhep)</t>
    </r>
    <r>
      <rPr>
        <sz val="14"/>
        <color rgb="FF000000"/>
        <rFont val="宋体"/>
        <charset val="134"/>
      </rPr>
      <t>真言术、邪恶唬骗术、人群掌控术</t>
    </r>
  </si>
  <si>
    <t>EYES OF THE ZOMBIE</t>
  </si>
  <si>
    <t>僵尸之眼</t>
  </si>
  <si>
    <r>
      <rPr>
        <sz val="14"/>
        <color rgb="FF000000"/>
        <rFont val="MS Gothic"/>
        <charset val="134"/>
      </rPr>
      <t>ゾンビの</t>
    </r>
    <r>
      <rPr>
        <sz val="14"/>
        <color rgb="FF000000"/>
        <rFont val="宋体"/>
        <charset val="134"/>
      </rPr>
      <t>目</t>
    </r>
  </si>
  <si>
    <r>
      <rPr>
        <sz val="14"/>
        <color rgb="FF000000"/>
        <rFont val="宋体"/>
        <charset val="134"/>
      </rPr>
      <t>僵尸之眼〔造、变〕</t>
    </r>
    <r>
      <rPr>
        <sz val="14"/>
        <color rgb="FF000000"/>
        <rFont val="Resource Han Rounded CN Normal"/>
        <charset val="134"/>
      </rPr>
      <t xml:space="preserve">
Eyes of the Zombie
</t>
    </r>
    <r>
      <rPr>
        <sz val="14"/>
        <color rgb="FF000000"/>
        <rFont val="宋体"/>
        <charset val="134"/>
      </rPr>
      <t>消耗：</t>
    </r>
    <r>
      <rPr>
        <sz val="14"/>
        <color rgb="FF000000"/>
        <rFont val="Resource Han Rounded CN Normal"/>
        <charset val="134"/>
      </rPr>
      <t>3</t>
    </r>
    <r>
      <rPr>
        <sz val="14"/>
        <color rgb="FF000000"/>
        <rFont val="宋体"/>
        <charset val="134"/>
      </rPr>
      <t>点魔法值；</t>
    </r>
    <r>
      <rPr>
        <sz val="14"/>
        <color rgb="FF000000"/>
        <rFont val="Resource Han Rounded CN Normal"/>
        <charset val="134"/>
      </rPr>
      <t>1D8+2</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可以使施法者直接控制一具僵尸（已经唤起并准备好的），然后以这具僵尸的视角去感知事件。首先需要把僵尸的眼球摘下来，浸泡在特殊化学物质当中。施法者也摘下自己的眼球，把自己的眼睛替换成僵尸的。此后施法者就可以像自己在目标僵尸的身体里一般移动、感觉、反应，直到把僵尸眼睛从眼眶里摘下来为止。激活之后，和这具目标僵尸之间的联系会在</t>
    </r>
    <r>
      <rPr>
        <sz val="14"/>
        <color rgb="FF000000"/>
        <rFont val="Resource Han Rounded CN Normal"/>
        <charset val="134"/>
      </rPr>
      <t>1D3</t>
    </r>
    <r>
      <rPr>
        <sz val="14"/>
        <color rgb="FF000000"/>
        <rFont val="宋体"/>
        <charset val="134"/>
      </rPr>
      <t>个月中维持不变（不在使用期限内的僵尸会腐朽）。</t>
    </r>
    <r>
      <rPr>
        <sz val="14"/>
        <color rgb="FF000000"/>
        <rFont val="Resource Han Rounded CN Normal"/>
        <charset val="134"/>
      </rPr>
      <t xml:space="preserve">
</t>
    </r>
    <r>
      <rPr>
        <sz val="14"/>
        <color rgb="FF000000"/>
        <rFont val="宋体"/>
        <charset val="134"/>
      </rPr>
      <t>施法者的眼睛（如果保养得当）只要支付法术的消耗并进行简短的吟唱后，就可以再次放入。</t>
    </r>
    <r>
      <rPr>
        <sz val="14"/>
        <color rgb="FF000000"/>
        <rFont val="Resource Han Rounded CN Normal"/>
        <charset val="134"/>
      </rPr>
      <t xml:space="preserve">
</t>
    </r>
    <r>
      <rPr>
        <sz val="14"/>
        <color rgb="FF000000"/>
        <rFont val="宋体"/>
        <charset val="134"/>
      </rPr>
      <t>深层魔法：施法者只移除一只眼并替换成僵尸的，这完全可以让施法者同时控制两具僵尸。假设有理智的人尝试这种</t>
    </r>
    <r>
      <rPr>
        <sz val="14"/>
        <color rgb="FF000000"/>
        <rFont val="Resource Han Rounded CN Normal"/>
        <charset val="134"/>
      </rPr>
      <t>“</t>
    </r>
    <r>
      <rPr>
        <sz val="14"/>
        <color rgb="FF000000"/>
        <rFont val="宋体"/>
        <charset val="134"/>
      </rPr>
      <t>双重感知</t>
    </r>
    <r>
      <rPr>
        <sz val="14"/>
        <color rgb="FF000000"/>
        <rFont val="Resource Han Rounded CN Normal"/>
        <charset val="134"/>
      </rPr>
      <t>”</t>
    </r>
    <r>
      <rPr>
        <sz val="14"/>
        <color rgb="FF000000"/>
        <rFont val="宋体"/>
        <charset val="134"/>
      </rPr>
      <t>，将引发理智检定（损失</t>
    </r>
    <r>
      <rPr>
        <sz val="14"/>
        <color rgb="FF000000"/>
        <rFont val="Resource Han Rounded CN Normal"/>
        <charset val="134"/>
      </rPr>
      <t>1D4/1D8</t>
    </r>
    <r>
      <rPr>
        <sz val="14"/>
        <color rgb="FF000000"/>
        <rFont val="宋体"/>
        <charset val="134"/>
      </rPr>
      <t>点），每天还要额外损失</t>
    </r>
    <r>
      <rPr>
        <sz val="14"/>
        <color rgb="FF000000"/>
        <rFont val="Resource Han Rounded CN Normal"/>
        <charset val="134"/>
      </rPr>
      <t>1D4</t>
    </r>
    <r>
      <rPr>
        <sz val="14"/>
        <color rgb="FF000000"/>
        <rFont val="宋体"/>
        <charset val="134"/>
      </rPr>
      <t>点理智值，直到移除僵尸眼为止。</t>
    </r>
    <r>
      <rPr>
        <sz val="14"/>
        <color rgb="FF000000"/>
        <rFont val="Resource Han Rounded CN Normal"/>
        <charset val="134"/>
      </rPr>
      <t xml:space="preserve">
</t>
    </r>
    <r>
      <rPr>
        <sz val="14"/>
        <color rgb="FF000000"/>
        <rFont val="宋体"/>
        <charset val="134"/>
      </rPr>
      <t>别名：死亡视野、尸体躯壳、潜近的目击者</t>
    </r>
  </si>
  <si>
    <t>仇恨雕像〔造〕</t>
  </si>
  <si>
    <r>
      <rPr>
        <sz val="14"/>
        <color rgb="FF000000"/>
        <rFont val="Resource Han Rounded CN Normal"/>
        <charset val="134"/>
      </rPr>
      <t>12</t>
    </r>
    <r>
      <rPr>
        <sz val="14"/>
        <color rgb="FF000000"/>
        <rFont val="宋体"/>
        <charset val="134"/>
      </rPr>
      <t>点魔法值；</t>
    </r>
    <r>
      <rPr>
        <sz val="14"/>
        <color rgb="FF000000"/>
        <rFont val="Resource Han Rounded CN Normal"/>
        <charset val="134"/>
      </rPr>
      <t>45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10</t>
    </r>
    <r>
      <rPr>
        <sz val="14"/>
        <color rgb="FF000000"/>
        <rFont val="宋体"/>
        <charset val="134"/>
      </rPr>
      <t>点理智值</t>
    </r>
  </si>
  <si>
    <r>
      <rPr>
        <sz val="14"/>
        <color rgb="FF000000"/>
        <rFont val="宋体"/>
        <charset val="134"/>
      </rPr>
      <t>每晚</t>
    </r>
    <r>
      <rPr>
        <sz val="14"/>
        <color rgb="FF000000"/>
        <rFont val="Resource Han Rounded CN Normal"/>
        <charset val="134"/>
      </rPr>
      <t>8</t>
    </r>
    <r>
      <rPr>
        <sz val="14"/>
        <color rgb="FF000000"/>
        <rFont val="宋体"/>
        <charset val="134"/>
      </rPr>
      <t>小时，持续</t>
    </r>
    <r>
      <rPr>
        <sz val="14"/>
        <color rgb="FF000000"/>
        <rFont val="Resource Han Rounded CN Normal"/>
        <charset val="134"/>
      </rPr>
      <t>3</t>
    </r>
    <r>
      <rPr>
        <sz val="14"/>
        <color rgb="FF000000"/>
        <rFont val="宋体"/>
        <charset val="134"/>
      </rPr>
      <t>晚</t>
    </r>
  </si>
  <si>
    <t>召来黑暗役魔、进行恶魔的交易、意志的体现</t>
  </si>
  <si>
    <t>MIRROR OF TARKHUNA TEP</t>
  </si>
  <si>
    <r>
      <rPr>
        <sz val="14"/>
        <color rgb="FF000000"/>
        <rFont val="宋体"/>
        <charset val="134"/>
      </rPr>
      <t>塔昆</t>
    </r>
    <r>
      <rPr>
        <sz val="14"/>
        <color rgb="FF000000"/>
        <rFont val="Resource Han Rounded CN Normal"/>
        <charset val="134"/>
      </rPr>
      <t>·</t>
    </r>
    <r>
      <rPr>
        <sz val="14"/>
        <color rgb="FF000000"/>
        <rFont val="宋体"/>
        <charset val="134"/>
      </rPr>
      <t>阿提普之镜</t>
    </r>
  </si>
  <si>
    <r>
      <rPr>
        <sz val="14"/>
        <color rgb="FF000000"/>
        <rFont val="MS Gothic"/>
        <charset val="134"/>
      </rPr>
      <t>タールクン・アテプの</t>
    </r>
    <r>
      <rPr>
        <sz val="14"/>
        <color rgb="FF000000"/>
        <rFont val="宋体"/>
        <charset val="134"/>
      </rPr>
      <t>鏡</t>
    </r>
  </si>
  <si>
    <r>
      <rPr>
        <sz val="14"/>
        <color rgb="FF000000"/>
        <rFont val="宋体"/>
        <charset val="134"/>
      </rPr>
      <t>塔昆</t>
    </r>
    <r>
      <rPr>
        <sz val="14"/>
        <color rgb="FF000000"/>
        <rFont val="Resource Han Rounded CN Normal"/>
        <charset val="134"/>
      </rPr>
      <t>·</t>
    </r>
    <r>
      <rPr>
        <sz val="14"/>
        <color rgb="FF000000"/>
        <rFont val="宋体"/>
        <charset val="134"/>
      </rPr>
      <t>阿提普之镜〔交〕</t>
    </r>
    <r>
      <rPr>
        <sz val="14"/>
        <color rgb="FF000000"/>
        <rFont val="Resource Han Rounded CN Normal"/>
        <charset val="134"/>
      </rPr>
      <t xml:space="preserve">
Mirror of Tarkhun Atep
</t>
    </r>
    <r>
      <rPr>
        <sz val="14"/>
        <color rgb="FF000000"/>
        <rFont val="宋体"/>
        <charset val="134"/>
      </rPr>
      <t>消耗：</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施法用时：半天</t>
    </r>
    <r>
      <rPr>
        <sz val="14"/>
        <color rgb="FF000000"/>
        <rFont val="Resource Han Rounded CN Normal"/>
        <charset val="134"/>
      </rPr>
      <t xml:space="preserve">
</t>
    </r>
    <r>
      <rPr>
        <sz val="14"/>
        <color rgb="FF000000"/>
        <rFont val="宋体"/>
        <charset val="134"/>
      </rPr>
      <t>施法者可以将自己的镜像投射到施法者预定的目标能注视到的镜面、或者可以镜面反射的平面上，来进行骚扰或警告。</t>
    </r>
    <r>
      <rPr>
        <sz val="14"/>
        <color rgb="FF000000"/>
        <rFont val="Resource Han Rounded CN Normal"/>
        <charset val="134"/>
      </rPr>
      <t xml:space="preserve">
</t>
    </r>
    <r>
      <rPr>
        <sz val="14"/>
        <color rgb="FF000000"/>
        <rFont val="宋体"/>
        <charset val="134"/>
      </rPr>
      <t>目标可以身处地球上任何位置。施法者需要一面镜子，大小足够映出他的头颈部。施法者注视镜面，并在头脑中维持目标的影像，念出简短的咒语并等待。当目标下一次注视阴暗的窗户、镜子之类能反射的表面时，施法者的镜像就会浮现。若施法者在目标照镜子之前就已困乏，则法术会因集中失败而终止。</t>
    </r>
    <r>
      <rPr>
        <sz val="14"/>
        <color rgb="FF000000"/>
        <rFont val="Resource Han Rounded CN Normal"/>
        <charset val="134"/>
      </rPr>
      <t xml:space="preserve">
</t>
    </r>
    <r>
      <rPr>
        <sz val="14"/>
        <color rgb="FF000000"/>
        <rFont val="宋体"/>
        <charset val="134"/>
      </rPr>
      <t>施法者的镜像有时是直视目标的。也有时镜像会出现在目标的身后。如果目标戴眼镜，从镜片中反射的镜像甚至可能是模糊的。目标能听到施法者说出的单词和短词组。施法者也能透过他自己的镜子看到目标和目标的周围环境。</t>
    </r>
    <r>
      <rPr>
        <sz val="14"/>
        <color rgb="FF000000"/>
        <rFont val="Resource Han Rounded CN Normal"/>
        <charset val="134"/>
      </rPr>
      <t xml:space="preserve">
</t>
    </r>
    <r>
      <rPr>
        <sz val="14"/>
        <color rgb="FF000000"/>
        <rFont val="宋体"/>
        <charset val="134"/>
      </rPr>
      <t>别名：银之警告、仇恨投射术、仇恨之眼</t>
    </r>
  </si>
  <si>
    <t>器官转移术〔续、变〕</t>
  </si>
  <si>
    <r>
      <rPr>
        <sz val="14"/>
        <color rgb="FF000000"/>
        <rFont val="Resource Han Rounded CN Normal"/>
        <charset val="134"/>
      </rPr>
      <t>13</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1D8</t>
    </r>
    <r>
      <rPr>
        <sz val="14"/>
        <color rgb="FF000000"/>
        <rFont val="宋体"/>
        <charset val="134"/>
      </rPr>
      <t>点理智值</t>
    </r>
  </si>
  <si>
    <t>肉体操作、血肉偷盗</t>
  </si>
  <si>
    <t>RAISE NIGHT FOG</t>
  </si>
  <si>
    <t>夜雾唤起术</t>
  </si>
  <si>
    <r>
      <rPr>
        <sz val="14"/>
        <color rgb="FF000000"/>
        <rFont val="宋体"/>
        <charset val="134"/>
      </rPr>
      <t>立</t>
    </r>
    <r>
      <rPr>
        <sz val="14"/>
        <color rgb="FF000000"/>
        <rFont val="MS Gothic"/>
        <charset val="134"/>
      </rPr>
      <t>ちこめる</t>
    </r>
    <r>
      <rPr>
        <sz val="14"/>
        <color rgb="FF000000"/>
        <rFont val="宋体"/>
        <charset val="134"/>
      </rPr>
      <t>夜霧</t>
    </r>
  </si>
  <si>
    <r>
      <rPr>
        <sz val="14"/>
        <color rgb="FF000000"/>
        <rFont val="宋体"/>
        <charset val="134"/>
      </rPr>
      <t>夜雾唤起术〔环〕</t>
    </r>
    <r>
      <rPr>
        <sz val="14"/>
        <color rgb="FF000000"/>
        <rFont val="Resource Han Rounded CN Normal"/>
        <charset val="134"/>
      </rPr>
      <t xml:space="preserve">
Raise Night Fog
</t>
    </r>
    <r>
      <rPr>
        <sz val="14"/>
        <color rgb="FF000000"/>
        <rFont val="宋体"/>
        <charset val="134"/>
      </rPr>
      <t>消耗</t>
    </r>
    <r>
      <rPr>
        <sz val="14"/>
        <color rgb="FF000000"/>
        <rFont val="Resource Han Rounded CN Normal"/>
        <charset val="134"/>
      </rPr>
      <t>:3</t>
    </r>
    <r>
      <rPr>
        <sz val="14"/>
        <color rgb="FF000000"/>
        <rFont val="宋体"/>
        <charset val="134"/>
      </rPr>
      <t>点魔法值</t>
    </r>
    <r>
      <rPr>
        <sz val="14"/>
        <color rgb="FF000000"/>
        <rFont val="Resource Han Rounded CN Normal"/>
        <charset val="134"/>
      </rPr>
      <t>;1D2</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分钟</t>
    </r>
    <r>
      <rPr>
        <sz val="14"/>
        <color rgb="FF000000"/>
        <rFont val="Resource Han Rounded CN Normal"/>
        <charset val="134"/>
      </rPr>
      <t xml:space="preserve">
</t>
    </r>
    <r>
      <rPr>
        <sz val="14"/>
        <color rgb="FF000000"/>
        <rFont val="宋体"/>
        <charset val="134"/>
      </rPr>
      <t>从水体中召唤浓密的低雾。只能在夜间施放。仪式需要从起雾地点的水体处取来的一碗水。施法者一边执行正确的手势</t>
    </r>
    <r>
      <rPr>
        <sz val="14"/>
        <color rgb="FF000000"/>
        <rFont val="Resource Han Rounded CN Normal"/>
        <charset val="134"/>
      </rPr>
      <t>,</t>
    </r>
    <r>
      <rPr>
        <sz val="14"/>
        <color rgb="FF000000"/>
        <rFont val="宋体"/>
        <charset val="134"/>
      </rPr>
      <t>一边轻轻吹动碗中水的表面。雾气会突然形成</t>
    </r>
    <r>
      <rPr>
        <sz val="14"/>
        <color rgb="FF000000"/>
        <rFont val="Resource Han Rounded CN Normal"/>
        <charset val="134"/>
      </rPr>
      <t>;</t>
    </r>
    <r>
      <rPr>
        <sz val="14"/>
        <color rgb="FF000000"/>
        <rFont val="宋体"/>
        <charset val="134"/>
      </rPr>
      <t>如果有风</t>
    </r>
    <r>
      <rPr>
        <sz val="14"/>
        <color rgb="FF000000"/>
        <rFont val="Resource Han Rounded CN Normal"/>
        <charset val="134"/>
      </rPr>
      <t>,</t>
    </r>
    <r>
      <rPr>
        <sz val="14"/>
        <color rgb="FF000000"/>
        <rFont val="宋体"/>
        <charset val="134"/>
      </rPr>
      <t>则雾气会自然随风移动。太阳升起后雾气就消散。只要有必需的水</t>
    </r>
    <r>
      <rPr>
        <sz val="14"/>
        <color rgb="FF000000"/>
        <rFont val="Resource Han Rounded CN Normal"/>
        <charset val="134"/>
      </rPr>
      <t>,</t>
    </r>
    <r>
      <rPr>
        <sz val="14"/>
        <color rgb="FF000000"/>
        <rFont val="宋体"/>
        <charset val="134"/>
      </rPr>
      <t>施法者可以和起雾起点的水体相隔很多里。</t>
    </r>
    <r>
      <rPr>
        <sz val="14"/>
        <color rgb="FF000000"/>
        <rFont val="Resource Han Rounded CN Normal"/>
        <charset val="134"/>
      </rPr>
      <t xml:space="preserve">
</t>
    </r>
    <r>
      <rPr>
        <sz val="14"/>
        <color rgb="FF000000"/>
        <rFont val="宋体"/>
        <charset val="134"/>
      </rPr>
      <t>别名</t>
    </r>
    <r>
      <rPr>
        <sz val="14"/>
        <color rgb="FF000000"/>
        <rFont val="Resource Han Rounded CN Normal"/>
        <charset val="134"/>
      </rPr>
      <t>:</t>
    </r>
    <r>
      <rPr>
        <sz val="14"/>
        <color rgb="FF000000"/>
        <rFont val="宋体"/>
        <charset val="134"/>
      </rPr>
      <t>波塞冬的吐息、水蒸气披风、永恒秘密的黑暗迷雾</t>
    </r>
  </si>
  <si>
    <t>僵尸创建术〔造〕</t>
  </si>
  <si>
    <r>
      <rPr>
        <sz val="14"/>
        <color rgb="FF000000"/>
        <rFont val="Resource Han Rounded CN Normal"/>
        <charset val="134"/>
      </rPr>
      <t>16</t>
    </r>
    <r>
      <rPr>
        <sz val="14"/>
        <color rgb="FF000000"/>
        <rFont val="宋体"/>
        <charset val="134"/>
      </rPr>
      <t>点魔法值；</t>
    </r>
    <r>
      <rPr>
        <sz val="14"/>
        <color rgb="FF000000"/>
        <rFont val="Resource Han Rounded CN Normal"/>
        <charset val="134"/>
      </rPr>
      <t>1D6</t>
    </r>
    <r>
      <rPr>
        <sz val="14"/>
        <color rgb="FF000000"/>
        <rFont val="宋体"/>
        <charset val="134"/>
      </rPr>
      <t>点理智值</t>
    </r>
  </si>
  <si>
    <r>
      <rPr>
        <sz val="14"/>
        <color rgb="FF000000"/>
        <rFont val="Resource Han Rounded CN Normal"/>
        <charset val="134"/>
      </rPr>
      <t>1</t>
    </r>
    <r>
      <rPr>
        <sz val="14"/>
        <color rgb="FF000000"/>
        <rFont val="宋体"/>
        <charset val="134"/>
      </rPr>
      <t>星期</t>
    </r>
  </si>
  <si>
    <t>不死之仪式、黑色束缚、苍白斗篷、死者苏生术</t>
  </si>
  <si>
    <t>SOUL SINGING</t>
  </si>
  <si>
    <t>灵魂之歌</t>
  </si>
  <si>
    <r>
      <rPr>
        <sz val="14"/>
        <color rgb="FF000000"/>
        <rFont val="宋体"/>
        <charset val="134"/>
      </rPr>
      <t>魂</t>
    </r>
    <r>
      <rPr>
        <sz val="14"/>
        <color rgb="FF000000"/>
        <rFont val="MS Gothic"/>
        <charset val="134"/>
      </rPr>
      <t>の</t>
    </r>
    <r>
      <rPr>
        <sz val="14"/>
        <color rgb="FF000000"/>
        <rFont val="宋体"/>
        <charset val="134"/>
      </rPr>
      <t>歌</t>
    </r>
  </si>
  <si>
    <r>
      <rPr>
        <sz val="14"/>
        <color rgb="FF000000"/>
        <rFont val="宋体"/>
        <charset val="134"/>
      </rPr>
      <t>灵魂之歌（民俗）〔民〕</t>
    </r>
    <r>
      <rPr>
        <sz val="14"/>
        <color rgb="FF000000"/>
        <rFont val="Resource Han Rounded CN Normal"/>
        <charset val="134"/>
      </rPr>
      <t xml:space="preserve">
Soul Singing
</t>
    </r>
    <r>
      <rPr>
        <sz val="14"/>
        <color rgb="FF000000"/>
        <rFont val="宋体"/>
        <charset val="134"/>
      </rPr>
      <t>消耗：</t>
    </r>
    <r>
      <rPr>
        <sz val="14"/>
        <color rgb="FF000000"/>
        <rFont val="Resource Han Rounded CN Normal"/>
        <charset val="134"/>
      </rPr>
      <t>8</t>
    </r>
    <r>
      <rPr>
        <sz val="14"/>
        <color rgb="FF000000"/>
        <rFont val="宋体"/>
        <charset val="134"/>
      </rPr>
      <t>点魔法值；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t>
    </r>
    <r>
      <rPr>
        <sz val="14"/>
        <color rgb="FF000000"/>
        <rFont val="宋体"/>
        <charset val="134"/>
      </rPr>
      <t>轮</t>
    </r>
    <r>
      <rPr>
        <sz val="14"/>
        <color rgb="FF000000"/>
        <rFont val="Resource Han Rounded CN Normal"/>
        <charset val="134"/>
      </rPr>
      <t xml:space="preserve">
</t>
    </r>
    <r>
      <rPr>
        <sz val="14"/>
        <color rgb="FF000000"/>
        <rFont val="宋体"/>
        <charset val="134"/>
      </rPr>
      <t>使单一目标只能看到、听到施法者想要的内容。施法者必须通过附魔的笛子演奏一段乐曲（参见</t>
    </r>
    <r>
      <rPr>
        <sz val="14"/>
        <color rgb="FF000000"/>
        <rFont val="Resource Han Rounded CN Normal"/>
        <charset val="134"/>
      </rPr>
      <t>“</t>
    </r>
    <r>
      <rPr>
        <sz val="14"/>
        <color rgb="FF000000"/>
        <rFont val="宋体"/>
        <charset val="134"/>
      </rPr>
      <t>诅咒之笛创建术</t>
    </r>
    <r>
      <rPr>
        <sz val="14"/>
        <color rgb="FF000000"/>
        <rFont val="Resource Han Rounded CN Normal"/>
        <charset val="134"/>
      </rPr>
      <t>”</t>
    </r>
    <r>
      <rPr>
        <sz val="14"/>
        <color rgb="FF000000"/>
        <rFont val="宋体"/>
        <charset val="134"/>
      </rPr>
      <t>，</t>
    </r>
    <r>
      <rPr>
        <sz val="14"/>
        <color rgb="FF000000"/>
        <rFont val="Resource Han Rounded CN Normal"/>
        <charset val="134"/>
      </rPr>
      <t>P86</t>
    </r>
    <r>
      <rPr>
        <sz val="14"/>
        <color rgb="FF000000"/>
        <rFont val="宋体"/>
        <charset val="134"/>
      </rPr>
      <t>）。施法者须和目标进行一次</t>
    </r>
    <r>
      <rPr>
        <sz val="14"/>
        <color rgb="FF000000"/>
        <rFont val="Resource Han Rounded CN Normal"/>
        <charset val="134"/>
      </rPr>
      <t>POW</t>
    </r>
    <r>
      <rPr>
        <sz val="14"/>
        <color rgb="FF000000"/>
        <rFont val="宋体"/>
        <charset val="134"/>
      </rPr>
      <t>对抗检定并胜出，法术才能生效。</t>
    </r>
    <r>
      <rPr>
        <sz val="14"/>
        <color rgb="FF000000"/>
        <rFont val="Resource Han Rounded CN Normal"/>
        <charset val="134"/>
      </rPr>
      <t xml:space="preserve">
</t>
    </r>
    <r>
      <rPr>
        <sz val="14"/>
        <color rgb="FF000000"/>
        <rFont val="宋体"/>
        <charset val="134"/>
      </rPr>
      <t>灵魂之歌对单一目标施放，目标将只能看到施法者想要让他看到的东西，这些东西通常会导向终结和毁灭。若施法者停止吹奏旋律，目标会从魔法效果中解放。在场的其他人无法听到旋律，除非他们进行一次困难难度的</t>
    </r>
    <r>
      <rPr>
        <sz val="14"/>
        <color rgb="FF000000"/>
        <rFont val="Resource Han Rounded CN Normal"/>
        <charset val="134"/>
      </rPr>
      <t>POW</t>
    </r>
    <r>
      <rPr>
        <sz val="14"/>
        <color rgb="FF000000"/>
        <rFont val="宋体"/>
        <charset val="134"/>
      </rPr>
      <t>检定并成功，才能听见模糊的、不定向的奇怪笛声。</t>
    </r>
    <r>
      <rPr>
        <sz val="14"/>
        <color rgb="FF000000"/>
        <rFont val="Resource Han Rounded CN Normal"/>
        <charset val="134"/>
      </rPr>
      <t xml:space="preserve">
</t>
    </r>
    <r>
      <rPr>
        <sz val="14"/>
        <color rgb="FF000000"/>
        <rFont val="宋体"/>
        <charset val="134"/>
      </rPr>
      <t>别名：哈默尔恩的旋律</t>
    </r>
    <r>
      <rPr>
        <sz val="14"/>
        <color rgb="FF000000"/>
        <rFont val="Resource Han Rounded CN Normal"/>
        <charset val="134"/>
      </rPr>
      <t>[37]</t>
    </r>
    <r>
      <rPr>
        <sz val="14"/>
        <color rgb="FF000000"/>
        <rFont val="宋体"/>
        <charset val="134"/>
      </rPr>
      <t>、吹笛人的吉格舞、灵魂进入术</t>
    </r>
  </si>
  <si>
    <t>僵尸之眼〔造、变〕</t>
  </si>
  <si>
    <r>
      <rPr>
        <sz val="14"/>
        <color rgb="FF000000"/>
        <rFont val="Resource Han Rounded CN Normal"/>
        <charset val="134"/>
      </rPr>
      <t>3</t>
    </r>
    <r>
      <rPr>
        <sz val="14"/>
        <color rgb="FF000000"/>
        <rFont val="宋体"/>
        <charset val="134"/>
      </rPr>
      <t>点魔法值；</t>
    </r>
    <r>
      <rPr>
        <sz val="14"/>
        <color rgb="FF000000"/>
        <rFont val="Resource Han Rounded CN Normal"/>
        <charset val="134"/>
      </rPr>
      <t>1D8+2</t>
    </r>
    <r>
      <rPr>
        <sz val="14"/>
        <color rgb="FF000000"/>
        <rFont val="宋体"/>
        <charset val="134"/>
      </rPr>
      <t>点理智值</t>
    </r>
  </si>
  <si>
    <t>死亡视野、尸体躯壳、潜近的目击者</t>
  </si>
  <si>
    <t>IMPRISON MIND</t>
  </si>
  <si>
    <t>精神囚禁术</t>
  </si>
  <si>
    <r>
      <rPr>
        <sz val="14"/>
        <color rgb="FF000000"/>
        <rFont val="宋体"/>
        <charset val="134"/>
      </rPr>
      <t>魂</t>
    </r>
    <r>
      <rPr>
        <sz val="14"/>
        <color rgb="FF000000"/>
        <rFont val="MS Gothic"/>
        <charset val="134"/>
      </rPr>
      <t>の</t>
    </r>
    <r>
      <rPr>
        <sz val="14"/>
        <color rgb="FF000000"/>
        <rFont val="宋体"/>
        <charset val="134"/>
      </rPr>
      <t>監禁</t>
    </r>
  </si>
  <si>
    <r>
      <rPr>
        <sz val="14"/>
        <color rgb="FF000000"/>
        <rFont val="宋体"/>
        <charset val="134"/>
      </rPr>
      <t>精神囚禁术〔驱〕</t>
    </r>
    <r>
      <rPr>
        <sz val="14"/>
        <color rgb="FF000000"/>
        <rFont val="Resource Han Rounded CN Normal"/>
        <charset val="134"/>
      </rPr>
      <t xml:space="preserve">
Imprison Mind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6</t>
    </r>
    <r>
      <rPr>
        <sz val="14"/>
        <color rgb="FF000000"/>
        <rFont val="宋体"/>
        <charset val="134"/>
      </rPr>
      <t>小时以上</t>
    </r>
    <r>
      <rPr>
        <sz val="14"/>
        <color rgb="FF000000"/>
        <rFont val="Resource Han Rounded CN Normal"/>
        <charset val="134"/>
      </rPr>
      <t xml:space="preserve">
</t>
    </r>
    <r>
      <rPr>
        <sz val="14"/>
        <color rgb="FF000000"/>
        <rFont val="宋体"/>
        <charset val="134"/>
      </rPr>
      <t>破坏一个存在通过自然或魔法的方式在精神之间移动、占据其他生物、或者其他离开当前所在身体方式的能力。</t>
    </r>
    <r>
      <rPr>
        <sz val="14"/>
        <color rgb="FF000000"/>
        <rFont val="Resource Han Rounded CN Normal"/>
        <charset val="134"/>
      </rPr>
      <t xml:space="preserve">
</t>
    </r>
    <r>
      <rPr>
        <sz val="14"/>
        <color rgb="FF000000"/>
        <rFont val="宋体"/>
        <charset val="134"/>
      </rPr>
      <t>本法术可以由单人或多人施放。施法者须和目标（精神占据者）进行一次</t>
    </r>
    <r>
      <rPr>
        <sz val="14"/>
        <color rgb="FF000000"/>
        <rFont val="Resource Han Rounded CN Normal"/>
        <charset val="134"/>
      </rPr>
      <t>POW</t>
    </r>
    <r>
      <rPr>
        <sz val="14"/>
        <color rgb="FF000000"/>
        <rFont val="宋体"/>
        <charset val="134"/>
      </rPr>
      <t>对抗检定并胜出，法术才能生效。如果施法者胜出，它会永远囚禁在当前的躯体里。如果对旧日支配者、外神和化身使用，本法术只会囚禁它一段时间，时间为</t>
    </r>
    <r>
      <rPr>
        <sz val="14"/>
        <color rgb="FF000000"/>
        <rFont val="Resource Han Rounded CN Normal"/>
        <charset val="134"/>
      </rPr>
      <t>10</t>
    </r>
    <r>
      <rPr>
        <sz val="14"/>
        <color rgb="FF000000"/>
        <rFont val="宋体"/>
        <charset val="134"/>
      </rPr>
      <t>小时减去占据者</t>
    </r>
    <r>
      <rPr>
        <sz val="14"/>
        <color rgb="FF000000"/>
        <rFont val="Resource Han Rounded CN Normal"/>
        <charset val="134"/>
      </rPr>
      <t>POW</t>
    </r>
    <r>
      <rPr>
        <sz val="14"/>
        <color rgb="FF000000"/>
        <rFont val="宋体"/>
        <charset val="134"/>
      </rPr>
      <t>的分钟数。例如，伊戈罗纳克（</t>
    </r>
    <r>
      <rPr>
        <sz val="14"/>
        <color rgb="FF000000"/>
        <rFont val="Resource Han Rounded CN Normal"/>
        <charset val="134"/>
      </rPr>
      <t>POW</t>
    </r>
    <r>
      <rPr>
        <sz val="14"/>
        <color rgb="FF000000"/>
        <rFont val="宋体"/>
        <charset val="134"/>
      </rPr>
      <t>为</t>
    </r>
    <r>
      <rPr>
        <sz val="14"/>
        <color rgb="FF000000"/>
        <rFont val="Resource Han Rounded CN Normal"/>
        <charset val="134"/>
      </rPr>
      <t>140</t>
    </r>
    <r>
      <rPr>
        <sz val="14"/>
        <color rgb="FF000000"/>
        <rFont val="宋体"/>
        <charset val="134"/>
      </rPr>
      <t>）会被囚禁</t>
    </r>
    <r>
      <rPr>
        <sz val="14"/>
        <color rgb="FF000000"/>
        <rFont val="Resource Han Rounded CN Normal"/>
        <charset val="134"/>
      </rPr>
      <t>7</t>
    </r>
    <r>
      <rPr>
        <sz val="14"/>
        <color rgb="FF000000"/>
        <rFont val="宋体"/>
        <charset val="134"/>
      </rPr>
      <t>小时</t>
    </r>
    <r>
      <rPr>
        <sz val="14"/>
        <color rgb="FF000000"/>
        <rFont val="Resource Han Rounded CN Normal"/>
        <charset val="134"/>
      </rPr>
      <t>40</t>
    </r>
    <r>
      <rPr>
        <sz val="14"/>
        <color rgb="FF000000"/>
        <rFont val="宋体"/>
        <charset val="134"/>
      </rPr>
      <t>分钟。</t>
    </r>
    <r>
      <rPr>
        <sz val="14"/>
        <color rgb="FF000000"/>
        <rFont val="Resource Han Rounded CN Normal"/>
        <charset val="134"/>
      </rPr>
      <t xml:space="preserve">
</t>
    </r>
    <r>
      <rPr>
        <sz val="14"/>
        <color rgb="FF000000"/>
        <rFont val="宋体"/>
        <charset val="134"/>
      </rPr>
      <t>别名：活物躯壳内的囚禁、监禁精神恶魔、灵魂捕缚术</t>
    </r>
  </si>
  <si>
    <r>
      <rPr>
        <sz val="14"/>
        <color rgb="FF000000"/>
        <rFont val="宋体"/>
        <charset val="134"/>
      </rPr>
      <t>塔昆</t>
    </r>
    <r>
      <rPr>
        <sz val="14"/>
        <color rgb="FF000000"/>
        <rFont val="Resource Han Rounded CN Normal"/>
        <charset val="134"/>
      </rPr>
      <t>·</t>
    </r>
    <r>
      <rPr>
        <sz val="14"/>
        <color rgb="FF000000"/>
        <rFont val="宋体"/>
        <charset val="134"/>
      </rPr>
      <t>阿提普之镜〔交〕</t>
    </r>
  </si>
  <si>
    <r>
      <rPr>
        <sz val="14"/>
        <color rgb="FF000000"/>
        <rFont val="Resource Han Rounded CN Normal"/>
        <charset val="134"/>
      </rPr>
      <t>5</t>
    </r>
    <r>
      <rPr>
        <sz val="14"/>
        <color rgb="FF000000"/>
        <rFont val="宋体"/>
        <charset val="134"/>
      </rPr>
      <t>点魔法值；</t>
    </r>
    <r>
      <rPr>
        <sz val="14"/>
        <color rgb="FF000000"/>
        <rFont val="Resource Han Rounded CN Normal"/>
        <charset val="134"/>
      </rPr>
      <t>1</t>
    </r>
    <r>
      <rPr>
        <sz val="14"/>
        <color rgb="FF000000"/>
        <rFont val="宋体"/>
        <charset val="134"/>
      </rPr>
      <t>点理智值</t>
    </r>
  </si>
  <si>
    <t>半天</t>
  </si>
  <si>
    <t>银之警告、仇恨投射术、仇恨之眼</t>
  </si>
  <si>
    <t>BIND SOUL</t>
  </si>
  <si>
    <t>灵魂束缚术</t>
  </si>
  <si>
    <r>
      <rPr>
        <sz val="14"/>
        <color rgb="FF000000"/>
        <rFont val="宋体"/>
        <charset val="134"/>
      </rPr>
      <t>魂</t>
    </r>
    <r>
      <rPr>
        <sz val="14"/>
        <color rgb="FF000000"/>
        <rFont val="MS Gothic"/>
        <charset val="134"/>
      </rPr>
      <t>の</t>
    </r>
    <r>
      <rPr>
        <sz val="14"/>
        <color rgb="FF000000"/>
        <rFont val="宋体"/>
        <charset val="134"/>
      </rPr>
      <t>束縛</t>
    </r>
  </si>
  <si>
    <r>
      <rPr>
        <sz val="14"/>
        <color rgb="FF000000"/>
        <rFont val="宋体"/>
        <charset val="134"/>
      </rPr>
      <t>灵魂束缚术〔害〕</t>
    </r>
    <r>
      <rPr>
        <sz val="14"/>
        <color rgb="FF000000"/>
        <rFont val="Resource Han Rounded CN Normal"/>
        <charset val="134"/>
      </rPr>
      <t xml:space="preserve">
Bind Soul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3</t>
    </r>
    <r>
      <rPr>
        <sz val="14"/>
        <color rgb="FF000000"/>
        <rFont val="宋体"/>
        <charset val="134"/>
      </rPr>
      <t>点理智值施法用时：</t>
    </r>
    <r>
      <rPr>
        <sz val="14"/>
        <color rgb="FF000000"/>
        <rFont val="Resource Han Rounded CN Normal"/>
        <charset val="134"/>
      </rPr>
      <t>3+</t>
    </r>
    <r>
      <rPr>
        <sz val="14"/>
        <color rgb="FF000000"/>
        <rFont val="宋体"/>
        <charset val="134"/>
      </rPr>
      <t>天</t>
    </r>
    <r>
      <rPr>
        <sz val="14"/>
        <color rgb="FF000000"/>
        <rFont val="Resource Han Rounded CN Normal"/>
        <charset val="134"/>
      </rPr>
      <t xml:space="preserve">
</t>
    </r>
    <r>
      <rPr>
        <sz val="14"/>
        <color rgb="FF000000"/>
        <rFont val="宋体"/>
        <charset val="134"/>
      </rPr>
      <t>本法术可令施法者囚禁人类的灵魂，从而控制或杀死灵魂原来所在的躯体。施法者必须找到灵魂才能进行束缚。</t>
    </r>
    <r>
      <rPr>
        <sz val="14"/>
        <color rgb="FF000000"/>
        <rFont val="Resource Han Rounded CN Normal"/>
        <charset val="134"/>
      </rPr>
      <t xml:space="preserve">
</t>
    </r>
    <r>
      <rPr>
        <sz val="14"/>
        <color rgb="FF000000"/>
        <rFont val="宋体"/>
        <charset val="134"/>
      </rPr>
      <t>施法者须和目标进行一次</t>
    </r>
    <r>
      <rPr>
        <sz val="14"/>
        <color rgb="FF000000"/>
        <rFont val="Resource Han Rounded CN Normal"/>
        <charset val="134"/>
      </rPr>
      <t>POW</t>
    </r>
    <r>
      <rPr>
        <sz val="14"/>
        <color rgb="FF000000"/>
        <rFont val="宋体"/>
        <charset val="134"/>
      </rPr>
      <t>对抗检定并胜出，法术才能生效。或者施法者可以和目标进行精神战斗；施法者必须把目标的魔法值变成零，然后才能施法。如果灵魂被困住了，无论采用哪种方式，目标的躯体都会开始死亡，每天损失</t>
    </r>
    <r>
      <rPr>
        <sz val="14"/>
        <color rgb="FF000000"/>
        <rFont val="Resource Han Rounded CN Normal"/>
        <charset val="134"/>
      </rPr>
      <t>10</t>
    </r>
    <r>
      <rPr>
        <sz val="14"/>
        <color rgb="FF000000"/>
        <rFont val="宋体"/>
        <charset val="134"/>
      </rPr>
      <t>点</t>
    </r>
    <r>
      <rPr>
        <sz val="14"/>
        <color rgb="FF000000"/>
        <rFont val="Resource Han Rounded CN Normal"/>
        <charset val="134"/>
      </rPr>
      <t>CON</t>
    </r>
    <r>
      <rPr>
        <sz val="14"/>
        <color rgb="FF000000"/>
        <rFont val="宋体"/>
        <charset val="134"/>
      </rPr>
      <t>。当</t>
    </r>
    <r>
      <rPr>
        <sz val="14"/>
        <color rgb="FF000000"/>
        <rFont val="Resource Han Rounded CN Normal"/>
        <charset val="134"/>
      </rPr>
      <t>CON</t>
    </r>
    <r>
      <rPr>
        <sz val="14"/>
        <color rgb="FF000000"/>
        <rFont val="宋体"/>
        <charset val="134"/>
      </rPr>
      <t>归零时躯体即彻底死亡。本法术经常和</t>
    </r>
    <r>
      <rPr>
        <sz val="14"/>
        <color rgb="FF000000"/>
        <rFont val="Resource Han Rounded CN Normal"/>
        <charset val="134"/>
      </rPr>
      <t>“</t>
    </r>
    <r>
      <rPr>
        <sz val="14"/>
        <color rgb="FF000000"/>
        <rFont val="宋体"/>
        <charset val="134"/>
      </rPr>
      <t>肉体屈服术</t>
    </r>
    <r>
      <rPr>
        <sz val="14"/>
        <color rgb="FF000000"/>
        <rFont val="Resource Han Rounded CN Normal"/>
        <charset val="134"/>
      </rPr>
      <t>”(P69)</t>
    </r>
    <r>
      <rPr>
        <sz val="14"/>
        <color rgb="FF000000"/>
        <rFont val="宋体"/>
        <charset val="134"/>
      </rPr>
      <t>一起使用。</t>
    </r>
    <r>
      <rPr>
        <sz val="14"/>
        <color rgb="FF000000"/>
        <rFont val="Resource Han Rounded CN Normal"/>
        <charset val="134"/>
      </rPr>
      <t xml:space="preserve">
</t>
    </r>
    <r>
      <rPr>
        <sz val="14"/>
        <color rgb="FF000000"/>
        <rFont val="宋体"/>
        <charset val="134"/>
      </rPr>
      <t>必须用一个准备好的特殊容器装载灵魂（仪式持续三天）。可以使用任何能密闭的容器（坛、盒、瓶等）。如果灵魂能感受到容器的存在，它可以打开或打破容器逃出（随后可以自由行动）。</t>
    </r>
    <r>
      <rPr>
        <sz val="14"/>
        <color rgb="FF000000"/>
        <rFont val="Resource Han Rounded CN Normal"/>
        <charset val="134"/>
      </rPr>
      <t xml:space="preserve">
“</t>
    </r>
    <r>
      <rPr>
        <sz val="14"/>
        <color rgb="FF000000"/>
        <rFont val="宋体"/>
        <charset val="134"/>
      </rPr>
      <t>伊本</t>
    </r>
    <r>
      <rPr>
        <sz val="14"/>
        <color rgb="FF000000"/>
        <rFont val="Resource Han Rounded CN Normal"/>
        <charset val="134"/>
      </rPr>
      <t>-</t>
    </r>
    <r>
      <rPr>
        <sz val="14"/>
        <color rgb="FF000000"/>
        <rFont val="宋体"/>
        <charset val="134"/>
      </rPr>
      <t>加齐之粉</t>
    </r>
    <r>
      <rPr>
        <sz val="14"/>
        <color rgb="FF000000"/>
        <rFont val="Resource Han Rounded CN Normal"/>
        <charset val="134"/>
      </rPr>
      <t>”(P151)</t>
    </r>
    <r>
      <rPr>
        <sz val="14"/>
        <color rgb="FF000000"/>
        <rFont val="宋体"/>
        <charset val="134"/>
      </rPr>
      <t>等法术可以追踪躯体和灵魂之间的连接。容器的位置可以用三角计算求得，或者消耗大量的粉末直接在粉末显现的蛛网般的连接之间追踪。</t>
    </r>
    <r>
      <rPr>
        <sz val="14"/>
        <color rgb="FF000000"/>
        <rFont val="Resource Han Rounded CN Normal"/>
        <charset val="134"/>
      </rPr>
      <t xml:space="preserve">
</t>
    </r>
    <r>
      <rPr>
        <sz val="14"/>
        <color rgb="FF000000"/>
        <rFont val="宋体"/>
        <charset val="134"/>
      </rPr>
      <t>别名：伊波恩的灵魂掠取术、囚禁生命力、黑色谋杀</t>
    </r>
  </si>
  <si>
    <t>夜雾唤起术〔环〕</t>
  </si>
  <si>
    <r>
      <rPr>
        <sz val="14"/>
        <color rgb="FF000000"/>
        <rFont val="Resource Han Rounded CN Normal"/>
        <charset val="134"/>
      </rPr>
      <t>3</t>
    </r>
    <r>
      <rPr>
        <sz val="14"/>
        <color rgb="FF000000"/>
        <rFont val="宋体"/>
        <charset val="134"/>
      </rPr>
      <t>点魔法值</t>
    </r>
    <r>
      <rPr>
        <sz val="14"/>
        <color rgb="FF000000"/>
        <rFont val="Resource Han Rounded CN Normal"/>
        <charset val="134"/>
      </rPr>
      <t>;1D2</t>
    </r>
    <r>
      <rPr>
        <sz val="14"/>
        <color rgb="FF000000"/>
        <rFont val="宋体"/>
        <charset val="134"/>
      </rPr>
      <t>点理智值</t>
    </r>
  </si>
  <si>
    <t>波塞冬的吐息、水蒸气披风、永恒秘密的黑暗迷雾</t>
  </si>
  <si>
    <t>SOUL EXTRACTION</t>
  </si>
  <si>
    <t>灵魂抽取术</t>
  </si>
  <si>
    <r>
      <rPr>
        <sz val="14"/>
        <color rgb="FF000000"/>
        <rFont val="宋体"/>
        <charset val="134"/>
      </rPr>
      <t>魂</t>
    </r>
    <r>
      <rPr>
        <sz val="14"/>
        <color rgb="FF000000"/>
        <rFont val="MS Gothic"/>
        <charset val="134"/>
      </rPr>
      <t>の</t>
    </r>
    <r>
      <rPr>
        <sz val="14"/>
        <color rgb="FF000000"/>
        <rFont val="宋体"/>
        <charset val="134"/>
      </rPr>
      <t>抽出</t>
    </r>
  </si>
  <si>
    <r>
      <rPr>
        <sz val="14"/>
        <color rgb="FF000000"/>
        <rFont val="宋体"/>
        <charset val="134"/>
      </rPr>
      <t>灵魂抽取术〔保〕</t>
    </r>
    <r>
      <rPr>
        <sz val="14"/>
        <color rgb="FF000000"/>
        <rFont val="Resource Han Rounded CN Normal"/>
        <charset val="134"/>
      </rPr>
      <t xml:space="preserve">
Soul Extraction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24</t>
    </r>
    <r>
      <rPr>
        <sz val="14"/>
        <color rgb="FF000000"/>
        <rFont val="宋体"/>
        <charset val="134"/>
      </rPr>
      <t>小时</t>
    </r>
    <r>
      <rPr>
        <sz val="14"/>
        <color rgb="FF000000"/>
        <rFont val="Resource Han Rounded CN Normal"/>
        <charset val="134"/>
      </rPr>
      <t xml:space="preserve">
</t>
    </r>
    <r>
      <rPr>
        <sz val="14"/>
        <color rgb="FF000000"/>
        <rFont val="宋体"/>
        <charset val="134"/>
      </rPr>
      <t>可以隐藏一个人的灵魂或魂魄来保护它，通常会用一个陶罐。要举行一场复杂漫长的仪式，仪式中心则是施法者制作的，用来盛放灵魂的容器。施法的目标（如果不是施法者的话）也要在场并同意接受法术（他将损失</t>
    </r>
    <r>
      <rPr>
        <sz val="14"/>
        <color rgb="FF000000"/>
        <rFont val="Resource Han Rounded CN Normal"/>
        <charset val="134"/>
      </rPr>
      <t>1D6</t>
    </r>
    <r>
      <rPr>
        <sz val="14"/>
        <color rgb="FF000000"/>
        <rFont val="宋体"/>
        <charset val="134"/>
      </rPr>
      <t>点理智值），否则法术会失败。施法完成以后，目标会继续正常生活，并在抵抗对其施放的法术时获得一颗奖励骰（比如那些需要</t>
    </r>
    <r>
      <rPr>
        <sz val="14"/>
        <color rgb="FF000000"/>
        <rFont val="Resource Han Rounded CN Normal"/>
        <charset val="134"/>
      </rPr>
      <t>POW</t>
    </r>
    <r>
      <rPr>
        <sz val="14"/>
        <color rgb="FF000000"/>
        <rFont val="宋体"/>
        <charset val="134"/>
      </rPr>
      <t>对抗检定才能成功的法术）。混乱感之类的副作用会很明显（如果此人受到疯狂发作和疯狂的影响，会表现出来）。</t>
    </r>
    <r>
      <rPr>
        <sz val="14"/>
        <color rgb="FF000000"/>
        <rFont val="Resource Han Rounded CN Normal"/>
        <charset val="134"/>
      </rPr>
      <t xml:space="preserve">
</t>
    </r>
    <r>
      <rPr>
        <sz val="14"/>
        <color rgb="FF000000"/>
        <rFont val="宋体"/>
        <charset val="134"/>
      </rPr>
      <t>如果有敌人想控制灵魂的容器，必须直接对它施法（抵消所有奖励骰），每个法术都会对它造成最大效果</t>
    </r>
    <r>
      <rPr>
        <sz val="14"/>
        <color rgb="FF000000"/>
        <rFont val="Resource Han Rounded CN Normal"/>
        <charset val="134"/>
      </rPr>
      <t>/</t>
    </r>
    <r>
      <rPr>
        <sz val="14"/>
        <color rgb="FF000000"/>
        <rFont val="宋体"/>
        <charset val="134"/>
      </rPr>
      <t>伤害。</t>
    </r>
    <r>
      <rPr>
        <sz val="14"/>
        <color rgb="FF000000"/>
        <rFont val="Resource Han Rounded CN Normal"/>
        <charset val="134"/>
      </rPr>
      <t xml:space="preserve">
</t>
    </r>
    <r>
      <rPr>
        <sz val="14"/>
        <color rgb="FF000000"/>
        <rFont val="宋体"/>
        <charset val="134"/>
      </rPr>
      <t>别名：灵魂隐藏术、物神壶创建术、反击巫术、舒适的容器</t>
    </r>
  </si>
  <si>
    <t>灵魂之歌（民俗）〔民〕</t>
  </si>
  <si>
    <r>
      <rPr>
        <sz val="14"/>
        <color rgb="FF000000"/>
        <rFont val="Resource Han Rounded CN Normal"/>
        <charset val="134"/>
      </rPr>
      <t>8</t>
    </r>
    <r>
      <rPr>
        <sz val="14"/>
        <color rgb="FF000000"/>
        <rFont val="宋体"/>
        <charset val="134"/>
      </rPr>
      <t>点魔法值；</t>
    </r>
    <r>
      <rPr>
        <sz val="14"/>
        <color rgb="FF000000"/>
        <rFont val="Resource Han Rounded CN Normal"/>
        <charset val="134"/>
      </rPr>
      <t>1D4</t>
    </r>
    <r>
      <rPr>
        <sz val="14"/>
        <color rgb="FF000000"/>
        <rFont val="宋体"/>
        <charset val="134"/>
      </rPr>
      <t>点理智值</t>
    </r>
  </si>
  <si>
    <r>
      <rPr>
        <sz val="14"/>
        <color rgb="FF000000"/>
        <rFont val="宋体"/>
        <charset val="134"/>
      </rPr>
      <t>哈默尔恩的旋律</t>
    </r>
    <r>
      <rPr>
        <sz val="14"/>
        <color rgb="FF000000"/>
        <rFont val="Resource Han Rounded CN Normal"/>
        <charset val="134"/>
      </rPr>
      <t>[37]</t>
    </r>
    <r>
      <rPr>
        <sz val="14"/>
        <color rgb="FF000000"/>
        <rFont val="宋体"/>
        <charset val="134"/>
      </rPr>
      <t>、吹笛人的吉格舞、灵魂进入术</t>
    </r>
  </si>
  <si>
    <t>SOUL-TRAP</t>
  </si>
  <si>
    <t>灵魂陷阱术</t>
  </si>
  <si>
    <r>
      <rPr>
        <sz val="14"/>
        <color rgb="FF000000"/>
        <rFont val="宋体"/>
        <charset val="134"/>
      </rPr>
      <t>魂</t>
    </r>
    <r>
      <rPr>
        <sz val="14"/>
        <color rgb="FF000000"/>
        <rFont val="MS Gothic"/>
        <charset val="134"/>
      </rPr>
      <t>の</t>
    </r>
    <r>
      <rPr>
        <sz val="14"/>
        <color rgb="FF000000"/>
        <rFont val="宋体"/>
        <charset val="134"/>
      </rPr>
      <t>罠</t>
    </r>
  </si>
  <si>
    <r>
      <rPr>
        <sz val="14"/>
        <color rgb="FF000000"/>
        <rFont val="宋体"/>
        <charset val="134"/>
      </rPr>
      <t>灵魂陷阱术〔驱〕</t>
    </r>
    <r>
      <rPr>
        <sz val="14"/>
        <color rgb="FF000000"/>
        <rFont val="Resource Han Rounded CN Normal"/>
        <charset val="134"/>
      </rPr>
      <t xml:space="preserve">
Soul-Trap
</t>
    </r>
    <r>
      <rPr>
        <sz val="14"/>
        <color rgb="FF000000"/>
        <rFont val="宋体"/>
        <charset val="134"/>
      </rPr>
      <t>消耗：</t>
    </r>
    <r>
      <rPr>
        <sz val="14"/>
        <color rgb="FF000000"/>
        <rFont val="Resource Han Rounded CN Normal"/>
        <charset val="134"/>
      </rPr>
      <t>6</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施法用时：制作护身符用时</t>
    </r>
    <r>
      <rPr>
        <sz val="14"/>
        <color rgb="FF000000"/>
        <rFont val="Resource Han Rounded CN Normal"/>
        <charset val="134"/>
      </rPr>
      <t>1</t>
    </r>
    <r>
      <rPr>
        <sz val="14"/>
        <color rgb="FF000000"/>
        <rFont val="宋体"/>
        <charset val="134"/>
      </rPr>
      <t>天</t>
    </r>
    <r>
      <rPr>
        <sz val="14"/>
        <color rgb="FF000000"/>
        <rFont val="Resource Han Rounded CN Normal"/>
        <charset val="134"/>
      </rPr>
      <t xml:space="preserve">
</t>
    </r>
    <r>
      <rPr>
        <sz val="14"/>
        <color rgb="FF000000"/>
        <rFont val="宋体"/>
        <charset val="134"/>
      </rPr>
      <t>可以让施法者用一个特制的护身符来困住目标的灵魂。制作护身符消耗施法者</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目标在死亡时必须佩戴护身符，否则法术失败。佩戴护身符时</t>
    </r>
    <r>
      <rPr>
        <sz val="14"/>
        <color rgb="FF000000"/>
        <rFont val="Resource Han Rounded CN Normal"/>
        <charset val="134"/>
      </rPr>
      <t>,</t>
    </r>
    <r>
      <rPr>
        <sz val="14"/>
        <color rgb="FF000000"/>
        <rFont val="宋体"/>
        <charset val="134"/>
      </rPr>
      <t>灵魂会自动被捕捉。此后目标的灵魂可以被施法者用几个字的咒语召唤出来。</t>
    </r>
    <r>
      <rPr>
        <sz val="14"/>
        <color rgb="FF000000"/>
        <rFont val="Resource Han Rounded CN Normal"/>
        <charset val="134"/>
      </rPr>
      <t xml:space="preserve">
</t>
    </r>
    <r>
      <rPr>
        <sz val="14"/>
        <color rgb="FF000000"/>
        <rFont val="宋体"/>
        <charset val="134"/>
      </rPr>
      <t>召唤出的灵魂维持它生前的样子</t>
    </r>
    <r>
      <rPr>
        <sz val="14"/>
        <color rgb="FF000000"/>
        <rFont val="Resource Han Rounded CN Normal"/>
        <charset val="134"/>
      </rPr>
      <t>,</t>
    </r>
    <r>
      <rPr>
        <sz val="14"/>
        <color rgb="FF000000"/>
        <rFont val="宋体"/>
        <charset val="134"/>
      </rPr>
      <t>包括衣服和戒指手表之类的饰物。灵魂可以被询问或者召来执行某些任务</t>
    </r>
    <r>
      <rPr>
        <sz val="14"/>
        <color rgb="FF000000"/>
        <rFont val="Resource Han Rounded CN Normal"/>
        <charset val="134"/>
      </rPr>
      <t>,</t>
    </r>
    <r>
      <rPr>
        <sz val="14"/>
        <color rgb="FF000000"/>
        <rFont val="宋体"/>
        <charset val="134"/>
      </rPr>
      <t>但如果它拒绝或敌对</t>
    </r>
    <r>
      <rPr>
        <sz val="14"/>
        <color rgb="FF000000"/>
        <rFont val="Resource Han Rounded CN Normal"/>
        <charset val="134"/>
      </rPr>
      <t>,</t>
    </r>
    <r>
      <rPr>
        <sz val="14"/>
        <color rgb="FF000000"/>
        <rFont val="宋体"/>
        <charset val="134"/>
      </rPr>
      <t>则施法者必须在</t>
    </r>
    <r>
      <rPr>
        <sz val="14"/>
        <color rgb="FF000000"/>
        <rFont val="Resource Han Rounded CN Normal"/>
        <charset val="134"/>
      </rPr>
      <t>POW</t>
    </r>
    <r>
      <rPr>
        <sz val="14"/>
        <color rgb="FF000000"/>
        <rFont val="宋体"/>
        <charset val="134"/>
      </rPr>
      <t>检定中获胜</t>
    </r>
    <r>
      <rPr>
        <sz val="14"/>
        <color rgb="FF000000"/>
        <rFont val="Resource Han Rounded CN Normal"/>
        <charset val="134"/>
      </rPr>
      <t>,</t>
    </r>
    <r>
      <rPr>
        <sz val="14"/>
        <color rgb="FF000000"/>
        <rFont val="宋体"/>
        <charset val="134"/>
      </rPr>
      <t>迫使其执行命令。若此</t>
    </r>
    <r>
      <rPr>
        <sz val="14"/>
        <color rgb="FF000000"/>
        <rFont val="Resource Han Rounded CN Normal"/>
        <charset val="134"/>
      </rPr>
      <t>POW</t>
    </r>
    <r>
      <rPr>
        <sz val="14"/>
        <color rgb="FF000000"/>
        <rFont val="宋体"/>
        <charset val="134"/>
      </rPr>
      <t>检定失败</t>
    </r>
    <r>
      <rPr>
        <sz val="14"/>
        <color rgb="FF000000"/>
        <rFont val="Resource Han Rounded CN Normal"/>
        <charset val="134"/>
      </rPr>
      <t>,</t>
    </r>
    <r>
      <rPr>
        <sz val="14"/>
        <color rgb="FF000000"/>
        <rFont val="宋体"/>
        <charset val="134"/>
      </rPr>
      <t>灵魂会解放</t>
    </r>
    <r>
      <rPr>
        <sz val="14"/>
        <color rgb="FF000000"/>
        <rFont val="Resource Han Rounded CN Normal"/>
        <charset val="134"/>
      </rPr>
      <t>,</t>
    </r>
    <r>
      <rPr>
        <sz val="14"/>
        <color rgb="FF000000"/>
        <rFont val="宋体"/>
        <charset val="134"/>
      </rPr>
      <t>很快便消失。灵魂被召唤以后维持的时间是</t>
    </r>
    <r>
      <rPr>
        <sz val="14"/>
        <color rgb="FF000000"/>
        <rFont val="Resource Han Rounded CN Normal"/>
        <charset val="134"/>
      </rPr>
      <t>POW</t>
    </r>
    <r>
      <rPr>
        <sz val="14"/>
        <color rgb="FF000000"/>
        <rFont val="宋体"/>
        <charset val="134"/>
      </rPr>
      <t>的五分之一轮</t>
    </r>
    <r>
      <rPr>
        <sz val="14"/>
        <color rgb="FF000000"/>
        <rFont val="Resource Han Rounded CN Normal"/>
        <charset val="134"/>
      </rPr>
      <t>,</t>
    </r>
    <r>
      <rPr>
        <sz val="14"/>
        <color rgb="FF000000"/>
        <rFont val="宋体"/>
        <charset val="134"/>
      </rPr>
      <t>在间隔相同的时间以后可以再次召唤。</t>
    </r>
    <r>
      <rPr>
        <sz val="14"/>
        <color rgb="FF000000"/>
        <rFont val="Resource Han Rounded CN Normal"/>
        <charset val="134"/>
      </rPr>
      <t xml:space="preserve">
</t>
    </r>
    <r>
      <rPr>
        <sz val="14"/>
        <color rgb="FF000000"/>
        <rFont val="宋体"/>
        <charset val="134"/>
      </rPr>
      <t>别名：束缚自我术、灵魂石创建术、死亡大师</t>
    </r>
  </si>
  <si>
    <t>精神囚禁术〔驱〕</t>
  </si>
  <si>
    <r>
      <rPr>
        <sz val="14"/>
        <color rgb="FF000000"/>
        <rFont val="Resource Han Rounded CN Normal"/>
        <charset val="134"/>
      </rPr>
      <t>6</t>
    </r>
    <r>
      <rPr>
        <sz val="14"/>
        <color rgb="FF000000"/>
        <rFont val="宋体"/>
        <charset val="134"/>
      </rPr>
      <t>小时以上</t>
    </r>
  </si>
  <si>
    <t>活物躯壳内的囚禁、监禁精神恶魔、灵魂捕缚术</t>
  </si>
  <si>
    <t>SUMMON THRALL OF CHAUGNAR FAUG</t>
  </si>
  <si>
    <r>
      <rPr>
        <sz val="14"/>
        <color rgb="FF000000"/>
        <rFont val="宋体"/>
        <charset val="134"/>
      </rPr>
      <t>召唤肖格纳尔</t>
    </r>
    <r>
      <rPr>
        <sz val="14"/>
        <color rgb="FF000000"/>
        <rFont val="Resource Han Rounded CN Normal"/>
        <charset val="134"/>
      </rPr>
      <t>·</t>
    </r>
    <r>
      <rPr>
        <sz val="14"/>
        <color rgb="FF000000"/>
        <rFont val="宋体"/>
        <charset val="134"/>
      </rPr>
      <t>方的奴隶</t>
    </r>
  </si>
  <si>
    <r>
      <rPr>
        <sz val="14"/>
        <color rgb="FF000000"/>
        <rFont val="MS Gothic"/>
        <charset val="134"/>
      </rPr>
      <t>チャウグナー・フォーンの</t>
    </r>
    <r>
      <rPr>
        <sz val="14"/>
        <color rgb="FF000000"/>
        <rFont val="宋体"/>
        <charset val="134"/>
      </rPr>
      <t>奴隷</t>
    </r>
    <r>
      <rPr>
        <sz val="14"/>
        <color rgb="FF000000"/>
        <rFont val="MS Gothic"/>
        <charset val="134"/>
      </rPr>
      <t>の</t>
    </r>
    <r>
      <rPr>
        <sz val="14"/>
        <color rgb="FF000000"/>
        <rFont val="宋体"/>
        <charset val="134"/>
      </rPr>
      <t>召喚</t>
    </r>
  </si>
  <si>
    <r>
      <rPr>
        <sz val="14"/>
        <color rgb="FF000000"/>
        <rFont val="宋体"/>
        <charset val="134"/>
      </rPr>
      <t>召唤肖格纳尔</t>
    </r>
    <r>
      <rPr>
        <sz val="14"/>
        <color rgb="FF000000"/>
        <rFont val="Resource Han Rounded CN Normal"/>
        <charset val="134"/>
      </rPr>
      <t>·</t>
    </r>
    <r>
      <rPr>
        <sz val="14"/>
        <color rgb="FF000000"/>
        <rFont val="宋体"/>
        <charset val="134"/>
      </rPr>
      <t>方的奴隶</t>
    </r>
    <r>
      <rPr>
        <sz val="14"/>
        <color rgb="FF000000"/>
        <rFont val="Resource Han Rounded CN Normal"/>
        <charset val="134"/>
      </rPr>
      <t xml:space="preserve">
Summon Thrall of Chaugnar Faugn
</t>
    </r>
    <r>
      <rPr>
        <sz val="14"/>
        <color rgb="FF000000"/>
        <rFont val="宋体"/>
        <charset val="134"/>
      </rPr>
      <t>这里的</t>
    </r>
    <r>
      <rPr>
        <sz val="14"/>
        <color rgb="FF000000"/>
        <rFont val="Resource Han Rounded CN Normal"/>
        <charset val="134"/>
      </rPr>
      <t>“</t>
    </r>
    <r>
      <rPr>
        <sz val="14"/>
        <color rgb="FF000000"/>
        <rFont val="宋体"/>
        <charset val="134"/>
      </rPr>
      <t>奴隶</t>
    </r>
    <r>
      <rPr>
        <sz val="14"/>
        <color rgb="FF000000"/>
        <rFont val="Resource Han Rounded CN Normal"/>
        <charset val="134"/>
      </rPr>
      <t>”</t>
    </r>
    <r>
      <rPr>
        <sz val="14"/>
        <color rgb="FF000000"/>
        <rFont val="宋体"/>
        <charset val="134"/>
      </rPr>
      <t>指肖格纳尔</t>
    </r>
    <r>
      <rPr>
        <sz val="14"/>
        <color rgb="FF000000"/>
        <rFont val="Resource Han Rounded CN Normal"/>
        <charset val="134"/>
      </rPr>
      <t>·</t>
    </r>
    <r>
      <rPr>
        <sz val="14"/>
        <color rgb="FF000000"/>
        <rFont val="宋体"/>
        <charset val="134"/>
      </rPr>
      <t>方创造出的生物。虽然只有肖格纳尔</t>
    </r>
    <r>
      <rPr>
        <sz val="14"/>
        <color rgb="FF000000"/>
        <rFont val="Resource Han Rounded CN Normal"/>
        <charset val="134"/>
      </rPr>
      <t>·</t>
    </r>
    <r>
      <rPr>
        <sz val="14"/>
        <color rgb="FF000000"/>
        <rFont val="宋体"/>
        <charset val="134"/>
      </rPr>
      <t>方自己才能控制并命令这些奴隶，但任何人都可以召唤它们。咒文可召唤出</t>
    </r>
    <r>
      <rPr>
        <sz val="14"/>
        <color rgb="FF000000"/>
        <rFont val="Resource Han Rounded CN Normal"/>
        <charset val="134"/>
      </rPr>
      <t>1d6+1</t>
    </r>
    <r>
      <rPr>
        <sz val="14"/>
        <color rgb="FF000000"/>
        <rFont val="宋体"/>
        <charset val="134"/>
      </rPr>
      <t>只奴隶，施法者须支付</t>
    </r>
    <r>
      <rPr>
        <sz val="14"/>
        <color rgb="FF000000"/>
        <rFont val="Resource Han Rounded CN Normal"/>
        <charset val="134"/>
      </rPr>
      <t>1d2</t>
    </r>
    <r>
      <rPr>
        <sz val="14"/>
        <color rgb="FF000000"/>
        <rFont val="宋体"/>
        <charset val="134"/>
      </rPr>
      <t>点魔法值和</t>
    </r>
    <r>
      <rPr>
        <sz val="14"/>
        <color rgb="FF000000"/>
        <rFont val="Resource Han Rounded CN Normal"/>
        <charset val="134"/>
      </rPr>
      <t>0/1d2</t>
    </r>
    <r>
      <rPr>
        <sz val="14"/>
        <color rgb="FF000000"/>
        <rFont val="宋体"/>
        <charset val="134"/>
      </rPr>
      <t>点理智值。</t>
    </r>
    <r>
      <rPr>
        <sz val="14"/>
        <color rgb="FF000000"/>
        <rFont val="Resource Han Rounded CN Normal"/>
        <charset val="134"/>
      </rPr>
      <t xml:space="preserve">
</t>
    </r>
    <r>
      <rPr>
        <sz val="14"/>
        <color rgb="FF000000"/>
        <rFont val="宋体"/>
        <charset val="134"/>
      </rPr>
      <t>召唤必须在地下室、无窗的房间等与外界切断联系的空间中进行，施法者应全裸蹲在地面或地板上，集中精神，想像肖格纳尔</t>
    </r>
    <r>
      <rPr>
        <sz val="14"/>
        <color rgb="FF000000"/>
        <rFont val="Resource Han Rounded CN Normal"/>
        <charset val="134"/>
      </rPr>
      <t>·</t>
    </r>
    <r>
      <rPr>
        <sz val="14"/>
        <color rgb="FF000000"/>
        <rFont val="宋体"/>
        <charset val="134"/>
      </rPr>
      <t>方的样子，同时咏唱、敲鼓，直到自己进入催眠状态为止。这样，肖格纳尔</t>
    </r>
    <r>
      <rPr>
        <sz val="14"/>
        <color rgb="FF000000"/>
        <rFont val="Resource Han Rounded CN Normal"/>
        <charset val="134"/>
      </rPr>
      <t>·</t>
    </r>
    <r>
      <rPr>
        <sz val="14"/>
        <color rgb="FF000000"/>
        <rFont val="宋体"/>
        <charset val="134"/>
      </rPr>
      <t>方就会屈尊在施法者的心灵中出现，并吼道：</t>
    </r>
    <r>
      <rPr>
        <sz val="14"/>
        <color rgb="FF000000"/>
        <rFont val="Resource Han Rounded CN Normal"/>
        <charset val="134"/>
      </rPr>
      <t>“</t>
    </r>
    <r>
      <rPr>
        <sz val="14"/>
        <color rgb="FF000000"/>
        <rFont val="宋体"/>
        <charset val="134"/>
      </rPr>
      <t>我伟大的光荣！</t>
    </r>
    <r>
      <rPr>
        <sz val="14"/>
        <color rgb="FF000000"/>
        <rFont val="Resource Han Rounded CN Normal"/>
        <charset val="134"/>
      </rPr>
      <t>”(Tomygreaterglory!)</t>
    </r>
    <r>
      <rPr>
        <sz val="14"/>
        <color rgb="FF000000"/>
        <rFont val="宋体"/>
        <charset val="134"/>
      </rPr>
      <t>。</t>
    </r>
  </si>
  <si>
    <t>灵魂束缚术〔害〕</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</si>
  <si>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3</t>
    </r>
    <r>
      <rPr>
        <sz val="14"/>
        <color rgb="FF000000"/>
        <rFont val="宋体"/>
        <charset val="134"/>
      </rPr>
      <t>点理智值</t>
    </r>
  </si>
  <si>
    <r>
      <rPr>
        <sz val="14"/>
        <color rgb="FF000000"/>
        <rFont val="Resource Han Rounded CN Normal"/>
        <charset val="134"/>
      </rPr>
      <t>3+</t>
    </r>
    <r>
      <rPr>
        <sz val="14"/>
        <color rgb="FF000000"/>
        <rFont val="宋体"/>
        <charset val="134"/>
      </rPr>
      <t>天</t>
    </r>
  </si>
  <si>
    <r>
      <rPr>
        <sz val="14"/>
        <color rgb="FF000000"/>
        <rFont val="宋体"/>
        <charset val="134"/>
      </rPr>
      <t>伊本</t>
    </r>
    <r>
      <rPr>
        <sz val="14"/>
        <color rgb="FF000000"/>
        <rFont val="Resource Han Rounded CN Normal"/>
        <charset val="134"/>
      </rPr>
      <t>-</t>
    </r>
    <r>
      <rPr>
        <sz val="14"/>
        <color rgb="FF000000"/>
        <rFont val="宋体"/>
        <charset val="134"/>
      </rPr>
      <t>加齐之粉、伊波恩的灵魂掠取术、囚禁生命力、黑色谋杀</t>
    </r>
  </si>
  <si>
    <t>CURSE OF CHAUGNAR FAUGN</t>
  </si>
  <si>
    <r>
      <rPr>
        <sz val="14"/>
        <color rgb="FF000000"/>
        <rFont val="宋体"/>
        <charset val="134"/>
      </rPr>
      <t>肖格纳尔</t>
    </r>
    <r>
      <rPr>
        <sz val="14"/>
        <color rgb="FF000000"/>
        <rFont val="Resource Han Rounded CN Normal"/>
        <charset val="134"/>
      </rPr>
      <t>·</t>
    </r>
    <r>
      <rPr>
        <sz val="14"/>
        <color rgb="FF000000"/>
        <rFont val="宋体"/>
        <charset val="134"/>
      </rPr>
      <t>方的诅咒</t>
    </r>
  </si>
  <si>
    <r>
      <rPr>
        <sz val="14"/>
        <color rgb="FF000000"/>
        <rFont val="MS Gothic"/>
        <charset val="134"/>
      </rPr>
      <t>チャウグナー・フォーンの</t>
    </r>
    <r>
      <rPr>
        <sz val="14"/>
        <color rgb="FF000000"/>
        <rFont val="宋体"/>
        <charset val="134"/>
      </rPr>
      <t>呪</t>
    </r>
    <r>
      <rPr>
        <sz val="14"/>
        <color rgb="FF000000"/>
        <rFont val="MS Gothic"/>
        <charset val="134"/>
      </rPr>
      <t>い</t>
    </r>
  </si>
  <si>
    <r>
      <rPr>
        <sz val="14"/>
        <color rgb="FF000000"/>
        <rFont val="宋体"/>
        <charset val="134"/>
      </rPr>
      <t>肖格纳尔</t>
    </r>
    <r>
      <rPr>
        <sz val="14"/>
        <color rgb="FF000000"/>
        <rFont val="Resource Han Rounded CN Normal"/>
        <charset val="134"/>
      </rPr>
      <t>·</t>
    </r>
    <r>
      <rPr>
        <sz val="14"/>
        <color rgb="FF000000"/>
        <rFont val="宋体"/>
        <charset val="134"/>
      </rPr>
      <t>方的诅咒〔害〕</t>
    </r>
    <r>
      <rPr>
        <sz val="14"/>
        <color rgb="FF000000"/>
        <rFont val="Resource Han Rounded CN Normal"/>
        <charset val="134"/>
      </rPr>
      <t xml:space="preserve">
Curse of Chaugnar Faugn
</t>
    </r>
    <r>
      <rPr>
        <sz val="14"/>
        <color rgb="FF000000"/>
        <rFont val="宋体"/>
        <charset val="134"/>
      </rPr>
      <t>消耗：每吟唱一小时</t>
    </r>
    <r>
      <rPr>
        <sz val="14"/>
        <color rgb="FF000000"/>
        <rFont val="Resource Han Rounded CN Normal"/>
        <charset val="134"/>
      </rPr>
      <t>1</t>
    </r>
    <r>
      <rPr>
        <sz val="14"/>
        <color rgb="FF000000"/>
        <rFont val="宋体"/>
        <charset val="134"/>
      </rPr>
      <t>点魔法值；每吟唱</t>
    </r>
    <r>
      <rPr>
        <sz val="14"/>
        <color rgb="FF000000"/>
        <rFont val="Resource Han Rounded CN Normal"/>
        <charset val="134"/>
      </rPr>
      <t>12</t>
    </r>
    <r>
      <rPr>
        <sz val="14"/>
        <color rgb="FF000000"/>
        <rFont val="宋体"/>
        <charset val="134"/>
      </rPr>
      <t>小时</t>
    </r>
    <r>
      <rPr>
        <sz val="14"/>
        <color rgb="FF000000"/>
        <rFont val="Resource Han Rounded CN Normal"/>
        <charset val="134"/>
      </rPr>
      <t>1D3</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施法用时：每星期吟唱</t>
    </r>
    <r>
      <rPr>
        <sz val="14"/>
        <color rgb="FF000000"/>
        <rFont val="Resource Han Rounded CN Normal"/>
        <charset val="134"/>
      </rPr>
      <t>12</t>
    </r>
    <r>
      <rPr>
        <sz val="14"/>
        <color rgb="FF000000"/>
        <rFont val="宋体"/>
        <charset val="134"/>
      </rPr>
      <t>小时（</t>
    </r>
    <r>
      <rPr>
        <sz val="14"/>
        <color rgb="FF000000"/>
        <rFont val="Resource Han Rounded CN Normal"/>
        <charset val="134"/>
      </rPr>
      <t>2+</t>
    </r>
    <r>
      <rPr>
        <sz val="14"/>
        <color rgb="FF000000"/>
        <rFont val="宋体"/>
        <charset val="134"/>
      </rPr>
      <t>周）</t>
    </r>
    <r>
      <rPr>
        <sz val="14"/>
        <color rgb="FF000000"/>
        <rFont val="Resource Han Rounded CN Normal"/>
        <charset val="134"/>
      </rPr>
      <t xml:space="preserve">
</t>
    </r>
    <r>
      <rPr>
        <sz val="14"/>
        <color rgb="FF000000"/>
        <rFont val="宋体"/>
        <charset val="134"/>
      </rPr>
      <t>这个可怖的法术可以让单体人类目标被肖格纳尔</t>
    </r>
    <r>
      <rPr>
        <sz val="14"/>
        <color rgb="FF000000"/>
        <rFont val="Resource Han Rounded CN Normal"/>
        <charset val="134"/>
      </rPr>
      <t>·</t>
    </r>
    <r>
      <rPr>
        <sz val="14"/>
        <color rgb="FF000000"/>
        <rFont val="宋体"/>
        <charset val="134"/>
      </rPr>
      <t>方吞噬。施放本法术需要目标身上的一小块肉做施法的中心，每星期要念咒十二小时。施法者必须要是宣誓过的肖格纳尔</t>
    </r>
    <r>
      <rPr>
        <sz val="14"/>
        <color rgb="FF000000"/>
        <rFont val="Resource Han Rounded CN Normal"/>
        <charset val="134"/>
      </rPr>
      <t>·</t>
    </r>
    <r>
      <rPr>
        <sz val="14"/>
        <color rgb="FF000000"/>
        <rFont val="宋体"/>
        <charset val="134"/>
      </rPr>
      <t>方的追随者。本法术的效果无视距离；施法者须和目标进行一次</t>
    </r>
    <r>
      <rPr>
        <sz val="14"/>
        <color rgb="FF000000"/>
        <rFont val="Resource Han Rounded CN Normal"/>
        <charset val="134"/>
      </rPr>
      <t>POW</t>
    </r>
    <r>
      <rPr>
        <sz val="14"/>
        <color rgb="FF000000"/>
        <rFont val="宋体"/>
        <charset val="134"/>
      </rPr>
      <t>对抗检定并胜出，法术才能生效（第二周结束后，施法者每周获得一颗奖励骰）。</t>
    </r>
    <r>
      <rPr>
        <sz val="14"/>
        <color rgb="FF000000"/>
        <rFont val="Resource Han Rounded CN Normal"/>
        <charset val="134"/>
      </rPr>
      <t xml:space="preserve">
</t>
    </r>
    <r>
      <rPr>
        <sz val="14"/>
        <color rgb="FF000000"/>
        <rFont val="宋体"/>
        <charset val="134"/>
      </rPr>
      <t>第一个夜晚（在第一周的念咒之后）和以后每个夜晚，目标的梦境都会被肖格纳尔</t>
    </r>
    <r>
      <rPr>
        <sz val="14"/>
        <color rgb="FF000000"/>
        <rFont val="Resource Han Rounded CN Normal"/>
        <charset val="134"/>
      </rPr>
      <t>·</t>
    </r>
    <r>
      <rPr>
        <sz val="14"/>
        <color rgb="FF000000"/>
        <rFont val="宋体"/>
        <charset val="134"/>
      </rPr>
      <t>方塞满恐怖的幻象。目标很快就陷入精神恍惚的状态，尝试接触这尊神，将自己作成活祭品。这种恍惚状态会越来越长、越来越频繁，直到他成功为止。时间间隔天数大概是目标</t>
    </r>
    <r>
      <rPr>
        <sz val="14"/>
        <color rgb="FF000000"/>
        <rFont val="Resource Han Rounded CN Normal"/>
        <charset val="134"/>
      </rPr>
      <t>POW</t>
    </r>
    <r>
      <rPr>
        <sz val="14"/>
        <color rgb="FF000000"/>
        <rFont val="宋体"/>
        <charset val="134"/>
      </rPr>
      <t>的五分之一；但是，意志坚定的目标可能会在至多</t>
    </r>
    <r>
      <rPr>
        <sz val="14"/>
        <color rgb="FF000000"/>
        <rFont val="Resource Han Rounded CN Normal"/>
        <charset val="134"/>
      </rPr>
      <t>POW</t>
    </r>
    <r>
      <rPr>
        <sz val="14"/>
        <color rgb="FF000000"/>
        <rFont val="宋体"/>
        <charset val="134"/>
      </rPr>
      <t>天之内抗拒法术的效果（困难</t>
    </r>
    <r>
      <rPr>
        <sz val="14"/>
        <color rgb="FF000000"/>
        <rFont val="Resource Han Rounded CN Normal"/>
        <charset val="134"/>
      </rPr>
      <t>POW</t>
    </r>
    <r>
      <rPr>
        <sz val="14"/>
        <color rgb="FF000000"/>
        <rFont val="宋体"/>
        <charset val="134"/>
      </rPr>
      <t>检定）。最终目标会找到让自己变成活祭品的方法，并被吞噬消失</t>
    </r>
    <r>
      <rPr>
        <sz val="14"/>
        <color rgb="FF000000"/>
        <rFont val="Resource Han Rounded CN Normal"/>
        <charset val="134"/>
      </rPr>
      <t>——</t>
    </r>
    <r>
      <rPr>
        <sz val="14"/>
        <color rgb="FF000000"/>
        <rFont val="宋体"/>
        <charset val="134"/>
      </rPr>
      <t>施法者持有的肉片将迅速腐朽，标示着法术已经成功结束。</t>
    </r>
    <r>
      <rPr>
        <sz val="14"/>
        <color rgb="FF000000"/>
        <rFont val="Resource Han Rounded CN Normal"/>
        <charset val="134"/>
      </rPr>
      <t xml:space="preserve">
</t>
    </r>
    <r>
      <rPr>
        <sz val="14"/>
        <color rgb="FF000000"/>
        <rFont val="宋体"/>
        <charset val="134"/>
      </rPr>
      <t>别名：肖格纳尔</t>
    </r>
    <r>
      <rPr>
        <sz val="14"/>
        <color rgb="FF000000"/>
        <rFont val="Resource Han Rounded CN Normal"/>
        <charset val="134"/>
      </rPr>
      <t>·</t>
    </r>
    <r>
      <rPr>
        <sz val="14"/>
        <color rgb="FF000000"/>
        <rFont val="宋体"/>
        <charset val="134"/>
      </rPr>
      <t>方的祝福之触、后藏</t>
    </r>
    <r>
      <rPr>
        <sz val="14"/>
        <color rgb="FF000000"/>
        <rFont val="Resource Han Rounded CN Normal"/>
        <charset val="134"/>
      </rPr>
      <t xml:space="preserve">
Zàng
</t>
    </r>
    <r>
      <rPr>
        <sz val="14"/>
        <color rgb="FF000000"/>
        <rFont val="宋体"/>
        <charset val="134"/>
      </rPr>
      <t>黑梦、最古血仆的狂热睡眠</t>
    </r>
  </si>
  <si>
    <t>灵魂抽取术〔保〕</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</si>
  <si>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点理智值</t>
    </r>
  </si>
  <si>
    <t>灵魂隐藏术、物神壶创建术、反击巫术、舒适的容器</t>
  </si>
  <si>
    <t>IMPLANT SUGGESTION</t>
  </si>
  <si>
    <t>灌注暗示</t>
  </si>
  <si>
    <r>
      <rPr>
        <sz val="14"/>
        <color rgb="FF000000"/>
        <rFont val="宋体"/>
        <charset val="134"/>
      </rPr>
      <t>忠告</t>
    </r>
    <r>
      <rPr>
        <sz val="14"/>
        <color rgb="FF000000"/>
        <rFont val="MS Gothic"/>
        <charset val="134"/>
      </rPr>
      <t>の</t>
    </r>
    <r>
      <rPr>
        <sz val="14"/>
        <color rgb="FF000000"/>
        <rFont val="宋体"/>
        <charset val="134"/>
      </rPr>
      <t>注入</t>
    </r>
  </si>
  <si>
    <r>
      <rPr>
        <sz val="14"/>
        <color rgb="FF000000"/>
        <rFont val="宋体"/>
        <charset val="134"/>
      </rPr>
      <t>灌注暗示</t>
    </r>
    <r>
      <rPr>
        <sz val="14"/>
        <color rgb="FF000000"/>
        <rFont val="Resource Han Rounded CN Normal"/>
        <charset val="134"/>
      </rPr>
      <t xml:space="preserve">
Implant Suggestion
</t>
    </r>
    <r>
      <rPr>
        <sz val="14"/>
        <color rgb="FF000000"/>
        <rFont val="宋体"/>
        <charset val="134"/>
      </rPr>
      <t>幻梦境法术。这一罕见的强制咒文只对和异种混血的人类有效，就是冷原居民、与深潜者的混血、食尸鬼换走的孩子、</t>
    </r>
    <r>
      <rPr>
        <sz val="14"/>
        <color rgb="FF000000"/>
        <rFont val="Resource Han Rounded CN Normal"/>
        <charset val="134"/>
      </rPr>
      <t>“</t>
    </r>
    <r>
      <rPr>
        <sz val="14"/>
        <color rgb="FF000000"/>
        <rFont val="宋体"/>
        <charset val="134"/>
      </rPr>
      <t>小矮人</t>
    </r>
    <r>
      <rPr>
        <sz val="14"/>
        <color rgb="FF000000"/>
        <rFont val="Resource Han Rounded CN Normal"/>
        <charset val="134"/>
      </rPr>
      <t>”</t>
    </r>
    <r>
      <rPr>
        <sz val="14"/>
        <color rgb="FF000000"/>
        <rFont val="宋体"/>
        <charset val="134"/>
      </rPr>
      <t>（妖精、小妖精）等。施法所需的魔法值和理智值根据场合各有不同，咒文的范围不超过</t>
    </r>
    <r>
      <rPr>
        <sz val="14"/>
        <color rgb="FF000000"/>
        <rFont val="Resource Han Rounded CN Normal"/>
        <charset val="134"/>
      </rPr>
      <t>10</t>
    </r>
    <r>
      <rPr>
        <sz val="14"/>
        <color rgb="FF000000"/>
        <rFont val="宋体"/>
        <charset val="134"/>
      </rPr>
      <t>码，且对方必须能听到并理解施法者的话。施法者吟唱咒文、把暗示传递给对方的时间是</t>
    </r>
    <r>
      <rPr>
        <sz val="14"/>
        <color rgb="FF000000"/>
        <rFont val="Resource Han Rounded CN Normal"/>
        <charset val="134"/>
      </rPr>
      <t>2</t>
    </r>
    <r>
      <rPr>
        <sz val="14"/>
        <color rgb="FF000000"/>
        <rFont val="宋体"/>
        <charset val="134"/>
      </rPr>
      <t>轮，施放完毕后，对方必须用意志值和施法者的意志值进行对抗。如果暗示的内容会使对方遭受死亡或其它重大损害，在施法前还要再对抗一次。</t>
    </r>
    <r>
      <rPr>
        <sz val="14"/>
        <color rgb="FF000000"/>
        <rFont val="Resource Han Rounded CN Normal"/>
        <charset val="134"/>
      </rPr>
      <t xml:space="preserve">
</t>
    </r>
    <r>
      <rPr>
        <sz val="14"/>
        <color rgb="FF000000"/>
        <rFont val="宋体"/>
        <charset val="134"/>
      </rPr>
      <t>施法者支付的代价依暗示的内容而定。没有压迫性的普通暗示（把刀扔下、拿钱来、离开这里等）需要</t>
    </r>
    <r>
      <rPr>
        <sz val="14"/>
        <color rgb="FF000000"/>
        <rFont val="Resource Han Rounded CN Normal"/>
        <charset val="134"/>
      </rPr>
      <t>5</t>
    </r>
    <r>
      <rPr>
        <sz val="14"/>
        <color rgb="FF000000"/>
        <rFont val="宋体"/>
        <charset val="134"/>
      </rPr>
      <t>点魔法值和</t>
    </r>
    <r>
      <rPr>
        <sz val="14"/>
        <color rgb="FF000000"/>
        <rFont val="Resource Han Rounded CN Normal"/>
        <charset val="134"/>
      </rPr>
      <t>1d3</t>
    </r>
    <r>
      <rPr>
        <sz val="14"/>
        <color rgb="FF000000"/>
        <rFont val="宋体"/>
        <charset val="134"/>
      </rPr>
      <t>点理智值。有一定危险但和对方自身的意愿不冲突的暗示（去因加诺克、点燃建筑等）需要</t>
    </r>
    <r>
      <rPr>
        <sz val="14"/>
        <color rgb="FF000000"/>
        <rFont val="Resource Han Rounded CN Normal"/>
        <charset val="134"/>
      </rPr>
      <t>10</t>
    </r>
    <r>
      <rPr>
        <sz val="14"/>
        <color rgb="FF000000"/>
        <rFont val="宋体"/>
        <charset val="134"/>
      </rPr>
      <t>点魔法值和</t>
    </r>
    <r>
      <rPr>
        <sz val="14"/>
        <color rgb="FF000000"/>
        <rFont val="Resource Han Rounded CN Normal"/>
        <charset val="134"/>
      </rPr>
      <t>2d3</t>
    </r>
    <r>
      <rPr>
        <sz val="14"/>
        <color rgb="FF000000"/>
        <rFont val="宋体"/>
        <charset val="134"/>
      </rPr>
      <t>点理智值。危险的自杀性暗示（杀死同伴、去绑架库拉尼斯王等）需要</t>
    </r>
    <r>
      <rPr>
        <sz val="14"/>
        <color rgb="FF000000"/>
        <rFont val="Resource Han Rounded CN Normal"/>
        <charset val="134"/>
      </rPr>
      <t>15</t>
    </r>
    <r>
      <rPr>
        <sz val="14"/>
        <color rgb="FF000000"/>
        <rFont val="宋体"/>
        <charset val="134"/>
      </rPr>
      <t>点魔法值和</t>
    </r>
    <r>
      <rPr>
        <sz val="14"/>
        <color rgb="FF000000"/>
        <rFont val="Resource Han Rounded CN Normal"/>
        <charset val="134"/>
      </rPr>
      <t>3d3+1</t>
    </r>
    <r>
      <rPr>
        <sz val="14"/>
        <color rgb="FF000000"/>
        <rFont val="宋体"/>
        <charset val="134"/>
      </rPr>
      <t>点理智值。</t>
    </r>
  </si>
  <si>
    <t>灵魂陷阱术〔驱〕</t>
  </si>
  <si>
    <r>
      <rPr>
        <sz val="14"/>
        <color rgb="FF000000"/>
        <rFont val="Resource Han Rounded CN Normal"/>
        <charset val="134"/>
      </rPr>
      <t>6</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1D4</t>
    </r>
    <r>
      <rPr>
        <sz val="14"/>
        <color rgb="FF000000"/>
        <rFont val="宋体"/>
        <charset val="134"/>
      </rPr>
      <t>点理智值</t>
    </r>
  </si>
  <si>
    <r>
      <rPr>
        <sz val="14"/>
        <color rgb="FF000000"/>
        <rFont val="宋体"/>
        <charset val="134"/>
      </rPr>
      <t>制作护身符用时</t>
    </r>
    <r>
      <rPr>
        <sz val="14"/>
        <color rgb="FF000000"/>
        <rFont val="Resource Han Rounded CN Normal"/>
        <charset val="134"/>
      </rPr>
      <t>1</t>
    </r>
    <r>
      <rPr>
        <sz val="14"/>
        <color rgb="FF000000"/>
        <rFont val="宋体"/>
        <charset val="134"/>
      </rPr>
      <t>天</t>
    </r>
  </si>
  <si>
    <t>束缚自我术、灵魂石创建术、死亡大师</t>
  </si>
  <si>
    <t>HEALING</t>
  </si>
  <si>
    <t>治愈法</t>
  </si>
  <si>
    <t>治癒</t>
  </si>
  <si>
    <r>
      <rPr>
        <sz val="14"/>
        <color rgb="FF000000"/>
        <rFont val="宋体"/>
        <charset val="134"/>
      </rPr>
      <t>治愈法（民俗）〔民〕</t>
    </r>
    <r>
      <rPr>
        <sz val="14"/>
        <color rgb="FF000000"/>
        <rFont val="Resource Han Rounded CN Normal"/>
        <charset val="134"/>
      </rPr>
      <t xml:space="preserve">
Healing
</t>
    </r>
    <r>
      <rPr>
        <sz val="14"/>
        <color rgb="FF000000"/>
        <rFont val="宋体"/>
        <charset val="134"/>
      </rPr>
      <t>消耗：</t>
    </r>
    <r>
      <rPr>
        <sz val="14"/>
        <color rgb="FF000000"/>
        <rFont val="Resource Han Rounded CN Normal"/>
        <charset val="134"/>
      </rPr>
      <t>12</t>
    </r>
    <r>
      <rPr>
        <sz val="14"/>
        <color rgb="FF000000"/>
        <rFont val="宋体"/>
        <charset val="134"/>
      </rPr>
      <t>点魔法值；可变的</t>
    </r>
    <r>
      <rPr>
        <sz val="14"/>
        <color rgb="FF000000"/>
        <rFont val="Resource Han Rounded CN Normal"/>
        <charset val="134"/>
      </rPr>
      <t>POW</t>
    </r>
    <r>
      <rPr>
        <sz val="14"/>
        <color rgb="FF000000"/>
        <rFont val="宋体"/>
        <charset val="134"/>
      </rPr>
      <t>；</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2D6</t>
    </r>
    <r>
      <rPr>
        <sz val="14"/>
        <color rgb="FF000000"/>
        <rFont val="宋体"/>
        <charset val="134"/>
      </rPr>
      <t>轮</t>
    </r>
    <r>
      <rPr>
        <sz val="14"/>
        <color rgb="FF000000"/>
        <rFont val="Resource Han Rounded CN Normal"/>
        <charset val="134"/>
      </rPr>
      <t xml:space="preserve">
</t>
    </r>
    <r>
      <rPr>
        <sz val="14"/>
        <color rgb="FF000000"/>
        <rFont val="宋体"/>
        <charset val="134"/>
      </rPr>
      <t>本法术可以治疗肉体伤害。施法者必须接触受伤的人，并且反复念诵一段短语。本法术的一些变体还必须准备某些原料（治疗药草、药油等）。</t>
    </r>
    <r>
      <rPr>
        <sz val="14"/>
        <color rgb="FF000000"/>
        <rFont val="Resource Han Rounded CN Normal"/>
        <charset val="134"/>
      </rPr>
      <t xml:space="preserve">
</t>
    </r>
    <r>
      <rPr>
        <sz val="14"/>
        <color rgb="FF000000"/>
        <rFont val="宋体"/>
        <charset val="134"/>
      </rPr>
      <t>本法术生效以后将加速恢复过程：在</t>
    </r>
    <r>
      <rPr>
        <sz val="14"/>
        <color rgb="FF000000"/>
        <rFont val="Resource Han Rounded CN Normal"/>
        <charset val="134"/>
      </rPr>
      <t>2D6</t>
    </r>
    <r>
      <rPr>
        <sz val="14"/>
        <color rgb="FF000000"/>
        <rFont val="宋体"/>
        <charset val="134"/>
      </rPr>
      <t>轮之后受伤的人可以回复</t>
    </r>
    <r>
      <rPr>
        <sz val="14"/>
        <color rgb="FF000000"/>
        <rFont val="Resource Han Rounded CN Normal"/>
        <charset val="134"/>
      </rPr>
      <t>2D6</t>
    </r>
    <r>
      <rPr>
        <sz val="14"/>
        <color rgb="FF000000"/>
        <rFont val="宋体"/>
        <charset val="134"/>
      </rPr>
      <t>点耐久值（最多回复到正常的最大耐久值）。实际上本法术不能再生血肉，准确地说它只是愈合伤口；它会留下难看的疤痕，可能降低</t>
    </r>
    <r>
      <rPr>
        <sz val="14"/>
        <color rgb="FF000000"/>
        <rFont val="Resource Han Rounded CN Normal"/>
        <charset val="134"/>
      </rPr>
      <t>APP</t>
    </r>
    <r>
      <rPr>
        <sz val="14"/>
        <color rgb="FF000000"/>
        <rFont val="宋体"/>
        <charset val="134"/>
      </rPr>
      <t>（可能还有其他肉体上的慢性轻后遗症，由</t>
    </r>
    <r>
      <rPr>
        <sz val="14"/>
        <color rgb="FF000000"/>
        <rFont val="Resource Han Rounded CN Normal"/>
        <charset val="134"/>
      </rPr>
      <t>KP</t>
    </r>
    <r>
      <rPr>
        <sz val="14"/>
        <color rgb="FF000000"/>
        <rFont val="宋体"/>
        <charset val="134"/>
      </rPr>
      <t>自由裁定）。如果施法者对每回复的一点耐久值消耗</t>
    </r>
    <r>
      <rPr>
        <sz val="14"/>
        <color rgb="FF000000"/>
        <rFont val="Resource Han Rounded CN Normal"/>
        <charset val="134"/>
      </rPr>
      <t>1</t>
    </r>
    <r>
      <rPr>
        <sz val="14"/>
        <color rgb="FF000000"/>
        <rFont val="宋体"/>
        <charset val="134"/>
      </rPr>
      <t>点</t>
    </r>
    <r>
      <rPr>
        <sz val="14"/>
        <color rgb="FF000000"/>
        <rFont val="Resource Han Rounded CN Normal"/>
        <charset val="134"/>
      </rPr>
      <t>POW</t>
    </r>
    <r>
      <rPr>
        <sz val="14"/>
        <color rgb="FF000000"/>
        <rFont val="宋体"/>
        <charset val="134"/>
      </rPr>
      <t>，治愈效果才是永久的；否则效果只是暂时的，一天之后伤口会再次破裂。注意本法术不可以复活死人。</t>
    </r>
    <r>
      <rPr>
        <sz val="14"/>
        <color rgb="FF000000"/>
        <rFont val="Resource Han Rounded CN Normal"/>
        <charset val="134"/>
      </rPr>
      <t xml:space="preserve">
</t>
    </r>
    <r>
      <rPr>
        <sz val="14"/>
        <color rgb="FF000000"/>
        <rFont val="宋体"/>
        <charset val="134"/>
      </rPr>
      <t>深层魔法：本法术的一种变体可以在精神上治愈人，可以让目标回复</t>
    </r>
    <r>
      <rPr>
        <sz val="14"/>
        <color rgb="FF000000"/>
        <rFont val="Resource Han Rounded CN Normal"/>
        <charset val="134"/>
      </rPr>
      <t>2D6</t>
    </r>
    <r>
      <rPr>
        <sz val="14"/>
        <color rgb="FF000000"/>
        <rFont val="宋体"/>
        <charset val="134"/>
      </rPr>
      <t>点理智值，并治愈当前所有疯狂症状。同样地，效果是暂时的（</t>
    </r>
    <r>
      <rPr>
        <sz val="14"/>
        <color rgb="FF000000"/>
        <rFont val="Resource Han Rounded CN Normal"/>
        <charset val="134"/>
      </rPr>
      <t>24</t>
    </r>
    <r>
      <rPr>
        <sz val="14"/>
        <color rgb="FF000000"/>
        <rFont val="宋体"/>
        <charset val="134"/>
      </rPr>
      <t>小时），除非施法者对每回复的一点理智值牺牲</t>
    </r>
    <r>
      <rPr>
        <sz val="14"/>
        <color rgb="FF000000"/>
        <rFont val="Resource Han Rounded CN Normal"/>
        <charset val="134"/>
      </rPr>
      <t>1</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 xml:space="preserve">
</t>
    </r>
    <r>
      <rPr>
        <sz val="14"/>
        <color rgb="FF000000"/>
        <rFont val="宋体"/>
        <charset val="134"/>
      </rPr>
      <t>别名：病躯滋养术、祝福术、伤口愈合术</t>
    </r>
  </si>
  <si>
    <r>
      <rPr>
        <sz val="14"/>
        <color rgb="FF000000"/>
        <rFont val="Resource Han Rounded CN Normal"/>
        <charset val="134"/>
      </rPr>
      <t>1d2</t>
    </r>
    <r>
      <rPr>
        <sz val="14"/>
        <color rgb="FF000000"/>
        <rFont val="宋体"/>
        <charset val="134"/>
      </rPr>
      <t>点</t>
    </r>
  </si>
  <si>
    <r>
      <rPr>
        <sz val="14"/>
        <color rgb="FF000000"/>
        <rFont val="Resource Han Rounded CN Normal"/>
        <charset val="134"/>
      </rPr>
      <t>0/1d2</t>
    </r>
    <r>
      <rPr>
        <sz val="14"/>
        <color rgb="FF000000"/>
        <rFont val="宋体"/>
        <charset val="134"/>
      </rPr>
      <t>点</t>
    </r>
  </si>
  <si>
    <t>地下室或无窗房间，施法者全裸蹲地咏唱敲鼓至催眠状态；1d6+1只肖格纳尔·方在施法者心中出现并宣告其光荣</t>
  </si>
  <si>
    <t>WITHER LIMB</t>
  </si>
  <si>
    <t>肢体凋萎术</t>
  </si>
  <si>
    <r>
      <rPr>
        <sz val="14"/>
        <color rgb="FF000000"/>
        <rFont val="宋体"/>
        <charset val="134"/>
      </rPr>
      <t>手足</t>
    </r>
    <r>
      <rPr>
        <sz val="14"/>
        <color rgb="FF000000"/>
        <rFont val="MS Gothic"/>
        <charset val="134"/>
      </rPr>
      <t>の</t>
    </r>
    <r>
      <rPr>
        <sz val="14"/>
        <color rgb="FF000000"/>
        <rFont val="宋体"/>
        <charset val="134"/>
      </rPr>
      <t>萎縮</t>
    </r>
  </si>
  <si>
    <r>
      <rPr>
        <sz val="14"/>
        <color rgb="FF000000"/>
        <rFont val="宋体"/>
        <charset val="134"/>
      </rPr>
      <t>肢体凋萎术〔战〕</t>
    </r>
    <r>
      <rPr>
        <sz val="14"/>
        <color rgb="FF000000"/>
        <rFont val="Resource Han Rounded CN Normal"/>
        <charset val="134"/>
      </rPr>
      <t xml:space="preserve">
Wither Limb
</t>
    </r>
    <r>
      <rPr>
        <sz val="14"/>
        <color rgb="FF000000"/>
        <rFont val="宋体"/>
        <charset val="134"/>
      </rPr>
      <t>消耗：</t>
    </r>
    <r>
      <rPr>
        <sz val="14"/>
        <color rgb="FF000000"/>
        <rFont val="Resource Han Rounded CN Normal"/>
        <charset val="134"/>
      </rPr>
      <t>8</t>
    </r>
    <r>
      <rPr>
        <sz val="14"/>
        <color rgb="FF000000"/>
        <rFont val="宋体"/>
        <charset val="134"/>
      </rPr>
      <t>点魔法值；</t>
    </r>
    <r>
      <rPr>
        <sz val="14"/>
        <color rgb="FF000000"/>
        <rFont val="Resource Han Rounded CN Normal"/>
        <charset val="134"/>
      </rPr>
      <t>1D6</t>
    </r>
    <r>
      <rPr>
        <sz val="14"/>
        <color rgb="FF000000"/>
        <rFont val="宋体"/>
        <charset val="134"/>
      </rPr>
      <t>点理智值施法用时：即时</t>
    </r>
    <r>
      <rPr>
        <sz val="14"/>
        <color rgb="FF000000"/>
        <rFont val="Resource Han Rounded CN Normal"/>
        <charset val="134"/>
      </rPr>
      <t xml:space="preserve">
</t>
    </r>
    <r>
      <rPr>
        <sz val="14"/>
        <color rgb="FF000000"/>
        <rFont val="宋体"/>
        <charset val="134"/>
      </rPr>
      <t>这种恐怖法术专为折磨人而发明，会对单体目标造成永久伤害。施法者须离目标</t>
    </r>
    <r>
      <rPr>
        <sz val="14"/>
        <color rgb="FF000000"/>
        <rFont val="Resource Han Rounded CN Normal"/>
        <charset val="134"/>
      </rPr>
      <t>10</t>
    </r>
    <r>
      <rPr>
        <sz val="14"/>
        <color rgb="FF000000"/>
        <rFont val="宋体"/>
        <charset val="134"/>
      </rPr>
      <t>码以内。施法者须和目标进行一次</t>
    </r>
    <r>
      <rPr>
        <sz val="14"/>
        <color rgb="FF000000"/>
        <rFont val="Resource Han Rounded CN Normal"/>
        <charset val="134"/>
      </rPr>
      <t>POW</t>
    </r>
    <r>
      <rPr>
        <sz val="14"/>
        <color rgb="FF000000"/>
        <rFont val="宋体"/>
        <charset val="134"/>
      </rPr>
      <t>对抗检定并胜出，法术才能生效。若成功，施法者指定一只胳膊或一条腿。被指定的肢体快速、痛苦地枯萎皱缩，造成</t>
    </r>
    <r>
      <rPr>
        <sz val="14"/>
        <color rgb="FF000000"/>
        <rFont val="Resource Han Rounded CN Normal"/>
        <charset val="134"/>
      </rPr>
      <t>1D8</t>
    </r>
    <r>
      <rPr>
        <sz val="14"/>
        <color rgb="FF000000"/>
        <rFont val="宋体"/>
        <charset val="134"/>
      </rPr>
      <t>点伤害和</t>
    </r>
    <r>
      <rPr>
        <sz val="14"/>
        <color rgb="FF000000"/>
        <rFont val="Resource Han Rounded CN Normal"/>
        <charset val="134"/>
      </rPr>
      <t>2D10</t>
    </r>
    <r>
      <rPr>
        <sz val="14"/>
        <color rgb="FF000000"/>
        <rFont val="宋体"/>
        <charset val="134"/>
      </rPr>
      <t>点永久的</t>
    </r>
    <r>
      <rPr>
        <sz val="14"/>
        <color rgb="FF000000"/>
        <rFont val="Resource Han Rounded CN Normal"/>
        <charset val="134"/>
      </rPr>
      <t>CON</t>
    </r>
    <r>
      <rPr>
        <sz val="14"/>
        <color rgb="FF000000"/>
        <rFont val="宋体"/>
        <charset val="134"/>
      </rPr>
      <t>损失。目标和所有目击者须进行理智检定（损失</t>
    </r>
    <r>
      <rPr>
        <sz val="14"/>
        <color rgb="FF000000"/>
        <rFont val="Resource Han Rounded CN Normal"/>
        <charset val="134"/>
      </rPr>
      <t>0/1D3</t>
    </r>
    <r>
      <rPr>
        <sz val="14"/>
        <color rgb="FF000000"/>
        <rFont val="宋体"/>
        <charset val="134"/>
      </rPr>
      <t>点）。</t>
    </r>
    <r>
      <rPr>
        <sz val="14"/>
        <color rgb="FF000000"/>
        <rFont val="Resource Han Rounded CN Normal"/>
        <charset val="134"/>
      </rPr>
      <t xml:space="preserve">
</t>
    </r>
    <r>
      <rPr>
        <sz val="14"/>
        <color rgb="FF000000"/>
        <rFont val="宋体"/>
        <charset val="134"/>
      </rPr>
      <t>别名：痛苦之歌、皱缩汝敌、虚耗的烧灼</t>
    </r>
  </si>
  <si>
    <r>
      <rPr>
        <sz val="14"/>
        <color rgb="FF000000"/>
        <rFont val="宋体"/>
        <charset val="134"/>
      </rPr>
      <t>肖格纳尔</t>
    </r>
    <r>
      <rPr>
        <sz val="14"/>
        <color rgb="FF000000"/>
        <rFont val="Resource Han Rounded CN Normal"/>
        <charset val="134"/>
      </rPr>
      <t>·</t>
    </r>
    <r>
      <rPr>
        <sz val="14"/>
        <color rgb="FF000000"/>
        <rFont val="宋体"/>
        <charset val="134"/>
      </rPr>
      <t>方的诅咒〔害〕</t>
    </r>
  </si>
  <si>
    <r>
      <rPr>
        <sz val="14"/>
        <color rgb="FF000000"/>
        <rFont val="宋体"/>
        <charset val="134"/>
      </rPr>
      <t>每吟唱一小时</t>
    </r>
    <r>
      <rPr>
        <sz val="14"/>
        <color rgb="FF000000"/>
        <rFont val="Resource Han Rounded CN Normal"/>
        <charset val="134"/>
      </rPr>
      <t>1</t>
    </r>
    <r>
      <rPr>
        <sz val="14"/>
        <color rgb="FF000000"/>
        <rFont val="宋体"/>
        <charset val="134"/>
      </rPr>
      <t>点魔法值；每吟唱</t>
    </r>
    <r>
      <rPr>
        <sz val="14"/>
        <color rgb="FF000000"/>
        <rFont val="Resource Han Rounded CN Normal"/>
        <charset val="134"/>
      </rPr>
      <t>12</t>
    </r>
    <r>
      <rPr>
        <sz val="14"/>
        <color rgb="FF000000"/>
        <rFont val="宋体"/>
        <charset val="134"/>
      </rPr>
      <t>小时</t>
    </r>
    <r>
      <rPr>
        <sz val="14"/>
        <color rgb="FF000000"/>
        <rFont val="Resource Han Rounded CN Normal"/>
        <charset val="134"/>
      </rPr>
      <t>1D3</t>
    </r>
    <r>
      <rPr>
        <sz val="14"/>
        <color rgb="FF000000"/>
        <rFont val="宋体"/>
        <charset val="134"/>
      </rPr>
      <t>点理智值</t>
    </r>
  </si>
  <si>
    <r>
      <rPr>
        <sz val="14"/>
        <color rgb="FF000000"/>
        <rFont val="宋体"/>
        <charset val="134"/>
      </rPr>
      <t>每星期吟唱</t>
    </r>
    <r>
      <rPr>
        <sz val="14"/>
        <color rgb="FF000000"/>
        <rFont val="Resource Han Rounded CN Normal"/>
        <charset val="134"/>
      </rPr>
      <t>12</t>
    </r>
    <r>
      <rPr>
        <sz val="14"/>
        <color rgb="FF000000"/>
        <rFont val="宋体"/>
        <charset val="134"/>
      </rPr>
      <t>小时（</t>
    </r>
    <r>
      <rPr>
        <sz val="14"/>
        <color rgb="FF000000"/>
        <rFont val="Resource Han Rounded CN Normal"/>
        <charset val="134"/>
      </rPr>
      <t>2+</t>
    </r>
    <r>
      <rPr>
        <sz val="14"/>
        <color rgb="FF000000"/>
        <rFont val="宋体"/>
        <charset val="134"/>
      </rPr>
      <t>周）</t>
    </r>
  </si>
  <si>
    <r>
      <rPr>
        <sz val="14"/>
        <color rgb="FF000000"/>
        <rFont val="宋体"/>
        <charset val="134"/>
      </rPr>
      <t>肖格纳尔</t>
    </r>
    <r>
      <rPr>
        <sz val="14"/>
        <color rgb="FF000000"/>
        <rFont val="Resource Han Rounded CN Normal"/>
        <charset val="134"/>
      </rPr>
      <t>·</t>
    </r>
    <r>
      <rPr>
        <sz val="14"/>
        <color rgb="FF000000"/>
        <rFont val="宋体"/>
        <charset val="134"/>
      </rPr>
      <t>方的祝福之触、后藏、黑梦、最古血仆的狂热睡眠</t>
    </r>
  </si>
  <si>
    <t>BIND ENEMY</t>
  </si>
  <si>
    <t>敌人束缚术</t>
  </si>
  <si>
    <r>
      <rPr>
        <sz val="14"/>
        <color rgb="FF000000"/>
        <rFont val="宋体"/>
        <charset val="134"/>
      </rPr>
      <t>敵</t>
    </r>
    <r>
      <rPr>
        <sz val="14"/>
        <color rgb="FF000000"/>
        <rFont val="MS Gothic"/>
        <charset val="134"/>
      </rPr>
      <t>の</t>
    </r>
    <r>
      <rPr>
        <sz val="14"/>
        <color rgb="FF000000"/>
        <rFont val="宋体"/>
        <charset val="134"/>
      </rPr>
      <t>拘束</t>
    </r>
  </si>
  <si>
    <r>
      <rPr>
        <sz val="14"/>
        <color rgb="FF000000"/>
        <rFont val="宋体"/>
        <charset val="134"/>
      </rPr>
      <t>敌人束缚术〔支〕</t>
    </r>
    <r>
      <rPr>
        <sz val="14"/>
        <color rgb="FF000000"/>
        <rFont val="Resource Han Rounded CN Normal"/>
        <charset val="134"/>
      </rPr>
      <t xml:space="preserve">
Bind Enemy
</t>
    </r>
    <r>
      <rPr>
        <sz val="14"/>
        <color rgb="FF000000"/>
        <rFont val="宋体"/>
        <charset val="134"/>
      </rPr>
      <t>消耗：可变的魔法值；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天</t>
    </r>
    <r>
      <rPr>
        <sz val="14"/>
        <color rgb="FF000000"/>
        <rFont val="Resource Han Rounded CN Normal"/>
        <charset val="134"/>
      </rPr>
      <t xml:space="preserve">
</t>
    </r>
    <r>
      <rPr>
        <sz val="14"/>
        <color rgb="FF000000"/>
        <rFont val="宋体"/>
        <charset val="134"/>
      </rPr>
      <t>使得目标在接下来的七天当中，不论用物理攻击还是魔法攻击都不能对施法者造成伤害。施法者将可变的魔法值牺牲到一个目标的小塑像当中，他投往的魔法值必须比目标拥有的魔法值多，法术才能生效。施法者须和目标进行一次</t>
    </r>
    <r>
      <rPr>
        <sz val="14"/>
        <color rgb="FF000000"/>
        <rFont val="Resource Han Rounded CN Normal"/>
        <charset val="134"/>
      </rPr>
      <t>POW</t>
    </r>
    <r>
      <rPr>
        <sz val="14"/>
        <color rgb="FF000000"/>
        <rFont val="宋体"/>
        <charset val="134"/>
      </rPr>
      <t>对抗检定并胜出，法术才能生效。若目标胜出，法术无效。</t>
    </r>
    <r>
      <rPr>
        <sz val="14"/>
        <color rgb="FF000000"/>
        <rFont val="Resource Han Rounded CN Normal"/>
        <charset val="134"/>
      </rPr>
      <t xml:space="preserve">
</t>
    </r>
    <r>
      <rPr>
        <sz val="14"/>
        <color rgb="FF000000"/>
        <rFont val="宋体"/>
        <charset val="134"/>
      </rPr>
      <t>通常需要一天的时间收集材料、制造塑像，然后吟唱咒语并将魔法值投入塑像中。塑像必须包含目标身体的一部分（可以是几根头发、指甲、血液或者其他东西）。</t>
    </r>
    <r>
      <rPr>
        <sz val="14"/>
        <color rgb="FF000000"/>
        <rFont val="Resource Han Rounded CN Normal"/>
        <charset val="134"/>
      </rPr>
      <t xml:space="preserve">
</t>
    </r>
    <r>
      <rPr>
        <sz val="14"/>
        <color rgb="FF000000"/>
        <rFont val="宋体"/>
        <charset val="134"/>
      </rPr>
      <t>如果施法者攻击目标或者塑像被破坏，法术终止。</t>
    </r>
    <r>
      <rPr>
        <sz val="14"/>
        <color rgb="FF000000"/>
        <rFont val="Resource Han Rounded CN Normal"/>
        <charset val="134"/>
      </rPr>
      <t xml:space="preserve">
</t>
    </r>
    <r>
      <rPr>
        <sz val="14"/>
        <color rgb="FF000000"/>
        <rFont val="宋体"/>
        <charset val="134"/>
      </rPr>
      <t>别名：驱逐汝敌、暗黑协定、威权仪式</t>
    </r>
  </si>
  <si>
    <t>Implant Suggestion</t>
  </si>
  <si>
    <t>对异种混血的人类进行强制暗示，冷原居民、与深潜者的混血、食尸鬼换走的孩子、“小矮人”（妖精、小妖精）</t>
  </si>
  <si>
    <r>
      <rPr>
        <sz val="14"/>
        <color rgb="FF000000"/>
        <rFont val="宋体"/>
        <charset val="134"/>
      </rPr>
      <t>不超过</t>
    </r>
    <r>
      <rPr>
        <sz val="14"/>
        <color rgb="FF000000"/>
        <rFont val="Resource Han Rounded CN Normal"/>
        <charset val="134"/>
      </rPr>
      <t>10</t>
    </r>
    <r>
      <rPr>
        <sz val="14"/>
        <color rgb="FF000000"/>
        <rFont val="宋体"/>
        <charset val="134"/>
      </rPr>
      <t>码，2轮</t>
    </r>
  </si>
  <si>
    <t>意志值对抗，根据暗示内容不同而变化</t>
  </si>
  <si>
    <t>CHIME OF TEZCHAPTL</t>
  </si>
  <si>
    <t>特兹查普特尔之铃</t>
  </si>
  <si>
    <t>テツチャプトルのチャイム</t>
  </si>
  <si>
    <r>
      <rPr>
        <sz val="14"/>
        <color rgb="FF000000"/>
        <rFont val="宋体"/>
        <charset val="134"/>
      </rPr>
      <t>特兹查普特尔之铃〔保〕</t>
    </r>
    <r>
      <rPr>
        <sz val="14"/>
        <color rgb="FF000000"/>
        <rFont val="Resource Han Rounded CN Normal"/>
        <charset val="134"/>
      </rPr>
      <t xml:space="preserve">
Chime of Tezchaptl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6</t>
    </r>
    <r>
      <rPr>
        <sz val="14"/>
        <color rgb="FF000000"/>
        <rFont val="宋体"/>
        <charset val="134"/>
      </rPr>
      <t>小时</t>
    </r>
    <r>
      <rPr>
        <sz val="14"/>
        <color rgb="FF000000"/>
        <rFont val="Resource Han Rounded CN Normal"/>
        <charset val="134"/>
      </rPr>
      <t xml:space="preserve">
</t>
    </r>
    <r>
      <rPr>
        <sz val="14"/>
        <color rgb="FF000000"/>
        <rFont val="宋体"/>
        <charset val="134"/>
      </rPr>
      <t>施法者对一只银、金、铁等单质金属制造的小铃铛或小钟进行附魔。制造地点每有</t>
    </r>
    <r>
      <rPr>
        <sz val="14"/>
        <color rgb="FF000000"/>
        <rFont val="Resource Han Rounded CN Normal"/>
        <charset val="134"/>
      </rPr>
      <t>100</t>
    </r>
    <r>
      <rPr>
        <sz val="14"/>
        <color rgb="FF000000"/>
        <rFont val="宋体"/>
        <charset val="134"/>
      </rPr>
      <t>英尺（约</t>
    </r>
    <r>
      <rPr>
        <sz val="14"/>
        <color rgb="FF000000"/>
        <rFont val="Resource Han Rounded CN Normal"/>
        <charset val="134"/>
      </rPr>
      <t>30.5</t>
    </r>
    <r>
      <rPr>
        <sz val="14"/>
        <color rgb="FF000000"/>
        <rFont val="宋体"/>
        <charset val="134"/>
      </rPr>
      <t>米）海拔，造出钟的有效度就上升一个百分点：在</t>
    </r>
    <r>
      <rPr>
        <sz val="14"/>
        <color rgb="FF000000"/>
        <rFont val="Resource Han Rounded CN Normal"/>
        <charset val="134"/>
      </rPr>
      <t>5500</t>
    </r>
    <r>
      <rPr>
        <sz val="14"/>
        <color rgb="FF000000"/>
        <rFont val="宋体"/>
        <charset val="134"/>
      </rPr>
      <t>英尺（约</t>
    </r>
    <r>
      <rPr>
        <sz val="14"/>
        <color rgb="FF000000"/>
        <rFont val="Resource Han Rounded CN Normal"/>
        <charset val="134"/>
      </rPr>
      <t>1676</t>
    </r>
    <r>
      <rPr>
        <sz val="14"/>
        <color rgb="FF000000"/>
        <rFont val="宋体"/>
        <charset val="134"/>
      </rPr>
      <t>米）制造的钟响起时，有</t>
    </r>
    <r>
      <rPr>
        <sz val="14"/>
        <color rgb="FF000000"/>
        <rFont val="Resource Han Rounded CN Normal"/>
        <charset val="134"/>
      </rPr>
      <t>55%</t>
    </r>
    <r>
      <rPr>
        <sz val="14"/>
        <color rgb="FF000000"/>
        <rFont val="宋体"/>
        <charset val="134"/>
      </rPr>
      <t>的几率生效。并且，施法者还须通过</t>
    </r>
    <r>
      <rPr>
        <sz val="14"/>
        <color rgb="FF000000"/>
        <rFont val="Resource Han Rounded CN Normal"/>
        <charset val="134"/>
      </rPr>
      <t>“</t>
    </r>
    <r>
      <rPr>
        <sz val="14"/>
        <color rgb="FF000000"/>
        <rFont val="宋体"/>
        <charset val="134"/>
      </rPr>
      <t>不可名状的诺言</t>
    </r>
    <r>
      <rPr>
        <sz val="14"/>
        <color rgb="FF000000"/>
        <rFont val="Resource Han Rounded CN Normal"/>
        <charset val="134"/>
      </rPr>
      <t>”(P182)</t>
    </r>
    <r>
      <rPr>
        <sz val="14"/>
        <color rgb="FF000000"/>
        <rFont val="宋体"/>
        <charset val="134"/>
      </rPr>
      <t>，危及自己的理智和性命。</t>
    </r>
    <r>
      <rPr>
        <sz val="14"/>
        <color rgb="FF000000"/>
        <rFont val="Resource Han Rounded CN Normal"/>
        <charset val="134"/>
      </rPr>
      <t xml:space="preserve">
</t>
    </r>
    <r>
      <rPr>
        <sz val="14"/>
        <color rgb="FF000000"/>
        <rFont val="宋体"/>
        <charset val="134"/>
      </rPr>
      <t>制成的钟可以抵抗许多需要歌唱或音乐来施法的法术，例如</t>
    </r>
    <r>
      <rPr>
        <sz val="14"/>
        <color rgb="FF000000"/>
        <rFont val="Resource Han Rounded CN Normal"/>
        <charset val="134"/>
      </rPr>
      <t>“</t>
    </r>
    <r>
      <rPr>
        <sz val="14"/>
        <color rgb="FF000000"/>
        <rFont val="宋体"/>
        <charset val="134"/>
      </rPr>
      <t>哈斯塔释放术</t>
    </r>
    <r>
      <rPr>
        <sz val="14"/>
        <color rgb="FF000000"/>
        <rFont val="Resource Han Rounded CN Normal"/>
        <charset val="134"/>
      </rPr>
      <t>”“</t>
    </r>
    <r>
      <rPr>
        <sz val="14"/>
        <color rgb="FF000000"/>
        <rFont val="宋体"/>
        <charset val="134"/>
      </rPr>
      <t>哈斯塔之歌</t>
    </r>
    <r>
      <rPr>
        <sz val="14"/>
        <color rgb="FF000000"/>
        <rFont val="Resource Han Rounded CN Normal"/>
        <charset val="134"/>
      </rPr>
      <t>”“</t>
    </r>
    <r>
      <rPr>
        <sz val="14"/>
        <color rgb="FF000000"/>
        <rFont val="宋体"/>
        <charset val="134"/>
      </rPr>
      <t>抑光术</t>
    </r>
    <r>
      <rPr>
        <sz val="14"/>
        <color rgb="FF000000"/>
        <rFont val="Resource Han Rounded CN Normal"/>
        <charset val="134"/>
      </rPr>
      <t>”</t>
    </r>
    <r>
      <rPr>
        <sz val="14"/>
        <color rgb="FF000000"/>
        <rFont val="宋体"/>
        <charset val="134"/>
      </rPr>
      <t>和</t>
    </r>
    <r>
      <rPr>
        <sz val="14"/>
        <color rgb="FF000000"/>
        <rFont val="Resource Han Rounded CN Normal"/>
        <charset val="134"/>
      </rPr>
      <t>“</t>
    </r>
    <r>
      <rPr>
        <sz val="14"/>
        <color rgb="FF000000"/>
        <rFont val="宋体"/>
        <charset val="134"/>
      </rPr>
      <t>灵魂之歌</t>
    </r>
    <r>
      <rPr>
        <sz val="14"/>
        <color rgb="FF000000"/>
        <rFont val="Resource Han Rounded CN Normal"/>
        <charset val="134"/>
      </rPr>
      <t>”</t>
    </r>
    <r>
      <rPr>
        <sz val="14"/>
        <color rgb="FF000000"/>
        <rFont val="宋体"/>
        <charset val="134"/>
      </rPr>
      <t>。</t>
    </r>
    <r>
      <rPr>
        <sz val="14"/>
        <color rgb="FF000000"/>
        <rFont val="Resource Han Rounded CN Normal"/>
        <charset val="134"/>
      </rPr>
      <t xml:space="preserve">
</t>
    </r>
    <r>
      <rPr>
        <sz val="14"/>
        <color rgb="FF000000"/>
        <rFont val="宋体"/>
        <charset val="134"/>
      </rPr>
      <t>轻轻鸣钟，如果</t>
    </r>
    <r>
      <rPr>
        <sz val="14"/>
        <color rgb="FF000000"/>
        <rFont val="Resource Han Rounded CN Normal"/>
        <charset val="134"/>
      </rPr>
      <t>D100</t>
    </r>
    <r>
      <rPr>
        <sz val="14"/>
        <color rgb="FF000000"/>
        <rFont val="宋体"/>
        <charset val="134"/>
      </rPr>
      <t>检定值在钟的成功率以下，则钟会吸收一个法术。在钟吸收魔法时，它的金属材质会发出特殊的光泽，钟的音色也会变化。吸收完一个法术之后，它可以将这个法术的本质保留</t>
    </r>
    <r>
      <rPr>
        <sz val="14"/>
        <color rgb="FF000000"/>
        <rFont val="Resource Han Rounded CN Normal"/>
        <charset val="134"/>
      </rPr>
      <t>2D6</t>
    </r>
    <r>
      <rPr>
        <sz val="14"/>
        <color rgb="FF000000"/>
        <rFont val="宋体"/>
        <charset val="134"/>
      </rPr>
      <t>分钟。在这个时间内，持有钟的人可以大声鸣钟，让钟内的魔法力量猛烈地释放出来回到原施法者的身上，吸收的法术每需要</t>
    </r>
    <r>
      <rPr>
        <sz val="14"/>
        <color rgb="FF000000"/>
        <rFont val="Resource Han Rounded CN Normal"/>
        <charset val="134"/>
      </rPr>
      <t>2</t>
    </r>
    <r>
      <rPr>
        <sz val="14"/>
        <color rgb="FF000000"/>
        <rFont val="宋体"/>
        <charset val="134"/>
      </rPr>
      <t>点魔法值施放，就可以造成</t>
    </r>
    <r>
      <rPr>
        <sz val="14"/>
        <color rgb="FF000000"/>
        <rFont val="Resource Han Rounded CN Normal"/>
        <charset val="134"/>
      </rPr>
      <t>1D6</t>
    </r>
    <r>
      <rPr>
        <sz val="14"/>
        <color rgb="FF000000"/>
        <rFont val="宋体"/>
        <charset val="134"/>
      </rPr>
      <t>点耐久值伤害。这种鸣钟方式不需要额外的消耗或检定。目击法术能量的反弹可能造成理智损失。</t>
    </r>
    <r>
      <rPr>
        <sz val="14"/>
        <color rgb="FF000000"/>
        <rFont val="Resource Han Rounded CN Normal"/>
        <charset val="134"/>
      </rPr>
      <t xml:space="preserve">
</t>
    </r>
    <r>
      <rPr>
        <sz val="14"/>
        <color rgb="FF000000"/>
        <rFont val="宋体"/>
        <charset val="134"/>
      </rPr>
      <t>别名：吟游歌手的反击、和谐的协调、伶人之铃</t>
    </r>
  </si>
  <si>
    <t>治愈法（民俗）〔民〕</t>
  </si>
  <si>
    <r>
      <rPr>
        <sz val="14"/>
        <color rgb="FF000000"/>
        <rFont val="Resource Han Rounded CN Normal"/>
        <charset val="134"/>
      </rPr>
      <t>12</t>
    </r>
    <r>
      <rPr>
        <sz val="14"/>
        <color rgb="FF000000"/>
        <rFont val="宋体"/>
        <charset val="134"/>
      </rPr>
      <t>点魔法值；可变的</t>
    </r>
    <r>
      <rPr>
        <sz val="14"/>
        <color rgb="FF000000"/>
        <rFont val="Resource Han Rounded CN Normal"/>
        <charset val="134"/>
      </rPr>
      <t>POW</t>
    </r>
    <r>
      <rPr>
        <sz val="14"/>
        <color rgb="FF000000"/>
        <rFont val="宋体"/>
        <charset val="134"/>
      </rPr>
      <t>；</t>
    </r>
    <r>
      <rPr>
        <sz val="14"/>
        <color rgb="FF000000"/>
        <rFont val="Resource Han Rounded CN Normal"/>
        <charset val="134"/>
      </rPr>
      <t>1</t>
    </r>
    <r>
      <rPr>
        <sz val="14"/>
        <color rgb="FF000000"/>
        <rFont val="宋体"/>
        <charset val="134"/>
      </rPr>
      <t>点理智值</t>
    </r>
  </si>
  <si>
    <r>
      <rPr>
        <sz val="14"/>
        <color rgb="FF000000"/>
        <rFont val="Resource Han Rounded CN Normal"/>
        <charset val="134"/>
      </rPr>
      <t>2D6</t>
    </r>
    <r>
      <rPr>
        <sz val="14"/>
        <color rgb="FF000000"/>
        <rFont val="宋体"/>
        <charset val="134"/>
      </rPr>
      <t>轮</t>
    </r>
  </si>
  <si>
    <t>病躯滋养术、祝福术、伤口愈合术</t>
  </si>
  <si>
    <t>ALTER WEATHER</t>
  </si>
  <si>
    <t>天气改换术</t>
  </si>
  <si>
    <r>
      <rPr>
        <sz val="14"/>
        <color rgb="FF000000"/>
        <rFont val="宋体"/>
        <charset val="134"/>
      </rPr>
      <t>天候</t>
    </r>
    <r>
      <rPr>
        <sz val="14"/>
        <color rgb="FF000000"/>
        <rFont val="MS Gothic"/>
        <charset val="134"/>
      </rPr>
      <t>を</t>
    </r>
    <r>
      <rPr>
        <sz val="14"/>
        <color rgb="FF000000"/>
        <rFont val="宋体"/>
        <charset val="134"/>
      </rPr>
      <t>変</t>
    </r>
    <r>
      <rPr>
        <sz val="14"/>
        <color rgb="FF000000"/>
        <rFont val="MS Gothic"/>
        <charset val="134"/>
      </rPr>
      <t>える</t>
    </r>
  </si>
  <si>
    <r>
      <rPr>
        <sz val="14"/>
        <color rgb="FF000000"/>
        <rFont val="宋体"/>
        <charset val="134"/>
      </rPr>
      <t>天气改换术〔环〕</t>
    </r>
    <r>
      <rPr>
        <sz val="14"/>
        <color rgb="FF000000"/>
        <rFont val="Resource Han Rounded CN Normal"/>
        <charset val="134"/>
      </rPr>
      <t xml:space="preserve">
Alter Weather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t>
    </r>
    <r>
      <rPr>
        <sz val="14"/>
        <color rgb="FF000000"/>
        <rFont val="宋体"/>
        <charset val="134"/>
      </rPr>
      <t>分钟</t>
    </r>
    <r>
      <rPr>
        <sz val="14"/>
        <color rgb="FF000000"/>
        <rFont val="Resource Han Rounded CN Normal"/>
        <charset val="134"/>
      </rPr>
      <t xml:space="preserve">
</t>
    </r>
    <r>
      <rPr>
        <sz val="14"/>
        <color rgb="FF000000"/>
        <rFont val="宋体"/>
        <charset val="134"/>
      </rPr>
      <t>缓和或恶化天气。可以由大群人施放，达成更大的气象学效果。</t>
    </r>
    <r>
      <rPr>
        <sz val="14"/>
        <color rgb="FF000000"/>
        <rFont val="Resource Han Rounded CN Normal"/>
        <charset val="134"/>
      </rPr>
      <t>KP</t>
    </r>
    <r>
      <rPr>
        <sz val="14"/>
        <color rgb="FF000000"/>
        <rFont val="宋体"/>
        <charset val="134"/>
      </rPr>
      <t>设定基本天气。每牺牲</t>
    </r>
    <r>
      <rPr>
        <sz val="14"/>
        <color rgb="FF000000"/>
        <rFont val="Resource Han Rounded CN Normal"/>
        <charset val="134"/>
      </rPr>
      <t>10</t>
    </r>
    <r>
      <rPr>
        <sz val="14"/>
        <color rgb="FF000000"/>
        <rFont val="宋体"/>
        <charset val="134"/>
      </rPr>
      <t>点魔法值，就能达成一档变化（见下表）。施法者可以消耗他们能消耗的任意多魔法值，每个知道本法术的参与者都能消耗。不知道本法术的参与者每人只能贡献</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 xml:space="preserve">
</t>
    </r>
    <r>
      <rPr>
        <sz val="14"/>
        <color rgb="FF000000"/>
        <rFont val="宋体"/>
        <charset val="134"/>
      </rPr>
      <t>施放本法术消耗每名参与者</t>
    </r>
    <r>
      <rPr>
        <sz val="14"/>
        <color rgb="FF000000"/>
        <rFont val="Resource Han Rounded CN Normal"/>
        <charset val="134"/>
      </rPr>
      <t>1</t>
    </r>
    <r>
      <rPr>
        <sz val="14"/>
        <color rgb="FF000000"/>
        <rFont val="宋体"/>
        <charset val="134"/>
      </rPr>
      <t>点理智值，并且每改变一档天气，都需要吟唱三分钟似歌的咒语。法术的基本有效范围是半径两英里；每增加</t>
    </r>
    <r>
      <rPr>
        <sz val="14"/>
        <color rgb="FF000000"/>
        <rFont val="Resource Han Rounded CN Normal"/>
        <charset val="134"/>
      </rPr>
      <t>10</t>
    </r>
    <r>
      <rPr>
        <sz val="14"/>
        <color rgb="FF000000"/>
        <rFont val="宋体"/>
        <charset val="134"/>
      </rPr>
      <t>点魔法值的消耗，范围便可扩大一英里。法术总消耗每有</t>
    </r>
    <r>
      <rPr>
        <sz val="14"/>
        <color rgb="FF000000"/>
        <rFont val="Resource Han Rounded CN Normal"/>
        <charset val="134"/>
      </rPr>
      <t>10</t>
    </r>
    <r>
      <rPr>
        <sz val="14"/>
        <color rgb="FF000000"/>
        <rFont val="宋体"/>
        <charset val="134"/>
      </rPr>
      <t>点魔法值，天气变化就持续</t>
    </r>
    <r>
      <rPr>
        <sz val="14"/>
        <color rgb="FF000000"/>
        <rFont val="Resource Han Rounded CN Normal"/>
        <charset val="134"/>
      </rPr>
      <t>30</t>
    </r>
    <r>
      <rPr>
        <sz val="14"/>
        <color rgb="FF000000"/>
        <rFont val="宋体"/>
        <charset val="134"/>
      </rPr>
      <t>分钟，但龙卷风之类的极端天气持续时间会短得多。</t>
    </r>
    <r>
      <rPr>
        <sz val="14"/>
        <color rgb="FF000000"/>
        <rFont val="Resource Han Rounded CN Normal"/>
        <charset val="134"/>
      </rPr>
      <t xml:space="preserve">
</t>
    </r>
    <r>
      <rPr>
        <sz val="14"/>
        <color rgb="FF000000"/>
        <rFont val="宋体"/>
        <charset val="134"/>
      </rPr>
      <t>可以改变五种天气成分，每种效果都分若干档。每改变一档需要消耗</t>
    </r>
    <r>
      <rPr>
        <sz val="14"/>
        <color rgb="FF000000"/>
        <rFont val="Resource Han Rounded CN Normal"/>
        <charset val="134"/>
      </rPr>
      <t>10</t>
    </r>
    <r>
      <rPr>
        <sz val="14"/>
        <color rgb="FF000000"/>
        <rFont val="宋体"/>
        <charset val="134"/>
      </rPr>
      <t>点魔法值，所以从</t>
    </r>
    <r>
      <rPr>
        <sz val="14"/>
        <color rgb="FF000000"/>
        <rFont val="Resource Han Rounded CN Normal"/>
        <charset val="134"/>
      </rPr>
      <t>“</t>
    </r>
    <r>
      <rPr>
        <sz val="14"/>
        <color rgb="FF000000"/>
        <rFont val="宋体"/>
        <charset val="134"/>
      </rPr>
      <t>少云</t>
    </r>
    <r>
      <rPr>
        <sz val="14"/>
        <color rgb="FF000000"/>
        <rFont val="Resource Han Rounded CN Normal"/>
        <charset val="134"/>
      </rPr>
      <t>”</t>
    </r>
    <r>
      <rPr>
        <sz val="14"/>
        <color rgb="FF000000"/>
        <rFont val="宋体"/>
        <charset val="134"/>
      </rPr>
      <t>变成</t>
    </r>
    <r>
      <rPr>
        <sz val="14"/>
        <color rgb="FF000000"/>
        <rFont val="Resource Han Rounded CN Normal"/>
        <charset val="134"/>
      </rPr>
      <t>“</t>
    </r>
    <r>
      <rPr>
        <sz val="14"/>
        <color rgb="FF000000"/>
        <rFont val="宋体"/>
        <charset val="134"/>
      </rPr>
      <t>阴</t>
    </r>
    <r>
      <rPr>
        <sz val="14"/>
        <color rgb="FF000000"/>
        <rFont val="Resource Han Rounded CN Normal"/>
        <charset val="134"/>
      </rPr>
      <t>”</t>
    </r>
    <r>
      <rPr>
        <sz val="14"/>
        <color rgb="FF000000"/>
        <rFont val="宋体"/>
        <charset val="134"/>
      </rPr>
      <t>需要改变两档，消耗</t>
    </r>
    <r>
      <rPr>
        <sz val="14"/>
        <color rgb="FF000000"/>
        <rFont val="Resource Han Rounded CN Normal"/>
        <charset val="134"/>
      </rPr>
      <t>20</t>
    </r>
    <r>
      <rPr>
        <sz val="14"/>
        <color rgb="FF000000"/>
        <rFont val="宋体"/>
        <charset val="134"/>
      </rPr>
      <t>点魔法值。若要降雪，气温必须要在</t>
    </r>
    <r>
      <rPr>
        <sz val="14"/>
        <color rgb="FF000000"/>
        <rFont val="Resource Han Rounded CN Normal"/>
        <charset val="134"/>
      </rPr>
      <t>30</t>
    </r>
    <r>
      <rPr>
        <sz val="14"/>
        <color rgb="FF000000"/>
        <rFont val="宋体"/>
        <charset val="134"/>
      </rPr>
      <t>华氏度（约</t>
    </r>
    <r>
      <rPr>
        <sz val="14"/>
        <color rgb="FF000000"/>
        <rFont val="Resource Han Rounded CN Normal"/>
        <charset val="134"/>
      </rPr>
      <t>0</t>
    </r>
    <r>
      <rPr>
        <sz val="14"/>
        <color rgb="FF000000"/>
        <rFont val="宋体"/>
        <charset val="134"/>
      </rPr>
      <t>℃）以下，否则将会降雨而不降雪。</t>
    </r>
    <r>
      <rPr>
        <sz val="14"/>
        <color rgb="FF000000"/>
        <rFont val="Resource Han Rounded CN Normal"/>
        <charset val="134"/>
      </rPr>
      <t xml:space="preserve">
</t>
    </r>
    <r>
      <rPr>
        <sz val="14"/>
        <color rgb="FF000000"/>
        <rFont val="宋体"/>
        <charset val="134"/>
      </rPr>
      <t>别名：掌控元素、雨之舞、风暴聚集者</t>
    </r>
  </si>
  <si>
    <t>肢体凋萎术〔战〕</t>
  </si>
  <si>
    <t>痛苦之歌、皱缩汝敌、虚耗的烧灼</t>
  </si>
  <si>
    <t>BLESS BLADE</t>
  </si>
  <si>
    <t>刀锋祝福术</t>
  </si>
  <si>
    <r>
      <rPr>
        <sz val="14"/>
        <color rgb="FF000000"/>
        <rFont val="宋体"/>
        <charset val="134"/>
      </rPr>
      <t>刀身</t>
    </r>
    <r>
      <rPr>
        <sz val="14"/>
        <color rgb="FF000000"/>
        <rFont val="MS Gothic"/>
        <charset val="134"/>
      </rPr>
      <t>を</t>
    </r>
    <r>
      <rPr>
        <sz val="14"/>
        <color rgb="FF000000"/>
        <rFont val="宋体"/>
        <charset val="134"/>
      </rPr>
      <t>清</t>
    </r>
    <r>
      <rPr>
        <sz val="14"/>
        <color rgb="FF000000"/>
        <rFont val="MS Gothic"/>
        <charset val="134"/>
      </rPr>
      <t>める</t>
    </r>
  </si>
  <si>
    <r>
      <rPr>
        <sz val="14"/>
        <color rgb="FF000000"/>
        <rFont val="宋体"/>
        <charset val="134"/>
      </rPr>
      <t>刀锋祝福术〔附〕</t>
    </r>
    <r>
      <rPr>
        <sz val="14"/>
        <color rgb="FF000000"/>
        <rFont val="Resource Han Rounded CN Normal"/>
        <charset val="134"/>
      </rPr>
      <t xml:space="preserve">
Bless Blade
</t>
    </r>
    <r>
      <rPr>
        <sz val="14"/>
        <color rgb="FF000000"/>
        <rFont val="宋体"/>
        <charset val="134"/>
      </rPr>
      <t>消耗：</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施法用时：（至少）</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制造一把武器（刀剑等），可以伤害或杀死</t>
    </r>
    <r>
      <rPr>
        <sz val="14"/>
        <color rgb="FF000000"/>
        <rFont val="Resource Han Rounded CN Normal"/>
        <charset val="134"/>
      </rPr>
      <t xml:space="preserve">
</t>
    </r>
    <r>
      <rPr>
        <sz val="14"/>
        <color rgb="FF000000"/>
        <rFont val="宋体"/>
        <charset val="134"/>
      </rPr>
      <t>那些平凡的武器无法伤害到的存在。需要至少</t>
    </r>
    <r>
      <rPr>
        <sz val="14"/>
        <color rgb="FF000000"/>
        <rFont val="Resource Han Rounded CN Normal"/>
        <charset val="134"/>
      </rPr>
      <t>SIZ50</t>
    </r>
    <r>
      <rPr>
        <sz val="14"/>
        <color rgb="FF000000"/>
        <rFont val="宋体"/>
        <charset val="134"/>
      </rPr>
      <t>的（一只或多只）动物进行血祭。刀锋必须是铁、银之类的单质金属。施法完成后，施法者的</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会被投入武器当中。</t>
    </r>
    <r>
      <rPr>
        <sz val="14"/>
        <color rgb="FF000000"/>
        <rFont val="Resource Han Rounded CN Normal"/>
        <charset val="134"/>
      </rPr>
      <t xml:space="preserve">
</t>
    </r>
    <r>
      <rPr>
        <sz val="14"/>
        <color rgb="FF000000"/>
        <rFont val="宋体"/>
        <charset val="134"/>
      </rPr>
      <t>如果刀具破损、熔化或者因其他原因损坏，它即永久失去魔法能力；但是它不会因为攻击超自然存在而受损，效用（造成的伤害）遵从武器的种类。</t>
    </r>
    <r>
      <rPr>
        <sz val="14"/>
        <color rgb="FF000000"/>
        <rFont val="Resource Han Rounded CN Normal"/>
        <charset val="134"/>
      </rPr>
      <t xml:space="preserve">
</t>
    </r>
    <r>
      <rPr>
        <sz val="14"/>
        <color rgb="FF000000"/>
        <rFont val="宋体"/>
        <charset val="134"/>
      </rPr>
      <t>别名：旧力灌注、七切之仪式、灵魂毒药</t>
    </r>
  </si>
  <si>
    <t>敌人束缚术〔支〕</t>
  </si>
  <si>
    <t>驱逐汝敌、暗黑协定、威权仪式</t>
  </si>
  <si>
    <t>COMMAND ANIMAL</t>
  </si>
  <si>
    <t>动物号令法</t>
  </si>
  <si>
    <r>
      <rPr>
        <sz val="14"/>
        <color rgb="FF000000"/>
        <rFont val="宋体"/>
        <charset val="134"/>
      </rPr>
      <t>動物</t>
    </r>
    <r>
      <rPr>
        <sz val="14"/>
        <color rgb="FF000000"/>
        <rFont val="MS Gothic"/>
        <charset val="134"/>
      </rPr>
      <t>に</t>
    </r>
    <r>
      <rPr>
        <sz val="14"/>
        <color rgb="FF000000"/>
        <rFont val="宋体"/>
        <charset val="134"/>
      </rPr>
      <t>命令</t>
    </r>
    <r>
      <rPr>
        <sz val="14"/>
        <color rgb="FF000000"/>
        <rFont val="MS Gothic"/>
        <charset val="134"/>
      </rPr>
      <t>する</t>
    </r>
  </si>
  <si>
    <r>
      <rPr>
        <sz val="14"/>
        <color rgb="FF000000"/>
        <rFont val="宋体"/>
        <charset val="134"/>
      </rPr>
      <t>动物号令法（民俗）〔民〕</t>
    </r>
    <r>
      <rPr>
        <sz val="14"/>
        <color rgb="FF000000"/>
        <rFont val="Resource Han Rounded CN Normal"/>
        <charset val="134"/>
      </rPr>
      <t xml:space="preserve">
Command Animal
</t>
    </r>
    <r>
      <rPr>
        <sz val="14"/>
        <color rgb="FF000000"/>
        <rFont val="宋体"/>
        <charset val="134"/>
      </rPr>
      <t>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1D3</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施法者可以命令特定物种的动物执行一项命令。本法术的每个版本都专门应对一种动物的召唤和命令；因此</t>
    </r>
    <r>
      <rPr>
        <sz val="14"/>
        <color rgb="FF000000"/>
        <rFont val="Resource Han Rounded CN Normal"/>
        <charset val="134"/>
      </rPr>
      <t>“</t>
    </r>
    <r>
      <rPr>
        <sz val="14"/>
        <color rgb="FF000000"/>
        <rFont val="宋体"/>
        <charset val="134"/>
      </rPr>
      <t>乌鸦号令法</t>
    </r>
    <r>
      <rPr>
        <sz val="14"/>
        <color rgb="FF000000"/>
        <rFont val="Resource Han Rounded CN Normal"/>
        <charset val="134"/>
      </rPr>
      <t>”</t>
    </r>
    <r>
      <rPr>
        <sz val="14"/>
        <color rgb="FF000000"/>
        <rFont val="宋体"/>
        <charset val="134"/>
      </rPr>
      <t>只对鸦属动物有效，类推。可能存在对应任何自然动物的号令术，包括：</t>
    </r>
    <r>
      <rPr>
        <sz val="14"/>
        <color rgb="FF000000"/>
        <rFont val="Resource Han Rounded CN Normal"/>
        <charset val="134"/>
      </rPr>
      <t xml:space="preserve">
</t>
    </r>
    <r>
      <rPr>
        <sz val="14"/>
        <color rgb="FF000000"/>
        <rFont val="宋体"/>
        <charset val="134"/>
      </rPr>
      <t>非洲行军蚁、绿曼巴蛇、豹、乌鸦、蛇、鲨和蛛猴等。</t>
    </r>
    <r>
      <rPr>
        <sz val="14"/>
        <color rgb="FF000000"/>
        <rFont val="Resource Han Rounded CN Normal"/>
        <charset val="134"/>
      </rPr>
      <t xml:space="preserve">
</t>
    </r>
    <r>
      <rPr>
        <sz val="14"/>
        <color rgb="FF000000"/>
        <rFont val="宋体"/>
        <charset val="134"/>
      </rPr>
      <t>命令会自然得到回复，目标动物用自然的前进方式向施法者移动。目标必须完成施法者的一项命令，甚至是攻击它的同种。命令完成以后，目标即获得自由且一天之内不得被重新命令。施法者的命令必须简单、明确、直观并且持续时间有限。目标将在施法后一轮开始执行命令。</t>
    </r>
    <r>
      <rPr>
        <sz val="14"/>
        <color rgb="FF000000"/>
        <rFont val="Resource Han Rounded CN Normal"/>
        <charset val="134"/>
      </rPr>
      <t xml:space="preserve">
</t>
    </r>
    <r>
      <rPr>
        <sz val="14"/>
        <color rgb="FF000000"/>
        <rFont val="宋体"/>
        <charset val="134"/>
      </rPr>
      <t>目标须在施法者的视野之内，命令必须是该动物可以正常完成和理解的。</t>
    </r>
    <r>
      <rPr>
        <sz val="14"/>
        <color rgb="FF000000"/>
        <rFont val="Resource Han Rounded CN Normal"/>
        <charset val="134"/>
      </rPr>
      <t>“</t>
    </r>
    <r>
      <rPr>
        <sz val="14"/>
        <color rgb="FF000000"/>
        <rFont val="宋体"/>
        <charset val="134"/>
      </rPr>
      <t>永远保护我不受伤害</t>
    </r>
    <r>
      <rPr>
        <sz val="14"/>
        <color rgb="FF000000"/>
        <rFont val="Resource Han Rounded CN Normal"/>
        <charset val="134"/>
      </rPr>
      <t>”</t>
    </r>
    <r>
      <rPr>
        <sz val="14"/>
        <color rgb="FF000000"/>
        <rFont val="宋体"/>
        <charset val="134"/>
      </rPr>
      <t>是无效的命令；但是</t>
    </r>
    <r>
      <rPr>
        <sz val="14"/>
        <color rgb="FF000000"/>
        <rFont val="Resource Han Rounded CN Normal"/>
        <charset val="134"/>
      </rPr>
      <t>“</t>
    </r>
    <r>
      <rPr>
        <sz val="14"/>
        <color rgb="FF000000"/>
        <rFont val="宋体"/>
        <charset val="134"/>
      </rPr>
      <t>杀了那个人类</t>
    </r>
    <r>
      <rPr>
        <sz val="14"/>
        <color rgb="FF000000"/>
        <rFont val="Resource Han Rounded CN Normal"/>
        <charset val="134"/>
      </rPr>
      <t>”</t>
    </r>
    <r>
      <rPr>
        <sz val="14"/>
        <color rgb="FF000000"/>
        <rFont val="宋体"/>
        <charset val="134"/>
      </rPr>
      <t>有效。命令可包括：把某物运送到某地、出场某些仪式、在附近的某处出现并示警等。</t>
    </r>
    <r>
      <rPr>
        <sz val="14"/>
        <color rgb="FF000000"/>
        <rFont val="Resource Han Rounded CN Normal"/>
        <charset val="134"/>
      </rPr>
      <t xml:space="preserve">
</t>
    </r>
    <r>
      <rPr>
        <sz val="14"/>
        <color rgb="FF000000"/>
        <rFont val="宋体"/>
        <charset val="134"/>
      </rPr>
      <t>法术的效果通常持续到施法者的命令执行完为止。如果使用了阻止动物的措施，比如射击或者让它无力化，法术效果会消失。如果没有有效的阻止措施，法术会在任务完成后或</t>
    </r>
    <r>
      <rPr>
        <sz val="14"/>
        <color rgb="FF000000"/>
        <rFont val="Resource Han Rounded CN Normal"/>
        <charset val="134"/>
      </rPr>
      <t>1D10+5</t>
    </r>
    <r>
      <rPr>
        <sz val="14"/>
        <color rgb="FF000000"/>
        <rFont val="宋体"/>
        <charset val="134"/>
      </rPr>
      <t>分钟后消失并终止</t>
    </r>
    <r>
      <rPr>
        <sz val="14"/>
        <color rgb="FF000000"/>
        <rFont val="Resource Han Rounded CN Normal"/>
        <charset val="134"/>
      </rPr>
      <t>——</t>
    </r>
    <r>
      <rPr>
        <sz val="14"/>
        <color rgb="FF000000"/>
        <rFont val="宋体"/>
        <charset val="134"/>
      </rPr>
      <t>选择较短的时间。</t>
    </r>
    <r>
      <rPr>
        <sz val="14"/>
        <color rgb="FF000000"/>
        <rFont val="Resource Han Rounded CN Normal"/>
        <charset val="134"/>
      </rPr>
      <t xml:space="preserve">
</t>
    </r>
    <r>
      <rPr>
        <sz val="14"/>
        <color rgb="FF000000"/>
        <rFont val="宋体"/>
        <charset val="134"/>
      </rPr>
      <t>别名：动物大师、召唤束缚的爬行之物、（动物）屈服法、（动物）交流法</t>
    </r>
  </si>
  <si>
    <t>特兹查普特尔之铃〔保〕</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</si>
  <si>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1D6</t>
    </r>
    <r>
      <rPr>
        <sz val="14"/>
        <color rgb="FF000000"/>
        <rFont val="宋体"/>
        <charset val="134"/>
      </rPr>
      <t>点理智值</t>
    </r>
  </si>
  <si>
    <t>吟游歌手的反击、和谐的协调、伶人之铃</t>
  </si>
  <si>
    <t>LAME/HEAL ANIMAL</t>
  </si>
  <si>
    <r>
      <rPr>
        <sz val="14"/>
        <color rgb="FF000000"/>
        <rFont val="宋体"/>
        <charset val="134"/>
      </rPr>
      <t>动物残废法</t>
    </r>
    <r>
      <rPr>
        <sz val="14"/>
        <color rgb="FF000000"/>
        <rFont val="Resource Han Rounded CN Normal"/>
        <charset val="134"/>
      </rPr>
      <t>/</t>
    </r>
    <r>
      <rPr>
        <sz val="14"/>
        <color rgb="FF000000"/>
        <rFont val="宋体"/>
        <charset val="134"/>
      </rPr>
      <t>动物治愈法</t>
    </r>
  </si>
  <si>
    <r>
      <rPr>
        <sz val="14"/>
        <color rgb="FF000000"/>
        <rFont val="宋体"/>
        <charset val="134"/>
      </rPr>
      <t>動物</t>
    </r>
    <r>
      <rPr>
        <sz val="14"/>
        <color rgb="FF000000"/>
        <rFont val="MS Gothic"/>
        <charset val="134"/>
      </rPr>
      <t>の</t>
    </r>
    <r>
      <rPr>
        <sz val="14"/>
        <color rgb="FF000000"/>
        <rFont val="宋体"/>
        <charset val="134"/>
      </rPr>
      <t>足</t>
    </r>
    <r>
      <rPr>
        <sz val="14"/>
        <color rgb="FF000000"/>
        <rFont val="MS Gothic"/>
        <charset val="134"/>
      </rPr>
      <t>を</t>
    </r>
    <r>
      <rPr>
        <sz val="14"/>
        <color rgb="FF000000"/>
        <rFont val="宋体"/>
        <charset val="134"/>
      </rPr>
      <t>不自由</t>
    </r>
    <r>
      <rPr>
        <sz val="14"/>
        <color rgb="FF000000"/>
        <rFont val="MS Gothic"/>
        <charset val="134"/>
      </rPr>
      <t>にする</t>
    </r>
    <r>
      <rPr>
        <sz val="14"/>
        <color rgb="FF000000"/>
        <rFont val="宋体"/>
        <charset val="134"/>
      </rPr>
      <t>／治癒</t>
    </r>
    <r>
      <rPr>
        <sz val="14"/>
        <color rgb="FF000000"/>
        <rFont val="MS Gothic"/>
        <charset val="134"/>
      </rPr>
      <t>させる</t>
    </r>
  </si>
  <si>
    <r>
      <rPr>
        <sz val="14"/>
        <color rgb="FF000000"/>
        <rFont val="宋体"/>
        <charset val="134"/>
      </rPr>
      <t>动物残废法</t>
    </r>
    <r>
      <rPr>
        <sz val="14"/>
        <color rgb="FF000000"/>
        <rFont val="Resource Han Rounded CN Normal"/>
        <charset val="134"/>
      </rPr>
      <t>/</t>
    </r>
    <r>
      <rPr>
        <sz val="14"/>
        <color rgb="FF000000"/>
        <rFont val="宋体"/>
        <charset val="134"/>
      </rPr>
      <t>动物治愈法（民俗）〔民〕</t>
    </r>
    <r>
      <rPr>
        <sz val="14"/>
        <color rgb="FF000000"/>
        <rFont val="Resource Han Rounded CN Normal"/>
        <charset val="134"/>
      </rPr>
      <t xml:space="preserve">
Lame/Heal Animal
</t>
    </r>
    <r>
      <rPr>
        <sz val="14"/>
        <color rgb="FF000000"/>
        <rFont val="宋体"/>
        <charset val="134"/>
      </rPr>
      <t>消耗：</t>
    </r>
    <r>
      <rPr>
        <sz val="14"/>
        <color rgb="FF000000"/>
        <rFont val="Resource Han Rounded CN Normal"/>
        <charset val="134"/>
      </rPr>
      <t>4</t>
    </r>
    <r>
      <rPr>
        <sz val="14"/>
        <color rgb="FF000000"/>
        <rFont val="宋体"/>
        <charset val="134"/>
      </rPr>
      <t>点魔法值；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根据施法者的选择，可以使一只牛、马等动物的肌腱和韧带产生疼痛的炎症或者变得特别健康有活力。法术要生效，施法者必须接触这只牲畜。</t>
    </r>
    <r>
      <rPr>
        <sz val="14"/>
        <color rgb="FF000000"/>
        <rFont val="Resource Han Rounded CN Normal"/>
        <charset val="134"/>
      </rPr>
      <t xml:space="preserve">
</t>
    </r>
    <r>
      <rPr>
        <sz val="14"/>
        <color rgb="FF000000"/>
        <rFont val="宋体"/>
        <charset val="134"/>
      </rPr>
      <t>深层魔法：施法者如果消耗大量魔法值，可以想象他能让整个畜群都瘸掉。本法术变体的不同施放方式可能包含了动物疾病的线索。有时施法者必须在牲畜上留下记号，也有时施法者必须在附近埋下一个图腾或者其他东西。这些线索可以让机警的农夫终止黑暗巫术的计划。</t>
    </r>
    <r>
      <rPr>
        <sz val="14"/>
        <color rgb="FF000000"/>
        <rFont val="Resource Han Rounded CN Normal"/>
        <charset val="134"/>
      </rPr>
      <t xml:space="preserve">
</t>
    </r>
    <r>
      <rPr>
        <sz val="14"/>
        <color rgb="FF000000"/>
        <rFont val="宋体"/>
        <charset val="134"/>
      </rPr>
      <t>别名：兽疫术、巫术、阴风</t>
    </r>
  </si>
  <si>
    <t>天气改换术〔环〕</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</si>
  <si>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t>
    </r>
    <r>
      <rPr>
        <sz val="14"/>
        <color rgb="FF000000"/>
        <rFont val="宋体"/>
        <charset val="134"/>
      </rPr>
      <t>点理智值</t>
    </r>
  </si>
  <si>
    <r>
      <rPr>
        <sz val="14"/>
        <color rgb="FF000000"/>
        <rFont val="Resource Han Rounded CN Normal"/>
        <charset val="134"/>
      </rPr>
      <t>3+</t>
    </r>
    <r>
      <rPr>
        <sz val="14"/>
        <color rgb="FF000000"/>
        <rFont val="宋体"/>
        <charset val="134"/>
      </rPr>
      <t>分钟</t>
    </r>
  </si>
  <si>
    <t>缓和或恶化天气，影响范围和持续时间与魔法值消耗相关</t>
  </si>
  <si>
    <t>掌控元素、雨之舞、风暴聚集者</t>
  </si>
  <si>
    <t>CHARM ANIMAL</t>
  </si>
  <si>
    <t>动物魅惑法</t>
  </si>
  <si>
    <r>
      <rPr>
        <sz val="14"/>
        <color rgb="FF000000"/>
        <rFont val="宋体"/>
        <charset val="134"/>
      </rPr>
      <t>動物</t>
    </r>
    <r>
      <rPr>
        <sz val="14"/>
        <color rgb="FF000000"/>
        <rFont val="MS Gothic"/>
        <charset val="134"/>
      </rPr>
      <t>を</t>
    </r>
    <r>
      <rPr>
        <sz val="14"/>
        <color rgb="FF000000"/>
        <rFont val="宋体"/>
        <charset val="134"/>
      </rPr>
      <t>魅了</t>
    </r>
    <r>
      <rPr>
        <sz val="14"/>
        <color rgb="FF000000"/>
        <rFont val="MS Gothic"/>
        <charset val="134"/>
      </rPr>
      <t>する</t>
    </r>
  </si>
  <si>
    <r>
      <rPr>
        <sz val="14"/>
        <color rgb="FF000000"/>
        <rFont val="宋体"/>
        <charset val="134"/>
      </rPr>
      <t>动物魅惑法（民俗）〔民〕</t>
    </r>
    <r>
      <rPr>
        <sz val="14"/>
        <color rgb="FF000000"/>
        <rFont val="Resource Han Rounded CN Normal"/>
        <charset val="134"/>
      </rPr>
      <t xml:space="preserve">
Charm Animal
</t>
    </r>
    <r>
      <rPr>
        <sz val="14"/>
        <color rgb="FF000000"/>
        <rFont val="宋体"/>
        <charset val="134"/>
      </rPr>
      <t>消耗：可变的魔法值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本法术令目标动物将施法者当作朋友。目标动物每有</t>
    </r>
    <r>
      <rPr>
        <sz val="14"/>
        <color rgb="FF000000"/>
        <rFont val="Resource Han Rounded CN Normal"/>
        <charset val="134"/>
      </rPr>
      <t>5</t>
    </r>
    <r>
      <rPr>
        <sz val="14"/>
        <color rgb="FF000000"/>
        <rFont val="宋体"/>
        <charset val="134"/>
      </rPr>
      <t>点</t>
    </r>
    <r>
      <rPr>
        <sz val="14"/>
        <color rgb="FF000000"/>
        <rFont val="Resource Han Rounded CN Normal"/>
        <charset val="134"/>
      </rPr>
      <t>SIZ</t>
    </r>
    <r>
      <rPr>
        <sz val="14"/>
        <color rgb="FF000000"/>
        <rFont val="宋体"/>
        <charset val="134"/>
      </rPr>
      <t>，法术消耗就增加</t>
    </r>
    <r>
      <rPr>
        <sz val="14"/>
        <color rgb="FF000000"/>
        <rFont val="Resource Han Rounded CN Normal"/>
        <charset val="134"/>
      </rPr>
      <t>1</t>
    </r>
    <r>
      <rPr>
        <sz val="14"/>
        <color rgb="FF000000"/>
        <rFont val="宋体"/>
        <charset val="134"/>
      </rPr>
      <t>点，持续时间</t>
    </r>
    <r>
      <rPr>
        <sz val="14"/>
        <color rgb="FF000000"/>
        <rFont val="Resource Han Rounded CN Normal"/>
        <charset val="134"/>
      </rPr>
      <t>24</t>
    </r>
    <r>
      <rPr>
        <sz val="14"/>
        <color rgb="FF000000"/>
        <rFont val="宋体"/>
        <charset val="134"/>
      </rPr>
      <t>小时。过了这个时间，目标动物将完全忘记之前的友善。本法术不在施法者和动物之间建立超自然的连接，而是改变动物的行为。动物不能用来役使或者加入战斗，因为这些动作需要施法者无法给出的复杂指令。不过，友善的动物在睡觉时会分享温度，猎食动物则会分享它的猎物。</t>
    </r>
    <r>
      <rPr>
        <sz val="14"/>
        <color rgb="FF000000"/>
        <rFont val="Resource Han Rounded CN Normal"/>
        <charset val="134"/>
      </rPr>
      <t xml:space="preserve">
</t>
    </r>
    <r>
      <rPr>
        <sz val="14"/>
        <color rgb="FF000000"/>
        <rFont val="宋体"/>
        <charset val="134"/>
      </rPr>
      <t>别名：森林的善意、旅行者之触</t>
    </r>
  </si>
  <si>
    <t>刀锋祝福术〔附〕</t>
  </si>
  <si>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1D4</t>
    </r>
    <r>
      <rPr>
        <sz val="14"/>
        <color rgb="FF000000"/>
        <rFont val="宋体"/>
        <charset val="134"/>
      </rPr>
      <t>点理智值</t>
    </r>
  </si>
  <si>
    <r>
      <rPr>
        <sz val="14"/>
        <color rgb="FF000000"/>
        <rFont val="宋体"/>
        <charset val="134"/>
      </rPr>
      <t>（至少）</t>
    </r>
    <r>
      <rPr>
        <sz val="14"/>
        <color rgb="FF000000"/>
        <rFont val="Resource Han Rounded CN Normal"/>
        <charset val="134"/>
      </rPr>
      <t>1</t>
    </r>
    <r>
      <rPr>
        <sz val="14"/>
        <color rgb="FF000000"/>
        <rFont val="宋体"/>
        <charset val="134"/>
      </rPr>
      <t>小时</t>
    </r>
  </si>
  <si>
    <t>旧力灌注、七切之仪式、灵魂毒药</t>
  </si>
  <si>
    <t>CHANT OF THOTH</t>
  </si>
  <si>
    <t>透特之咏</t>
  </si>
  <si>
    <r>
      <rPr>
        <sz val="14"/>
        <color rgb="FF000000"/>
        <rFont val="MS Gothic"/>
        <charset val="134"/>
      </rPr>
      <t>トートの</t>
    </r>
    <r>
      <rPr>
        <sz val="14"/>
        <color rgb="FF000000"/>
        <rFont val="宋体"/>
        <charset val="134"/>
      </rPr>
      <t>詠唱</t>
    </r>
  </si>
  <si>
    <r>
      <rPr>
        <sz val="14"/>
        <color rgb="FF000000"/>
        <rFont val="宋体"/>
        <charset val="134"/>
      </rPr>
      <t>透特之咏〔他〕</t>
    </r>
    <r>
      <rPr>
        <sz val="14"/>
        <color rgb="FF000000"/>
        <rFont val="Resource Han Rounded CN Normal"/>
        <charset val="134"/>
      </rPr>
      <t xml:space="preserve">
Chant of Thoth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30</t>
    </r>
    <r>
      <rPr>
        <sz val="14"/>
        <color rgb="FF000000"/>
        <rFont val="宋体"/>
        <charset val="134"/>
      </rPr>
      <t>分钟</t>
    </r>
    <r>
      <rPr>
        <sz val="14"/>
        <color rgb="FF000000"/>
        <rFont val="Resource Han Rounded CN Normal"/>
        <charset val="134"/>
      </rPr>
      <t xml:space="preserve">
</t>
    </r>
    <r>
      <rPr>
        <sz val="14"/>
        <color rgb="FF000000"/>
        <rFont val="宋体"/>
        <charset val="134"/>
      </rPr>
      <t>使用本法术可以增长施法者的智力，提升他解决特定脑力问题的几率。本法术可让施法者在获取知识、学习法术、翻译文章、推断符号的含义等等场合的检定时获得单颗奖励骰。</t>
    </r>
    <r>
      <rPr>
        <sz val="14"/>
        <color rgb="FF000000"/>
        <rFont val="Resource Han Rounded CN Normal"/>
        <charset val="134"/>
      </rPr>
      <t xml:space="preserve">
</t>
    </r>
    <r>
      <rPr>
        <sz val="14"/>
        <color rgb="FF000000"/>
        <rFont val="宋体"/>
        <charset val="134"/>
      </rPr>
      <t>别名：明晰大脑的仪式、增闻广识的歌咏、学者合唱</t>
    </r>
  </si>
  <si>
    <t>动物号令法（民俗）</t>
  </si>
  <si>
    <r>
      <rPr>
        <sz val="14"/>
        <color rgb="FF000000"/>
        <rFont val="Resource Han Rounded CN Normal"/>
        <charset val="134"/>
      </rPr>
      <t>1</t>
    </r>
    <r>
      <rPr>
        <sz val="14"/>
        <color rgb="FF000000"/>
        <rFont val="宋体"/>
        <charset val="134"/>
      </rPr>
      <t>点魔法值；</t>
    </r>
    <r>
      <rPr>
        <sz val="14"/>
        <color rgb="FF000000"/>
        <rFont val="Resource Han Rounded CN Normal"/>
        <charset val="134"/>
      </rPr>
      <t>1D3</t>
    </r>
    <r>
      <rPr>
        <sz val="14"/>
        <color rgb="FF000000"/>
        <rFont val="宋体"/>
        <charset val="134"/>
      </rPr>
      <t>点理智值</t>
    </r>
  </si>
  <si>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特定物种的动物</t>
    </r>
  </si>
  <si>
    <t>动物大师、召唤束缚的爬行之物、（动物）屈服法、（动物）交流法</t>
  </si>
  <si>
    <t>COMMAND DHOLE</t>
  </si>
  <si>
    <t>召令巨噬蠕虫</t>
  </si>
  <si>
    <r>
      <rPr>
        <sz val="14"/>
        <color rgb="FF000000"/>
        <rFont val="MS Gothic"/>
        <charset val="134"/>
      </rPr>
      <t>ドールヘ</t>
    </r>
    <r>
      <rPr>
        <sz val="14"/>
        <color rgb="FF000000"/>
        <rFont val="宋体"/>
        <charset val="134"/>
      </rPr>
      <t>命令</t>
    </r>
    <r>
      <rPr>
        <sz val="14"/>
        <color rgb="FF000000"/>
        <rFont val="MS Gothic"/>
        <charset val="134"/>
      </rPr>
      <t>する</t>
    </r>
  </si>
  <si>
    <r>
      <rPr>
        <sz val="14"/>
        <color rgb="FF000000"/>
        <rFont val="宋体"/>
        <charset val="134"/>
      </rPr>
      <t>召令巨噬蠕虫</t>
    </r>
    <r>
      <rPr>
        <sz val="14"/>
        <color rgb="FF000000"/>
        <rFont val="Resource Han Rounded CN Normal"/>
        <charset val="134"/>
      </rPr>
      <t xml:space="preserve">
Command Dhole
</t>
    </r>
    <r>
      <rPr>
        <sz val="14"/>
        <color rgb="FF000000"/>
        <rFont val="宋体"/>
        <charset val="134"/>
      </rPr>
      <t>这道咒文必须由大批人一起咏唱。所有参加者都必须知晓本咒文，但不需知晓给巨噬蠕虫的命令。每名参加者都要支付</t>
    </r>
    <r>
      <rPr>
        <sz val="14"/>
        <color rgb="FF000000"/>
        <rFont val="Resource Han Rounded CN Normal"/>
        <charset val="134"/>
      </rPr>
      <t>1</t>
    </r>
    <r>
      <rPr>
        <sz val="14"/>
        <color rgb="FF000000"/>
        <rFont val="宋体"/>
        <charset val="134"/>
      </rPr>
      <t>点魔法值，而咏唱的领导者则须支付</t>
    </r>
    <r>
      <rPr>
        <sz val="14"/>
        <color rgb="FF000000"/>
        <rFont val="Resource Han Rounded CN Normal"/>
        <charset val="134"/>
      </rPr>
      <t>1d6</t>
    </r>
    <r>
      <rPr>
        <sz val="14"/>
        <color rgb="FF000000"/>
        <rFont val="宋体"/>
        <charset val="134"/>
      </rPr>
      <t>点魔法值和</t>
    </r>
    <r>
      <rPr>
        <sz val="14"/>
        <color rgb="FF000000"/>
        <rFont val="Resource Han Rounded CN Normal"/>
        <charset val="134"/>
      </rPr>
      <t>1d3</t>
    </r>
    <r>
      <rPr>
        <sz val="14"/>
        <color rgb="FF000000"/>
        <rFont val="宋体"/>
        <charset val="134"/>
      </rPr>
      <t>点理智值。不管长达多少小时，咏唱都必须持续，直到巨噬蠕虫现身为止。</t>
    </r>
    <r>
      <rPr>
        <sz val="14"/>
        <color rgb="FF000000"/>
        <rFont val="Resource Han Rounded CN Normal"/>
        <charset val="134"/>
      </rPr>
      <t xml:space="preserve">
</t>
    </r>
    <r>
      <rPr>
        <sz val="14"/>
        <color rgb="FF000000"/>
        <rFont val="宋体"/>
        <charset val="134"/>
      </rPr>
      <t>咏唱的领导者必须用自己的魔法值和巨噬蠕虫的魔法值对抗，如果取胜，从巨噬蠕虫出现的那一刻开始，他就能向它下达命令。只要不解放巨噬蠕虫，支配就会一直持续，领导者可以主动解放巨噬蠕虫，也可能因走神或睡着而不慎将它解放。被解放的巨噬蠕虫会立即消失。如果他在对抗中落败，巨噬蠕虫就会尝试吃掉在场的所有人，然后消失。现今没有任何一本地球上的书籍载有这道咒文。</t>
    </r>
  </si>
  <si>
    <r>
      <rPr>
        <sz val="14"/>
        <color rgb="FF000000"/>
        <rFont val="宋体"/>
        <charset val="134"/>
      </rPr>
      <t>动物残废法</t>
    </r>
    <r>
      <rPr>
        <sz val="14"/>
        <color rgb="FF000000"/>
        <rFont val="Resource Han Rounded CN Normal"/>
        <charset val="134"/>
      </rPr>
      <t>/</t>
    </r>
    <r>
      <rPr>
        <sz val="14"/>
        <color rgb="FF000000"/>
        <rFont val="宋体"/>
        <charset val="134"/>
      </rPr>
      <t>动物治愈法（民俗）〔民〕</t>
    </r>
  </si>
  <si>
    <r>
      <rPr>
        <sz val="14"/>
        <color rgb="FF000000"/>
        <rFont val="Resource Han Rounded CN Normal"/>
        <charset val="134"/>
      </rPr>
      <t>4</t>
    </r>
    <r>
      <rPr>
        <sz val="14"/>
        <color rgb="FF000000"/>
        <rFont val="宋体"/>
        <charset val="134"/>
      </rPr>
      <t>点魔法值；</t>
    </r>
    <r>
      <rPr>
        <sz val="14"/>
        <color rgb="FF000000"/>
        <rFont val="Resource Han Rounded CN Normal"/>
        <charset val="134"/>
      </rPr>
      <t>1D4</t>
    </r>
    <r>
      <rPr>
        <sz val="14"/>
        <color rgb="FF000000"/>
        <rFont val="宋体"/>
        <charset val="134"/>
      </rPr>
      <t>点理智值</t>
    </r>
  </si>
  <si>
    <t>兽疫术、巫术、阴风</t>
  </si>
  <si>
    <t>CREATE BARRIER OF NAACH-TICH</t>
  </si>
  <si>
    <r>
      <rPr>
        <sz val="14"/>
        <color rgb="FF000000"/>
        <rFont val="宋体"/>
        <charset val="134"/>
      </rPr>
      <t>纳克</t>
    </r>
    <r>
      <rPr>
        <sz val="14"/>
        <color rgb="FF000000"/>
        <rFont val="Resource Han Rounded CN Normal"/>
        <charset val="134"/>
      </rPr>
      <t>-</t>
    </r>
    <r>
      <rPr>
        <sz val="14"/>
        <color rgb="FF000000"/>
        <rFont val="宋体"/>
        <charset val="134"/>
      </rPr>
      <t>提特障壁创建术</t>
    </r>
  </si>
  <si>
    <r>
      <rPr>
        <sz val="14"/>
        <color rgb="FF000000"/>
        <rFont val="MS Gothic"/>
        <charset val="134"/>
      </rPr>
      <t>ナークーテイトの</t>
    </r>
    <r>
      <rPr>
        <sz val="14"/>
        <color rgb="FF000000"/>
        <rFont val="宋体"/>
        <charset val="134"/>
      </rPr>
      <t>障壁</t>
    </r>
    <r>
      <rPr>
        <sz val="14"/>
        <color rgb="FF000000"/>
        <rFont val="MS Gothic"/>
        <charset val="134"/>
      </rPr>
      <t>の</t>
    </r>
    <r>
      <rPr>
        <sz val="14"/>
        <color rgb="FF000000"/>
        <rFont val="宋体"/>
        <charset val="134"/>
      </rPr>
      <t>創造</t>
    </r>
  </si>
  <si>
    <r>
      <rPr>
        <sz val="14"/>
        <color rgb="FF000000"/>
        <rFont val="宋体"/>
        <charset val="134"/>
      </rPr>
      <t>纳克</t>
    </r>
    <r>
      <rPr>
        <sz val="14"/>
        <color rgb="FF000000"/>
        <rFont val="Resource Han Rounded CN Normal"/>
        <charset val="134"/>
      </rPr>
      <t>-</t>
    </r>
    <r>
      <rPr>
        <sz val="14"/>
        <color rgb="FF000000"/>
        <rFont val="宋体"/>
        <charset val="134"/>
      </rPr>
      <t>提特障壁创建术〔保〕</t>
    </r>
    <r>
      <rPr>
        <sz val="14"/>
        <color rgb="FF000000"/>
        <rFont val="Resource Han Rounded CN Normal"/>
        <charset val="134"/>
      </rPr>
      <t xml:space="preserve">
Create Barrier of Naach-Tich
</t>
    </r>
    <r>
      <rPr>
        <sz val="14"/>
        <color rgb="FF000000"/>
        <rFont val="宋体"/>
        <charset val="134"/>
      </rPr>
      <t>消耗：可变的魔法值；</t>
    </r>
    <r>
      <rPr>
        <sz val="14"/>
        <color rgb="FF000000"/>
        <rFont val="Resource Han Rounded CN Normal"/>
        <charset val="134"/>
      </rPr>
      <t>1D10</t>
    </r>
    <r>
      <rPr>
        <sz val="14"/>
        <color rgb="FF000000"/>
        <rFont val="宋体"/>
        <charset val="134"/>
      </rPr>
      <t>理智值施法用时：</t>
    </r>
    <r>
      <rPr>
        <sz val="14"/>
        <color rgb="FF000000"/>
        <rFont val="Resource Han Rounded CN Normal"/>
        <charset val="134"/>
      </rPr>
      <t>1</t>
    </r>
    <r>
      <rPr>
        <sz val="14"/>
        <color rgb="FF000000"/>
        <rFont val="宋体"/>
        <charset val="134"/>
      </rPr>
      <t>分钟</t>
    </r>
    <r>
      <rPr>
        <sz val="14"/>
        <color rgb="FF000000"/>
        <rFont val="Resource Han Rounded CN Normal"/>
        <charset val="134"/>
      </rPr>
      <t xml:space="preserve">
</t>
    </r>
    <r>
      <rPr>
        <sz val="14"/>
        <color rgb="FF000000"/>
        <rFont val="宋体"/>
        <charset val="134"/>
      </rPr>
      <t>本屏障可以提供物理魔法的双重防御。本法术的每名参与者失去</t>
    </r>
    <r>
      <rPr>
        <sz val="14"/>
        <color rgb="FF000000"/>
        <rFont val="Resource Han Rounded CN Normal"/>
        <charset val="134"/>
      </rPr>
      <t>1D10</t>
    </r>
    <r>
      <rPr>
        <sz val="14"/>
        <color rgb="FF000000"/>
        <rFont val="宋体"/>
        <charset val="134"/>
      </rPr>
      <t>点理智值，和可变数量的魔法值。在本创建术中每投入</t>
    </r>
    <r>
      <rPr>
        <sz val="14"/>
        <color rgb="FF000000"/>
        <rFont val="Resource Han Rounded CN Normal"/>
        <charset val="134"/>
      </rPr>
      <t>1</t>
    </r>
    <r>
      <rPr>
        <sz val="14"/>
        <color rgb="FF000000"/>
        <rFont val="宋体"/>
        <charset val="134"/>
      </rPr>
      <t>点魔法值，可以给屏障提供</t>
    </r>
    <r>
      <rPr>
        <sz val="14"/>
        <color rgb="FF000000"/>
        <rFont val="Resource Han Rounded CN Normal"/>
        <charset val="134"/>
      </rPr>
      <t>3D10</t>
    </r>
    <r>
      <rPr>
        <sz val="14"/>
        <color rgb="FF000000"/>
        <rFont val="宋体"/>
        <charset val="134"/>
      </rPr>
      <t>点</t>
    </r>
    <r>
      <rPr>
        <sz val="14"/>
        <color rgb="FF000000"/>
        <rFont val="Resource Han Rounded CN Normal"/>
        <charset val="134"/>
      </rPr>
      <t>STR</t>
    </r>
    <r>
      <rPr>
        <sz val="14"/>
        <color rgb="FF000000"/>
        <rFont val="宋体"/>
        <charset val="134"/>
      </rPr>
      <t>。施放本法术需要</t>
    </r>
    <r>
      <rPr>
        <sz val="14"/>
        <color rgb="FF000000"/>
        <rFont val="Resource Han Rounded CN Normal"/>
        <charset val="134"/>
      </rPr>
      <t>1</t>
    </r>
    <r>
      <rPr>
        <sz val="14"/>
        <color rgb="FF000000"/>
        <rFont val="宋体"/>
        <charset val="134"/>
      </rPr>
      <t>分钟（所有投入的魔法值需要在这段时间内全部消耗），制成的屏障可以维持</t>
    </r>
    <r>
      <rPr>
        <sz val="14"/>
        <color rgb="FF000000"/>
        <rFont val="Resource Han Rounded CN Normal"/>
        <charset val="134"/>
      </rPr>
      <t>1D4+4</t>
    </r>
    <r>
      <rPr>
        <sz val="14"/>
        <color rgb="FF000000"/>
        <rFont val="宋体"/>
        <charset val="134"/>
      </rPr>
      <t>小时。任何知道本法术的人都可以参与施法，并为屏障贡献魔法值。</t>
    </r>
    <r>
      <rPr>
        <sz val="14"/>
        <color rgb="FF000000"/>
        <rFont val="Resource Han Rounded CN Normal"/>
        <charset val="134"/>
      </rPr>
      <t xml:space="preserve">
</t>
    </r>
    <r>
      <rPr>
        <sz val="14"/>
        <color rgb="FF000000"/>
        <rFont val="宋体"/>
        <charset val="134"/>
      </rPr>
      <t>屏障是直径约</t>
    </r>
    <r>
      <rPr>
        <sz val="14"/>
        <color rgb="FF000000"/>
        <rFont val="Resource Han Rounded CN Normal"/>
        <charset val="134"/>
      </rPr>
      <t>100</t>
    </r>
    <r>
      <rPr>
        <sz val="14"/>
        <color rgb="FF000000"/>
        <rFont val="宋体"/>
        <charset val="134"/>
      </rPr>
      <t>码的球形。它可以设置在施法者的周围阻止伤害（如同气泡），施放时也可以围住怪物和敌人。一切在屏障生成时身体恰好穿越屏障边缘的生物，将不会受到伤害，并被推挤到屏障外面去。被困住的存在须用自己的</t>
    </r>
    <r>
      <rPr>
        <sz val="14"/>
        <color rgb="FF000000"/>
        <rFont val="Resource Han Rounded CN Normal"/>
        <charset val="134"/>
      </rPr>
      <t>STR</t>
    </r>
    <r>
      <rPr>
        <sz val="14"/>
        <color rgb="FF000000"/>
        <rFont val="宋体"/>
        <charset val="134"/>
      </rPr>
      <t>和屏障的</t>
    </r>
    <r>
      <rPr>
        <sz val="14"/>
        <color rgb="FF000000"/>
        <rFont val="Resource Han Rounded CN Normal"/>
        <charset val="134"/>
      </rPr>
      <t>STR</t>
    </r>
    <r>
      <rPr>
        <sz val="14"/>
        <color rgb="FF000000"/>
        <rFont val="宋体"/>
        <charset val="134"/>
      </rPr>
      <t>进行对抗检定，不过多个受困的生物逃脱时不能联合各自的</t>
    </r>
    <r>
      <rPr>
        <sz val="14"/>
        <color rgb="FF000000"/>
        <rFont val="Resource Han Rounded CN Normal"/>
        <charset val="134"/>
      </rPr>
      <t>STR</t>
    </r>
    <r>
      <rPr>
        <sz val="14"/>
        <color rgb="FF000000"/>
        <rFont val="宋体"/>
        <charset val="134"/>
      </rPr>
      <t>。对于子弹和弹射物，如果对屏障掷出的伤害（无视刺穿）大于屏障</t>
    </r>
    <r>
      <rPr>
        <sz val="14"/>
        <color rgb="FF000000"/>
        <rFont val="Resource Han Rounded CN Normal"/>
        <charset val="134"/>
      </rPr>
      <t>STR</t>
    </r>
    <r>
      <rPr>
        <sz val="14"/>
        <color rgb="FF000000"/>
        <rFont val="宋体"/>
        <charset val="134"/>
      </rPr>
      <t>的五分之一，子弹和弹射物即可穿透屏障。若穿透了屏障，它会造成骰出的伤害，好像屏障不存在一般；屏障立即瓦解。</t>
    </r>
    <r>
      <rPr>
        <sz val="14"/>
        <color rgb="FF000000"/>
        <rFont val="Resource Han Rounded CN Normal"/>
        <charset val="134"/>
      </rPr>
      <t xml:space="preserve">
</t>
    </r>
    <r>
      <rPr>
        <sz val="14"/>
        <color rgb="FF000000"/>
        <rFont val="宋体"/>
        <charset val="134"/>
      </rPr>
      <t>本法术的一个手写副本据传收藏在刻莱诺（昴宿增九）的一颗行星上，一座巨大邪恶的图书馆里。</t>
    </r>
    <r>
      <rPr>
        <sz val="14"/>
        <color rgb="FF000000"/>
        <rFont val="Resource Han Rounded CN Normal"/>
        <charset val="134"/>
      </rPr>
      <t xml:space="preserve">
</t>
    </r>
    <r>
      <rPr>
        <sz val="14"/>
        <color rgb="FF000000"/>
        <rFont val="宋体"/>
        <charset val="134"/>
      </rPr>
      <t>深层魔法：那些能够驾驭神话知识和能力的人可以将屏障的直径尺寸扩展到</t>
    </r>
    <r>
      <rPr>
        <sz val="14"/>
        <color rgb="FF000000"/>
        <rFont val="Resource Han Rounded CN Normal"/>
        <charset val="134"/>
      </rPr>
      <t>200</t>
    </r>
    <r>
      <rPr>
        <sz val="14"/>
        <color rgb="FF000000"/>
        <rFont val="宋体"/>
        <charset val="134"/>
      </rPr>
      <t>码。</t>
    </r>
    <r>
      <rPr>
        <sz val="14"/>
        <color rgb="FF000000"/>
        <rFont val="Resource Han Rounded CN Normal"/>
        <charset val="134"/>
      </rPr>
      <t xml:space="preserve">
</t>
    </r>
    <r>
      <rPr>
        <sz val="14"/>
        <color rgb="FF000000"/>
        <rFont val="宋体"/>
        <charset val="134"/>
      </rPr>
      <t>别名：纳克</t>
    </r>
    <r>
      <rPr>
        <sz val="14"/>
        <color rgb="FF000000"/>
        <rFont val="Resource Han Rounded CN Normal"/>
        <charset val="134"/>
      </rPr>
      <t>-</t>
    </r>
    <r>
      <rPr>
        <sz val="14"/>
        <color rgb="FF000000"/>
        <rFont val="宋体"/>
        <charset val="134"/>
      </rPr>
      <t>提特伟大监牢术、囚禁恶魔的无形球体</t>
    </r>
  </si>
  <si>
    <t>动物魅惑法（民俗）〔民〕</t>
  </si>
  <si>
    <t>可变的魔法值</t>
  </si>
  <si>
    <t>森林的善意、旅行者之触</t>
  </si>
  <si>
    <t>GRAFT FLESH</t>
  </si>
  <si>
    <t>血肉移植术</t>
  </si>
  <si>
    <t>肉移植</t>
  </si>
  <si>
    <r>
      <rPr>
        <sz val="14"/>
        <color rgb="FF000000"/>
        <rFont val="宋体"/>
        <charset val="134"/>
      </rPr>
      <t>血肉移植术〔保〕</t>
    </r>
    <r>
      <rPr>
        <sz val="14"/>
        <color rgb="FF000000"/>
        <rFont val="Resource Han Rounded CN Normal"/>
        <charset val="134"/>
      </rPr>
      <t xml:space="preserve">
Graft Flesh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2D6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t>
    </r>
    <r>
      <rPr>
        <sz val="14"/>
        <color rgb="FF000000"/>
        <rFont val="宋体"/>
        <charset val="134"/>
      </rPr>
      <t>小时</t>
    </r>
    <r>
      <rPr>
        <sz val="14"/>
        <color rgb="FF000000"/>
        <rFont val="Resource Han Rounded CN Normal"/>
        <charset val="134"/>
      </rPr>
      <t xml:space="preserve">
</t>
    </r>
    <r>
      <rPr>
        <sz val="14"/>
        <color rgb="FF000000"/>
        <rFont val="宋体"/>
        <charset val="134"/>
      </rPr>
      <t>可以让施法者移植一块用</t>
    </r>
    <r>
      <rPr>
        <sz val="14"/>
        <color rgb="FF000000"/>
        <rFont val="Resource Han Rounded CN Normal"/>
        <charset val="134"/>
      </rPr>
      <t>“</t>
    </r>
    <r>
      <rPr>
        <sz val="14"/>
        <color rgb="FF000000"/>
        <rFont val="宋体"/>
        <charset val="134"/>
      </rPr>
      <t>血肉附魔术</t>
    </r>
    <r>
      <rPr>
        <sz val="14"/>
        <color rgb="FF000000"/>
        <rFont val="Resource Han Rounded CN Normal"/>
        <charset val="134"/>
      </rPr>
      <t>”(P108)</t>
    </r>
    <r>
      <rPr>
        <sz val="14"/>
        <color rgb="FF000000"/>
        <rFont val="宋体"/>
        <charset val="134"/>
      </rPr>
      <t>到自己的身体里，并且让此肉及其护甲效果永久持续。在移植附魔血肉之前，施法者必须从自己的身体上取下面积相当的皮肤（</t>
    </r>
    <r>
      <rPr>
        <sz val="14"/>
        <color rgb="FF000000"/>
        <rFont val="Resource Han Rounded CN Normal"/>
        <charset val="134"/>
      </rPr>
      <t>5SIZ</t>
    </r>
    <r>
      <rPr>
        <sz val="14"/>
        <color rgb="FF000000"/>
        <rFont val="宋体"/>
        <charset val="134"/>
      </rPr>
      <t>的区域，需要消耗</t>
    </r>
    <r>
      <rPr>
        <sz val="14"/>
        <color rgb="FF000000"/>
        <rFont val="Resource Han Rounded CN Normal"/>
        <charset val="134"/>
      </rPr>
      <t>1D4</t>
    </r>
    <r>
      <rPr>
        <sz val="14"/>
        <color rgb="FF000000"/>
        <rFont val="宋体"/>
        <charset val="134"/>
      </rPr>
      <t>点理智值）。施法之后，附魔血肉的能力就永远对使用者生效了。</t>
    </r>
    <r>
      <rPr>
        <sz val="14"/>
        <color rgb="FF000000"/>
        <rFont val="Resource Han Rounded CN Normal"/>
        <charset val="134"/>
      </rPr>
      <t xml:space="preserve">
</t>
    </r>
    <r>
      <rPr>
        <sz val="14"/>
        <color rgb="FF000000"/>
        <rFont val="宋体"/>
        <charset val="134"/>
      </rPr>
      <t>深层魔法：此法术非常罕见，在屈指可数的几个巫师手上戒备地保护着。</t>
    </r>
    <r>
      <rPr>
        <sz val="14"/>
        <color rgb="FF000000"/>
        <rFont val="Resource Han Rounded CN Normal"/>
        <charset val="134"/>
      </rPr>
      <t xml:space="preserve">
</t>
    </r>
    <r>
      <rPr>
        <sz val="14"/>
        <color rgb="FF000000"/>
        <rFont val="宋体"/>
        <charset val="134"/>
      </rPr>
      <t>别名：不详。</t>
    </r>
  </si>
  <si>
    <t>透特之咏〔他〕</t>
  </si>
  <si>
    <r>
      <rPr>
        <sz val="14"/>
        <color rgb="FF000000"/>
        <rFont val="Resource Han Rounded CN Normal"/>
        <charset val="134"/>
      </rPr>
      <t>30</t>
    </r>
    <r>
      <rPr>
        <sz val="14"/>
        <color rgb="FF000000"/>
        <rFont val="宋体"/>
        <charset val="134"/>
      </rPr>
      <t>分钟</t>
    </r>
  </si>
  <si>
    <t>明晰大脑的仪式、增闻广识的歌咏、学者合唱</t>
  </si>
  <si>
    <t>COMPEL FLESH</t>
  </si>
  <si>
    <t>肉体屈服术</t>
  </si>
  <si>
    <r>
      <rPr>
        <sz val="14"/>
        <color rgb="FF000000"/>
        <rFont val="宋体"/>
        <charset val="134"/>
      </rPr>
      <t>肉体</t>
    </r>
    <r>
      <rPr>
        <sz val="14"/>
        <color rgb="FF000000"/>
        <rFont val="MS Gothic"/>
        <charset val="134"/>
      </rPr>
      <t>の</t>
    </r>
    <r>
      <rPr>
        <sz val="14"/>
        <color rgb="FF000000"/>
        <rFont val="宋体"/>
        <charset val="134"/>
      </rPr>
      <t>屈服</t>
    </r>
  </si>
  <si>
    <r>
      <rPr>
        <sz val="14"/>
        <color rgb="FF000000"/>
        <rFont val="宋体"/>
        <charset val="134"/>
      </rPr>
      <t>肉体屈服术〔支、造〕</t>
    </r>
    <r>
      <rPr>
        <sz val="14"/>
        <color rgb="FF000000"/>
        <rFont val="Resource Han Rounded CN Normal"/>
        <charset val="134"/>
      </rPr>
      <t xml:space="preserve">
Compel Flesh
</t>
    </r>
    <r>
      <rPr>
        <sz val="14"/>
        <color rgb="FF000000"/>
        <rFont val="宋体"/>
        <charset val="134"/>
      </rPr>
      <t>消耗：</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3</t>
    </r>
    <r>
      <rPr>
        <sz val="14"/>
        <color rgb="FF000000"/>
        <rFont val="宋体"/>
        <charset val="134"/>
      </rPr>
      <t>点理智值施法用时：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施法者可以让单体目标变成活尸，只能接受简单的口头命令。消耗</t>
    </r>
    <r>
      <rPr>
        <sz val="14"/>
        <color rgb="FF000000"/>
        <rFont val="Resource Han Rounded CN Normal"/>
        <charset val="134"/>
      </rPr>
      <t>5</t>
    </r>
    <r>
      <rPr>
        <sz val="14"/>
        <color rgb="FF000000"/>
        <rFont val="宋体"/>
        <charset val="134"/>
      </rPr>
      <t>点魔法值，法术每持续十个游戏轮，就要多消耗一点魔法值。目标的灵魂必须被束缚（见</t>
    </r>
    <r>
      <rPr>
        <sz val="14"/>
        <color rgb="FF000000"/>
        <rFont val="Resource Han Rounded CN Normal"/>
        <charset val="134"/>
      </rPr>
      <t>“</t>
    </r>
    <r>
      <rPr>
        <sz val="14"/>
        <color rgb="FF000000"/>
        <rFont val="宋体"/>
        <charset val="134"/>
      </rPr>
      <t>灵魂束缚术</t>
    </r>
    <r>
      <rPr>
        <sz val="14"/>
        <color rgb="FF000000"/>
        <rFont val="Resource Han Rounded CN Normal"/>
        <charset val="134"/>
      </rPr>
      <t>”</t>
    </r>
    <r>
      <rPr>
        <sz val="14"/>
        <color rgb="FF000000"/>
        <rFont val="宋体"/>
        <charset val="134"/>
      </rPr>
      <t>，</t>
    </r>
    <r>
      <rPr>
        <sz val="14"/>
        <color rgb="FF000000"/>
        <rFont val="Resource Han Rounded CN Normal"/>
        <charset val="134"/>
      </rPr>
      <t>41</t>
    </r>
    <r>
      <rPr>
        <sz val="14"/>
        <color rgb="FF000000"/>
        <rFont val="宋体"/>
        <charset val="134"/>
      </rPr>
      <t>页），这样施法者可以用本法术驱使目标的躯体来行动。躯体将执行命令直到任务完成、躯体死亡或者法术终止为止。</t>
    </r>
    <r>
      <rPr>
        <sz val="14"/>
        <color rgb="FF000000"/>
        <rFont val="Resource Han Rounded CN Normal"/>
        <charset val="134"/>
      </rPr>
      <t xml:space="preserve">
</t>
    </r>
    <r>
      <rPr>
        <sz val="14"/>
        <color rgb="FF000000"/>
        <rFont val="宋体"/>
        <charset val="134"/>
      </rPr>
      <t>别名：不思考的仆从制造术、僵尸化、岛民的仪式</t>
    </r>
  </si>
  <si>
    <r>
      <rPr>
        <sz val="14"/>
        <color rgb="FF000000"/>
        <rFont val="Resource Han Rounded CN Normal"/>
        <charset val="134"/>
      </rPr>
      <t>1</t>
    </r>
    <r>
      <rPr>
        <sz val="14"/>
        <color rgb="FF000000"/>
        <rFont val="宋体"/>
        <charset val="134"/>
      </rPr>
      <t>点魔法值（每人）</t>
    </r>
  </si>
  <si>
    <r>
      <rPr>
        <sz val="14"/>
        <color rgb="FF000000"/>
        <rFont val="Resource Han Rounded CN Normal"/>
        <charset val="134"/>
      </rPr>
      <t>1d6</t>
    </r>
    <r>
      <rPr>
        <sz val="14"/>
        <color rgb="FF000000"/>
        <rFont val="宋体"/>
        <charset val="134"/>
      </rPr>
      <t>点魔法值和</t>
    </r>
    <r>
      <rPr>
        <sz val="14"/>
        <color rgb="FF000000"/>
        <rFont val="Resource Han Rounded CN Normal"/>
        <charset val="134"/>
      </rPr>
      <t>1d3</t>
    </r>
    <r>
      <rPr>
        <sz val="14"/>
        <color rgb="FF000000"/>
        <rFont val="宋体"/>
        <charset val="134"/>
      </rPr>
      <t>点理智值，由大批人一起咏唱，不需知晓具体命令</t>
    </r>
  </si>
  <si>
    <t>直到巨噬蠕虫现身，领导者胜出则可命令，领导者走神或睡着或主动解放</t>
  </si>
  <si>
    <t>FLESH WARD</t>
  </si>
  <si>
    <t>血肉防护术</t>
  </si>
  <si>
    <r>
      <rPr>
        <sz val="14"/>
        <color rgb="FF000000"/>
        <rFont val="宋体"/>
        <charset val="134"/>
      </rPr>
      <t>肉体</t>
    </r>
    <r>
      <rPr>
        <sz val="14"/>
        <color rgb="FF000000"/>
        <rFont val="MS Gothic"/>
        <charset val="134"/>
      </rPr>
      <t>の</t>
    </r>
    <r>
      <rPr>
        <sz val="14"/>
        <color rgb="FF000000"/>
        <rFont val="宋体"/>
        <charset val="134"/>
      </rPr>
      <t>保護</t>
    </r>
  </si>
  <si>
    <r>
      <rPr>
        <sz val="14"/>
        <color rgb="FF000000"/>
        <rFont val="宋体"/>
        <charset val="134"/>
      </rPr>
      <t>血肉防护术〔保〕</t>
    </r>
    <r>
      <rPr>
        <sz val="14"/>
        <color rgb="FF000000"/>
        <rFont val="Resource Han Rounded CN Normal"/>
        <charset val="134"/>
      </rPr>
      <t xml:space="preserve">
Flesh Ward
</t>
    </r>
    <r>
      <rPr>
        <sz val="14"/>
        <color rgb="FF000000"/>
        <rFont val="宋体"/>
        <charset val="134"/>
      </rPr>
      <t>消耗：可变的魔法值；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轮</t>
    </r>
    <r>
      <rPr>
        <sz val="14"/>
        <color rgb="FF000000"/>
        <rFont val="Resource Han Rounded CN Normal"/>
        <charset val="134"/>
      </rPr>
      <t xml:space="preserve">
</t>
    </r>
    <r>
      <rPr>
        <sz val="14"/>
        <color rgb="FF000000"/>
        <rFont val="宋体"/>
        <charset val="134"/>
      </rPr>
      <t>获得对物理攻击的保护。每消耗一点魔法值，给予施法者（或者选定的目标）</t>
    </r>
    <r>
      <rPr>
        <sz val="14"/>
        <color rgb="FF000000"/>
        <rFont val="Resource Han Rounded CN Normal"/>
        <charset val="134"/>
      </rPr>
      <t>1D6</t>
    </r>
    <r>
      <rPr>
        <sz val="14"/>
        <color rgb="FF000000"/>
        <rFont val="宋体"/>
        <charset val="134"/>
      </rPr>
      <t>点对非魔法武器的护甲。保护在阻挡伤害的同时也会耗损；比如某角色有</t>
    </r>
    <r>
      <rPr>
        <sz val="14"/>
        <color rgb="FF000000"/>
        <rFont val="Resource Han Rounded CN Normal"/>
        <charset val="134"/>
      </rPr>
      <t>12</t>
    </r>
    <r>
      <rPr>
        <sz val="14"/>
        <color rgb="FF000000"/>
        <rFont val="宋体"/>
        <charset val="134"/>
      </rPr>
      <t>点血肉防护作为护甲，受到</t>
    </r>
    <r>
      <rPr>
        <sz val="14"/>
        <color rgb="FF000000"/>
        <rFont val="Resource Han Rounded CN Normal"/>
        <charset val="134"/>
      </rPr>
      <t>8</t>
    </r>
    <r>
      <rPr>
        <sz val="14"/>
        <color rgb="FF000000"/>
        <rFont val="宋体"/>
        <charset val="134"/>
      </rPr>
      <t>点伤害后，血肉防护会减少到</t>
    </r>
    <r>
      <rPr>
        <sz val="14"/>
        <color rgb="FF000000"/>
        <rFont val="Resource Han Rounded CN Normal"/>
        <charset val="134"/>
      </rPr>
      <t>4</t>
    </r>
    <r>
      <rPr>
        <sz val="14"/>
        <color rgb="FF000000"/>
        <rFont val="宋体"/>
        <charset val="134"/>
      </rPr>
      <t>点，但角色不会受到伤害。本法术持续</t>
    </r>
    <r>
      <rPr>
        <sz val="14"/>
        <color rgb="FF000000"/>
        <rFont val="Resource Han Rounded CN Normal"/>
        <charset val="134"/>
      </rPr>
      <t>24</t>
    </r>
    <r>
      <rPr>
        <sz val="14"/>
        <color rgb="FF000000"/>
        <rFont val="宋体"/>
        <charset val="134"/>
      </rPr>
      <t>小时或到防护点数用尽为止。本法术一次施放以后就不可以用更多的魔法值去强化，也不能在已有的防护用尽之前重新施放。</t>
    </r>
    <r>
      <rPr>
        <sz val="14"/>
        <color rgb="FF000000"/>
        <rFont val="Resource Han Rounded CN Normal"/>
        <charset val="134"/>
      </rPr>
      <t xml:space="preserve">
</t>
    </r>
    <r>
      <rPr>
        <sz val="14"/>
        <color rgb="FF000000"/>
        <rFont val="宋体"/>
        <charset val="134"/>
      </rPr>
      <t>别名：保汝不受重击、意志的护甲、血盾</t>
    </r>
  </si>
  <si>
    <t>Command Dhole</t>
  </si>
  <si>
    <t>MELT FLESH</t>
  </si>
  <si>
    <t>血肉熔解术</t>
  </si>
  <si>
    <r>
      <rPr>
        <sz val="14"/>
        <color rgb="FF000000"/>
        <rFont val="宋体"/>
        <charset val="134"/>
      </rPr>
      <t>肉</t>
    </r>
    <r>
      <rPr>
        <sz val="14"/>
        <color rgb="FF000000"/>
        <rFont val="MS Gothic"/>
        <charset val="134"/>
      </rPr>
      <t>の</t>
    </r>
    <r>
      <rPr>
        <sz val="14"/>
        <color rgb="FF000000"/>
        <rFont val="宋体"/>
        <charset val="134"/>
      </rPr>
      <t>溶解</t>
    </r>
  </si>
  <si>
    <r>
      <rPr>
        <sz val="14"/>
        <color rgb="FF000000"/>
        <rFont val="宋体"/>
        <charset val="134"/>
      </rPr>
      <t>血肉熔解术〔害〕</t>
    </r>
    <r>
      <rPr>
        <sz val="14"/>
        <color rgb="FF000000"/>
        <rFont val="Resource Han Rounded CN Normal"/>
        <charset val="134"/>
      </rPr>
      <t xml:space="preserve">
Melt Flesh
</t>
    </r>
    <r>
      <rPr>
        <sz val="14"/>
        <color rgb="FF000000"/>
        <rFont val="宋体"/>
        <charset val="134"/>
      </rPr>
      <t>消耗（无生命的血肉）：每</t>
    </r>
    <r>
      <rPr>
        <sz val="14"/>
        <color rgb="FF000000"/>
        <rFont val="Resource Han Rounded CN Normal"/>
        <charset val="134"/>
      </rPr>
      <t>15SIZ</t>
    </r>
    <r>
      <rPr>
        <sz val="14"/>
        <color rgb="FF000000"/>
        <rFont val="宋体"/>
        <charset val="134"/>
      </rPr>
      <t>死肉</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消耗（活的血肉）：每</t>
    </r>
    <r>
      <rPr>
        <sz val="14"/>
        <color rgb="FF000000"/>
        <rFont val="Resource Han Rounded CN Normal"/>
        <charset val="134"/>
      </rPr>
      <t>15SIZ</t>
    </r>
    <r>
      <rPr>
        <sz val="14"/>
        <color rgb="FF000000"/>
        <rFont val="宋体"/>
        <charset val="134"/>
      </rPr>
      <t>活肉</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轮</t>
    </r>
    <r>
      <rPr>
        <sz val="14"/>
        <color rgb="FF000000"/>
        <rFont val="Resource Han Rounded CN Normal"/>
        <charset val="134"/>
      </rPr>
      <t xml:space="preserve">
</t>
    </r>
    <r>
      <rPr>
        <sz val="14"/>
        <color rgb="FF000000"/>
        <rFont val="宋体"/>
        <charset val="134"/>
      </rPr>
      <t>这种恶毒的法术会把血肉（不限死活）加热到熔点。如果作用于活物的血肉，施法者消耗的魔法值会大大增加。目标的血肉被熔解，造成恐怖的毁容效果（每有</t>
    </r>
    <r>
      <rPr>
        <sz val="14"/>
        <color rgb="FF000000"/>
        <rFont val="Resource Han Rounded CN Normal"/>
        <charset val="134"/>
      </rPr>
      <t>15</t>
    </r>
    <r>
      <rPr>
        <sz val="14"/>
        <color rgb="FF000000"/>
        <rFont val="宋体"/>
        <charset val="134"/>
      </rPr>
      <t>点</t>
    </r>
    <r>
      <rPr>
        <sz val="14"/>
        <color rgb="FF000000"/>
        <rFont val="Resource Han Rounded CN Normal"/>
        <charset val="134"/>
      </rPr>
      <t>SIZ</t>
    </r>
    <r>
      <rPr>
        <sz val="14"/>
        <color rgb="FF000000"/>
        <rFont val="宋体"/>
        <charset val="134"/>
      </rPr>
      <t>受到作用，就受到</t>
    </r>
    <r>
      <rPr>
        <sz val="14"/>
        <color rgb="FF000000"/>
        <rFont val="Resource Han Rounded CN Normal"/>
        <charset val="134"/>
      </rPr>
      <t>1D4</t>
    </r>
    <r>
      <rPr>
        <sz val="14"/>
        <color rgb="FF000000"/>
        <rFont val="宋体"/>
        <charset val="134"/>
      </rPr>
      <t>点伤害）。如果是面部被瞄准等特殊情况，目标可能致盲或致聋，还可能窒息，除非快速制造通风器材。目击人类的血肉熔化露出白骨，损失</t>
    </r>
    <r>
      <rPr>
        <sz val="14"/>
        <color rgb="FF000000"/>
        <rFont val="Resource Han Rounded CN Normal"/>
        <charset val="134"/>
      </rPr>
      <t>1/1D6</t>
    </r>
    <r>
      <rPr>
        <sz val="14"/>
        <color rgb="FF000000"/>
        <rFont val="宋体"/>
        <charset val="134"/>
      </rPr>
      <t>点理智值。</t>
    </r>
    <r>
      <rPr>
        <sz val="14"/>
        <color rgb="FF000000"/>
        <rFont val="Resource Han Rounded CN Normal"/>
        <charset val="134"/>
      </rPr>
      <t xml:space="preserve">
</t>
    </r>
    <r>
      <rPr>
        <sz val="14"/>
        <color rgb="FF000000"/>
        <rFont val="宋体"/>
        <charset val="134"/>
      </rPr>
      <t>别名：裂解仪式、皮肤液化术</t>
    </r>
  </si>
  <si>
    <r>
      <rPr>
        <sz val="14"/>
        <color rgb="FF000000"/>
        <rFont val="宋体"/>
        <charset val="134"/>
      </rPr>
      <t>纳克</t>
    </r>
    <r>
      <rPr>
        <sz val="14"/>
        <color rgb="FF000000"/>
        <rFont val="Resource Han Rounded CN Normal"/>
        <charset val="134"/>
      </rPr>
      <t>-</t>
    </r>
    <r>
      <rPr>
        <sz val="14"/>
        <color rgb="FF000000"/>
        <rFont val="宋体"/>
        <charset val="134"/>
      </rPr>
      <t>提特障壁创建术〔保〕</t>
    </r>
  </si>
  <si>
    <r>
      <rPr>
        <sz val="14"/>
        <color rgb="FF000000"/>
        <rFont val="宋体"/>
        <charset val="134"/>
      </rPr>
      <t>可变的魔法值；</t>
    </r>
    <r>
      <rPr>
        <sz val="14"/>
        <color rgb="FF000000"/>
        <rFont val="Resource Han Rounded CN Normal"/>
        <charset val="134"/>
      </rPr>
      <t>1D10</t>
    </r>
    <r>
      <rPr>
        <sz val="14"/>
        <color rgb="FF000000"/>
        <rFont val="宋体"/>
        <charset val="134"/>
      </rPr>
      <t>理智值</t>
    </r>
  </si>
  <si>
    <r>
      <rPr>
        <sz val="14"/>
        <color rgb="FF000000"/>
        <rFont val="Resource Han Rounded CN Normal"/>
        <charset val="134"/>
      </rPr>
      <t>1</t>
    </r>
    <r>
      <rPr>
        <sz val="14"/>
        <color rgb="FF000000"/>
        <rFont val="宋体"/>
        <charset val="134"/>
      </rPr>
      <t>分钟</t>
    </r>
  </si>
  <si>
    <r>
      <rPr>
        <sz val="14"/>
        <color rgb="FF000000"/>
        <rFont val="宋体"/>
        <charset val="134"/>
      </rPr>
      <t>纳克</t>
    </r>
    <r>
      <rPr>
        <sz val="14"/>
        <color rgb="FF000000"/>
        <rFont val="Resource Han Rounded CN Normal"/>
        <charset val="134"/>
      </rPr>
      <t>-</t>
    </r>
    <r>
      <rPr>
        <sz val="14"/>
        <color rgb="FF000000"/>
        <rFont val="宋体"/>
        <charset val="134"/>
      </rPr>
      <t>提特伟大监牢术、囚禁恶魔的无形球体</t>
    </r>
  </si>
  <si>
    <t>CONSUME LIKENESS</t>
  </si>
  <si>
    <t>相貌吞食术</t>
  </si>
  <si>
    <r>
      <rPr>
        <sz val="14"/>
        <color rgb="FF000000"/>
        <rFont val="宋体"/>
        <charset val="134"/>
      </rPr>
      <t>似姿</t>
    </r>
    <r>
      <rPr>
        <sz val="14"/>
        <color rgb="FF000000"/>
        <rFont val="MS Gothic"/>
        <charset val="134"/>
      </rPr>
      <t>の</t>
    </r>
    <r>
      <rPr>
        <sz val="14"/>
        <color rgb="FF000000"/>
        <rFont val="宋体"/>
        <charset val="134"/>
      </rPr>
      <t>利用</t>
    </r>
  </si>
  <si>
    <r>
      <rPr>
        <sz val="14"/>
        <color rgb="FF000000"/>
        <rFont val="宋体"/>
        <charset val="134"/>
      </rPr>
      <t>相貌吞食术〔变〕</t>
    </r>
    <r>
      <rPr>
        <sz val="14"/>
        <color rgb="FF000000"/>
        <rFont val="Resource Han Rounded CN Normal"/>
        <charset val="134"/>
      </rPr>
      <t xml:space="preserve">
Consume Likeness
</t>
    </r>
    <r>
      <rPr>
        <sz val="14"/>
        <color rgb="FF000000"/>
        <rFont val="宋体"/>
        <charset val="134"/>
      </rPr>
      <t>消耗：每</t>
    </r>
    <r>
      <rPr>
        <sz val="14"/>
        <color rgb="FF000000"/>
        <rFont val="Resource Han Rounded CN Normal"/>
        <charset val="134"/>
      </rPr>
      <t>6</t>
    </r>
    <r>
      <rPr>
        <sz val="14"/>
        <color rgb="FF000000"/>
        <rFont val="宋体"/>
        <charset val="134"/>
      </rPr>
      <t>小时</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1D20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施法用时：数天</t>
    </r>
    <r>
      <rPr>
        <sz val="14"/>
        <color rgb="FF000000"/>
        <rFont val="Resource Han Rounded CN Normal"/>
        <charset val="134"/>
      </rPr>
      <t xml:space="preserve">
</t>
    </r>
    <r>
      <rPr>
        <sz val="14"/>
        <color rgb="FF000000"/>
        <rFont val="宋体"/>
        <charset val="134"/>
      </rPr>
      <t>蛇人很喜欢本法术，能让施法者伪装成新鲜死者的逼真形象，对肉眼、摄影器材、</t>
    </r>
    <r>
      <rPr>
        <sz val="14"/>
        <color rgb="FF000000"/>
        <rFont val="Resource Han Rounded CN Normal"/>
        <charset val="134"/>
      </rPr>
      <t>X</t>
    </r>
    <r>
      <rPr>
        <sz val="14"/>
        <color rgb="FF000000"/>
        <rFont val="宋体"/>
        <charset val="134"/>
      </rPr>
      <t>光等等都有效。受害者和施法者的</t>
    </r>
    <r>
      <rPr>
        <sz val="14"/>
        <color rgb="FF000000"/>
        <rFont val="Resource Han Rounded CN Normal"/>
        <charset val="134"/>
      </rPr>
      <t>SIZ</t>
    </r>
    <r>
      <rPr>
        <sz val="14"/>
        <color rgb="FF000000"/>
        <rFont val="宋体"/>
        <charset val="134"/>
      </rPr>
      <t>差异不应超过</t>
    </r>
    <r>
      <rPr>
        <sz val="14"/>
        <color rgb="FF000000"/>
        <rFont val="Resource Han Rounded CN Normal"/>
        <charset val="134"/>
      </rPr>
      <t>15</t>
    </r>
    <r>
      <rPr>
        <sz val="14"/>
        <color rgb="FF000000"/>
        <rFont val="宋体"/>
        <charset val="134"/>
      </rPr>
      <t>点。施法者将目标（通常在几天当中）吞食殆尽，并每六小时消耗</t>
    </r>
    <r>
      <rPr>
        <sz val="14"/>
        <color rgb="FF000000"/>
        <rFont val="Resource Han Rounded CN Normal"/>
        <charset val="134"/>
      </rPr>
      <t>10</t>
    </r>
    <r>
      <rPr>
        <sz val="14"/>
        <color rgb="FF000000"/>
        <rFont val="宋体"/>
        <charset val="134"/>
      </rPr>
      <t>点魔法值、永久牺牲</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。法术完成之后，施法者即可任意呈现目标的形象，想维持多久就能维持多久。敏锐的观察者会发现，施法者的影子会保持原样（和被吞食的人不同）。相似地，施法者的技能和记忆都保持完整</t>
    </r>
    <r>
      <rPr>
        <sz val="14"/>
        <color rgb="FF000000"/>
        <rFont val="Resource Han Rounded CN Normal"/>
        <charset val="134"/>
      </rPr>
      <t>--</t>
    </r>
    <r>
      <rPr>
        <sz val="14"/>
        <color rgb="FF000000"/>
        <rFont val="宋体"/>
        <charset val="134"/>
      </rPr>
      <t>受害者的则不复存在了。施法者可以吞食多人，藉此获得多重伪装。在失去一点以上耐久值之后，施法者会恢复原本的形象。从伪装形象变化成原始形象需要</t>
    </r>
    <r>
      <rPr>
        <sz val="14"/>
        <color rgb="FF000000"/>
        <rFont val="Resource Han Rounded CN Normal"/>
        <charset val="134"/>
      </rPr>
      <t>20</t>
    </r>
    <r>
      <rPr>
        <sz val="14"/>
        <color rgb="FF000000"/>
        <rFont val="宋体"/>
        <charset val="134"/>
      </rPr>
      <t>秒。在伪装成另一个形象之前必须恢复原始形象。从原始形象变化成伪装形象需要</t>
    </r>
    <r>
      <rPr>
        <sz val="14"/>
        <color rgb="FF000000"/>
        <rFont val="Resource Han Rounded CN Normal"/>
        <charset val="134"/>
      </rPr>
      <t>1D3</t>
    </r>
    <r>
      <rPr>
        <sz val="14"/>
        <color rgb="FF000000"/>
        <rFont val="宋体"/>
        <charset val="134"/>
      </rPr>
      <t>分钟。</t>
    </r>
    <r>
      <rPr>
        <sz val="14"/>
        <color rgb="FF000000"/>
        <rFont val="Resource Han Rounded CN Normal"/>
        <charset val="134"/>
      </rPr>
      <t xml:space="preserve">
</t>
    </r>
    <r>
      <rPr>
        <sz val="14"/>
        <color rgb="FF000000"/>
        <rFont val="宋体"/>
        <charset val="134"/>
      </rPr>
      <t>深层魔法：施法者有时可以回忆起他们被他们吞食的那些人的记忆和思想。这些内容通常是法术的无辜目标所知晓的特殊信息。每回忆起一条额外的信息</t>
    </r>
    <r>
      <rPr>
        <sz val="14"/>
        <color rgb="FF000000"/>
        <rFont val="Resource Han Rounded CN Normal"/>
        <charset val="134"/>
      </rPr>
      <t>,</t>
    </r>
    <r>
      <rPr>
        <sz val="14"/>
        <color rgb="FF000000"/>
        <rFont val="宋体"/>
        <charset val="134"/>
      </rPr>
      <t>施法者需要额外消耗</t>
    </r>
    <r>
      <rPr>
        <sz val="14"/>
        <color rgb="FF000000"/>
        <rFont val="Resource Han Rounded CN Normal"/>
        <charset val="134"/>
      </rPr>
      <t>1</t>
    </r>
    <r>
      <rPr>
        <sz val="14"/>
        <color rgb="FF000000"/>
        <rFont val="宋体"/>
        <charset val="134"/>
      </rPr>
      <t>点魔法值并进行一次成功的</t>
    </r>
    <r>
      <rPr>
        <sz val="14"/>
        <color rgb="FF000000"/>
        <rFont val="Resource Han Rounded CN Normal"/>
        <charset val="134"/>
      </rPr>
      <t>POW</t>
    </r>
    <r>
      <rPr>
        <sz val="14"/>
        <color rgb="FF000000"/>
        <rFont val="宋体"/>
        <charset val="134"/>
      </rPr>
      <t>检定。</t>
    </r>
    <r>
      <rPr>
        <sz val="14"/>
        <color rgb="FF000000"/>
        <rFont val="Resource Han Rounded CN Normal"/>
        <charset val="134"/>
      </rPr>
      <t xml:space="preserve">
</t>
    </r>
    <r>
      <rPr>
        <sz val="14"/>
        <color rgb="FF000000"/>
        <rFont val="宋体"/>
        <charset val="134"/>
      </rPr>
      <t>别名：蛇皮斗篷、伐鲁希亚的披风、伊格的馈赠</t>
    </r>
  </si>
  <si>
    <t>血肉移植术〔保〕</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</si>
  <si>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2D6</t>
    </r>
    <r>
      <rPr>
        <sz val="14"/>
        <color rgb="FF000000"/>
        <rFont val="宋体"/>
        <charset val="134"/>
      </rPr>
      <t>点理智值</t>
    </r>
  </si>
  <si>
    <r>
      <rPr>
        <sz val="14"/>
        <color rgb="FF000000"/>
        <rFont val="Resource Han Rounded CN Normal"/>
        <charset val="134"/>
      </rPr>
      <t>2</t>
    </r>
    <r>
      <rPr>
        <sz val="14"/>
        <color rgb="FF000000"/>
        <rFont val="宋体"/>
        <charset val="134"/>
      </rPr>
      <t>小时</t>
    </r>
  </si>
  <si>
    <t>POWER OF NYAMBE</t>
  </si>
  <si>
    <t>尼安贝的魔力</t>
  </si>
  <si>
    <t>ニャンベのパワー</t>
  </si>
  <si>
    <r>
      <rPr>
        <sz val="14"/>
        <color rgb="FF000000"/>
        <rFont val="宋体"/>
        <charset val="134"/>
      </rPr>
      <t>尼安贝的魔力〔他〕</t>
    </r>
    <r>
      <rPr>
        <sz val="14"/>
        <color rgb="FF000000"/>
        <rFont val="Resource Han Rounded CN Normal"/>
        <charset val="134"/>
      </rPr>
      <t xml:space="preserve">
Power of Nyambe[34]
</t>
    </r>
    <r>
      <rPr>
        <sz val="14"/>
        <color rgb="FF000000"/>
        <rFont val="宋体"/>
        <charset val="134"/>
      </rPr>
      <t>消耗：</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6</t>
    </r>
    <r>
      <rPr>
        <sz val="14"/>
        <color rgb="FF000000"/>
        <rFont val="宋体"/>
        <charset val="134"/>
      </rPr>
      <t>轮</t>
    </r>
    <r>
      <rPr>
        <sz val="14"/>
        <color rgb="FF000000"/>
        <rFont val="Resource Han Rounded CN Normal"/>
        <charset val="134"/>
      </rPr>
      <t xml:space="preserve">
</t>
    </r>
    <r>
      <rPr>
        <sz val="14"/>
        <color rgb="FF000000"/>
        <rFont val="宋体"/>
        <charset val="134"/>
      </rPr>
      <t>施法者举行一场卑贱的仪式，召唤各种神话神祇并祈求帮助。作为回报，施法者获得</t>
    </r>
    <r>
      <rPr>
        <sz val="14"/>
        <color rgb="FF000000"/>
        <rFont val="Resource Han Rounded CN Normal"/>
        <charset val="134"/>
      </rPr>
      <t>2D6</t>
    </r>
    <r>
      <rPr>
        <sz val="14"/>
        <color rgb="FF000000"/>
        <rFont val="宋体"/>
        <charset val="134"/>
      </rPr>
      <t>点魔法值。超过施法者最大魔法值的魔法值会保留，但消耗后不可回复。</t>
    </r>
    <r>
      <rPr>
        <sz val="14"/>
        <color rgb="FF000000"/>
        <rFont val="Resource Han Rounded CN Normal"/>
        <charset val="134"/>
      </rPr>
      <t xml:space="preserve">
</t>
    </r>
    <r>
      <rPr>
        <sz val="14"/>
        <color rgb="FF000000"/>
        <rFont val="宋体"/>
        <charset val="134"/>
      </rPr>
      <t>有人怀疑某些神话神祇会要求请求者和它签订正式的仆从契约、或者牺牲等举动来证明自己的忠诚，然后神话存在才会给予请求者魔法力量。</t>
    </r>
    <r>
      <rPr>
        <sz val="14"/>
        <color rgb="FF000000"/>
        <rFont val="Resource Han Rounded CN Normal"/>
        <charset val="134"/>
      </rPr>
      <t xml:space="preserve">
</t>
    </r>
    <r>
      <rPr>
        <sz val="14"/>
        <color rgb="FF000000"/>
        <rFont val="宋体"/>
        <charset val="134"/>
      </rPr>
      <t>别名：召唤尼安贝的神力、（此处填入外神和旧日支配者的名字）的帮助</t>
    </r>
  </si>
  <si>
    <t>肉体屈服术〔支、造〕</t>
  </si>
  <si>
    <r>
      <rPr>
        <sz val="14"/>
        <color rgb="FF000000"/>
        <rFont val="Resource Han Rounded CN Normal"/>
        <charset val="134"/>
      </rPr>
      <t>5+</t>
    </r>
    <r>
      <rPr>
        <sz val="14"/>
        <color rgb="FF000000"/>
        <rFont val="宋体"/>
        <charset val="134"/>
      </rPr>
      <t>点魔法值；</t>
    </r>
    <r>
      <rPr>
        <sz val="14"/>
        <color rgb="FF000000"/>
        <rFont val="Resource Han Rounded CN Normal"/>
        <charset val="134"/>
      </rPr>
      <t>3</t>
    </r>
    <r>
      <rPr>
        <sz val="14"/>
        <color rgb="FF000000"/>
        <rFont val="宋体"/>
        <charset val="134"/>
      </rPr>
      <t>点理智值</t>
    </r>
  </si>
  <si>
    <t>不思考的仆从制造术、僵尸化、岛民的仪式</t>
  </si>
  <si>
    <t>CALL POWER OF NYAMB</t>
  </si>
  <si>
    <t>召唤尼安贝的魔力</t>
  </si>
  <si>
    <r>
      <rPr>
        <sz val="14"/>
        <color rgb="FF000000"/>
        <rFont val="MS Gothic"/>
        <charset val="134"/>
      </rPr>
      <t>ニャンベのパワーの</t>
    </r>
    <r>
      <rPr>
        <sz val="14"/>
        <color rgb="FF000000"/>
        <rFont val="宋体"/>
        <charset val="134"/>
      </rPr>
      <t>招来</t>
    </r>
  </si>
  <si>
    <t>同《尼安贝的魔力》</t>
  </si>
  <si>
    <t>血肉防护术〔保〕</t>
  </si>
  <si>
    <t>保汝不受重击、意志的护甲、血盾</t>
  </si>
  <si>
    <t>CLUTCH OF NYOGTHA</t>
  </si>
  <si>
    <t>尼约格萨紧握术</t>
  </si>
  <si>
    <t>ニョグタのわしづかみ</t>
  </si>
  <si>
    <r>
      <rPr>
        <sz val="14"/>
        <color rgb="FF000000"/>
        <rFont val="宋体"/>
        <charset val="134"/>
      </rPr>
      <t>尼约格萨紧握术〔战〕</t>
    </r>
    <r>
      <rPr>
        <sz val="14"/>
        <color rgb="FF000000"/>
        <rFont val="Resource Han Rounded CN Normal"/>
        <charset val="134"/>
      </rPr>
      <t xml:space="preserve">
Clutch of Nyogtha
</t>
    </r>
    <r>
      <rPr>
        <sz val="14"/>
        <color rgb="FF000000"/>
        <rFont val="宋体"/>
        <charset val="134"/>
      </rPr>
      <t>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1D20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施法者须消耗</t>
    </r>
    <r>
      <rPr>
        <sz val="14"/>
        <color rgb="FF000000"/>
        <rFont val="Resource Han Rounded CN Normal"/>
        <charset val="134"/>
      </rPr>
      <t>1</t>
    </r>
    <r>
      <rPr>
        <sz val="14"/>
        <color rgb="FF000000"/>
        <rFont val="宋体"/>
        <charset val="134"/>
      </rPr>
      <t>点魔法值启动法术，目标必须在能够交谈的距离之内。施法者须和目标进行一次</t>
    </r>
    <r>
      <rPr>
        <sz val="14"/>
        <color rgb="FF000000"/>
        <rFont val="Resource Han Rounded CN Normal"/>
        <charset val="134"/>
      </rPr>
      <t>POW</t>
    </r>
    <r>
      <rPr>
        <sz val="14"/>
        <color rgb="FF000000"/>
        <rFont val="宋体"/>
        <charset val="134"/>
      </rPr>
      <t>对抗检定并胜出，法术才能生效。若施法者胜出，目标会感觉似乎有一只巨手或者触手挤压着他的心脏，在法术生效期间每轮损失</t>
    </r>
    <r>
      <rPr>
        <sz val="14"/>
        <color rgb="FF000000"/>
        <rFont val="Resource Han Rounded CN Normal"/>
        <charset val="134"/>
      </rPr>
      <t>1D3</t>
    </r>
    <r>
      <rPr>
        <sz val="14"/>
        <color rgb="FF000000"/>
        <rFont val="宋体"/>
        <charset val="134"/>
      </rPr>
      <t>点耐久值。在受到这种攻击时，目标会暂时瘫痪，好像心脏病发作了一样。如果某轮中累计伤害使得目标的耐久归零，目标的胸口将破裂炸开，他冒着热气的心脏会出现在施法者的手中。施法者每轮都需要专注施法来维持法术的效果。法术每持续一轮，施法者就需要消耗两倍于（上轮中）耐久伤害的魔法值，且每轮都要和目标做一次</t>
    </r>
    <r>
      <rPr>
        <sz val="14"/>
        <color rgb="FF000000"/>
        <rFont val="Resource Han Rounded CN Normal"/>
        <charset val="134"/>
      </rPr>
      <t>POW</t>
    </r>
    <r>
      <rPr>
        <sz val="14"/>
        <color rgb="FF000000"/>
        <rFont val="宋体"/>
        <charset val="134"/>
      </rPr>
      <t>对抗检定并胜出。如果施法者的专注中断，法术终止。</t>
    </r>
    <r>
      <rPr>
        <sz val="14"/>
        <color rgb="FF000000"/>
        <rFont val="Resource Han Rounded CN Normal"/>
        <charset val="134"/>
      </rPr>
      <t xml:space="preserve">
</t>
    </r>
    <r>
      <rPr>
        <sz val="14"/>
        <color rgb="FF000000"/>
        <rFont val="宋体"/>
        <charset val="134"/>
      </rPr>
      <t>别名：邪恶的扭绞、黑暗巫师的暗中暴怒、可怖之抓挠</t>
    </r>
  </si>
  <si>
    <t>血肉熔解术〔害〕</t>
  </si>
  <si>
    <r>
      <rPr>
        <sz val="14"/>
        <color rgb="FF000000"/>
        <rFont val="宋体"/>
        <charset val="134"/>
      </rPr>
      <t>每</t>
    </r>
    <r>
      <rPr>
        <sz val="14"/>
        <color rgb="FF000000"/>
        <rFont val="Resource Han Rounded CN Normal"/>
        <charset val="134"/>
      </rPr>
      <t>15SIZ</t>
    </r>
    <r>
      <rPr>
        <sz val="14"/>
        <color rgb="FF000000"/>
        <rFont val="宋体"/>
        <charset val="134"/>
      </rPr>
      <t>死肉</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1D4</t>
    </r>
    <r>
      <rPr>
        <sz val="14"/>
        <color rgb="FF000000"/>
        <rFont val="宋体"/>
        <charset val="134"/>
      </rPr>
      <t>点理智值</t>
    </r>
  </si>
  <si>
    <r>
      <rPr>
        <sz val="14"/>
        <color rgb="FF000000"/>
        <rFont val="宋体"/>
        <charset val="134"/>
      </rPr>
      <t>每</t>
    </r>
    <r>
      <rPr>
        <sz val="14"/>
        <color rgb="FF000000"/>
        <rFont val="Resource Han Rounded CN Normal"/>
        <charset val="134"/>
      </rPr>
      <t>15SIZ</t>
    </r>
    <r>
      <rPr>
        <sz val="14"/>
        <color rgb="FF000000"/>
        <rFont val="宋体"/>
        <charset val="134"/>
      </rPr>
      <t>活肉</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5</t>
    </r>
    <r>
      <rPr>
        <sz val="14"/>
        <color rgb="FF000000"/>
        <rFont val="宋体"/>
        <charset val="134"/>
      </rPr>
      <t>轮</t>
    </r>
  </si>
  <si>
    <t>裂解仪式、皮肤液化术</t>
  </si>
  <si>
    <t>BAIT HUMANS</t>
  </si>
  <si>
    <t>人类引诱术</t>
  </si>
  <si>
    <r>
      <rPr>
        <sz val="14"/>
        <color rgb="FF000000"/>
        <rFont val="宋体"/>
        <charset val="134"/>
      </rPr>
      <t>人間</t>
    </r>
    <r>
      <rPr>
        <sz val="14"/>
        <color rgb="FF000000"/>
        <rFont val="MS Gothic"/>
        <charset val="134"/>
      </rPr>
      <t>をおびき</t>
    </r>
    <r>
      <rPr>
        <sz val="14"/>
        <color rgb="FF000000"/>
        <rFont val="宋体"/>
        <charset val="134"/>
      </rPr>
      <t>寄</t>
    </r>
    <r>
      <rPr>
        <sz val="14"/>
        <color rgb="FF000000"/>
        <rFont val="MS Gothic"/>
        <charset val="134"/>
      </rPr>
      <t>せる</t>
    </r>
  </si>
  <si>
    <r>
      <rPr>
        <sz val="14"/>
        <color rgb="FF000000"/>
        <rFont val="宋体"/>
        <charset val="134"/>
      </rPr>
      <t>人类引诱术（钻地魔虫）〔驱、支〕</t>
    </r>
    <r>
      <rPr>
        <sz val="14"/>
        <color rgb="FF000000"/>
        <rFont val="Resource Han Rounded CN Normal"/>
        <charset val="134"/>
      </rPr>
      <t xml:space="preserve">
Bait Humans
</t>
    </r>
    <r>
      <rPr>
        <sz val="14"/>
        <color rgb="FF000000"/>
        <rFont val="宋体"/>
        <charset val="134"/>
      </rPr>
      <t>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目标的眼前会出现一块大得难以置信、做工精良的钻石幻象（只有目标自己能看见）。目标如果走近幻象，它会以大致相同的速度后退，方向由施法者自由决定，想必会引到饥饿的钻地魔虫等候的地方。和垂钓一样，目标是愿者上钩。</t>
    </r>
    <r>
      <rPr>
        <sz val="14"/>
        <color rgb="FF000000"/>
        <rFont val="Resource Han Rounded CN Normal"/>
        <charset val="134"/>
      </rPr>
      <t xml:space="preserve">
</t>
    </r>
    <r>
      <rPr>
        <sz val="14"/>
        <color rgb="FF000000"/>
        <rFont val="宋体"/>
        <charset val="134"/>
      </rPr>
      <t>据信只有钻地魔虫知道本法术，另外还有一个变体叫做</t>
    </r>
    <r>
      <rPr>
        <sz val="14"/>
        <color rgb="FF000000"/>
        <rFont val="Resource Han Rounded CN Normal"/>
        <charset val="134"/>
      </rPr>
      <t>“</t>
    </r>
    <r>
      <rPr>
        <sz val="14"/>
        <color rgb="FF000000"/>
        <rFont val="宋体"/>
        <charset val="134"/>
      </rPr>
      <t>潜沙怪引诱术</t>
    </r>
    <r>
      <rPr>
        <sz val="14"/>
        <color rgb="FF000000"/>
        <rFont val="Resource Han Rounded CN Normal"/>
        <charset val="134"/>
      </rPr>
      <t>”</t>
    </r>
    <r>
      <rPr>
        <sz val="14"/>
        <color rgb="FF000000"/>
        <rFont val="宋体"/>
        <charset val="134"/>
      </rPr>
      <t>，漂浮的钻石形象换成了鲜嫩滴血的人类腰腿肉。但是，零星有典籍暗示有些狂热于力量的巫师已经成功改编了这个法术来自己使用。</t>
    </r>
    <r>
      <rPr>
        <sz val="14"/>
        <color rgb="FF000000"/>
        <rFont val="Resource Han Rounded CN Normal"/>
        <charset val="134"/>
      </rPr>
      <t xml:space="preserve">
</t>
    </r>
    <r>
      <rPr>
        <sz val="14"/>
        <color rgb="FF000000"/>
        <rFont val="宋体"/>
        <charset val="134"/>
      </rPr>
      <t>本法术持续五分钟并可以任意次反复施放（每次支付</t>
    </r>
    <r>
      <rPr>
        <sz val="14"/>
        <color rgb="FF000000"/>
        <rFont val="Resource Han Rounded CN Normal"/>
        <charset val="134"/>
      </rPr>
      <t>1</t>
    </r>
    <r>
      <rPr>
        <sz val="14"/>
        <color rgb="FF000000"/>
        <rFont val="宋体"/>
        <charset val="134"/>
      </rPr>
      <t>点魔法值）。法术范围大约</t>
    </r>
    <r>
      <rPr>
        <sz val="14"/>
        <color rgb="FF000000"/>
        <rFont val="Resource Han Rounded CN Normal"/>
        <charset val="134"/>
      </rPr>
      <t>1</t>
    </r>
    <r>
      <rPr>
        <sz val="14"/>
        <color rgb="FF000000"/>
        <rFont val="宋体"/>
        <charset val="134"/>
      </rPr>
      <t>英里。</t>
    </r>
    <r>
      <rPr>
        <sz val="14"/>
        <color rgb="FF000000"/>
        <rFont val="Resource Han Rounded CN Normal"/>
        <charset val="134"/>
      </rPr>
      <t xml:space="preserve">
</t>
    </r>
    <r>
      <rPr>
        <sz val="14"/>
        <color rgb="FF000000"/>
        <rFont val="宋体"/>
        <charset val="134"/>
      </rPr>
      <t>深层魔法：线索表明本法术存在一些只有最古老最强大的巫师才懂得的变体。在这些罕见的变体中，目标会看见他心中的渴望，不论它是金钱、失去的爱人还是其他的东西。这个版本的法术恐怕任何典籍都找不到，只能存在于不死巫师疯狂的脑海里。如果找到了这种法术，那肯定是要支付理智值的。</t>
    </r>
    <r>
      <rPr>
        <sz val="14"/>
        <color rgb="FF000000"/>
        <rFont val="Resource Han Rounded CN Normal"/>
        <charset val="134"/>
      </rPr>
      <t xml:space="preserve">
</t>
    </r>
    <r>
      <rPr>
        <sz val="14"/>
        <color rgb="FF000000"/>
        <rFont val="宋体"/>
        <charset val="134"/>
      </rPr>
      <t>别名：进食仪式、引诱弱者、欲望宝石</t>
    </r>
  </si>
  <si>
    <t>相貌吞食术〔变〕</t>
  </si>
  <si>
    <r>
      <rPr>
        <sz val="14"/>
        <color rgb="FF000000"/>
        <rFont val="宋体"/>
        <charset val="134"/>
      </rPr>
      <t>每</t>
    </r>
    <r>
      <rPr>
        <sz val="14"/>
        <color rgb="FF000000"/>
        <rFont val="Resource Han Rounded CN Normal"/>
        <charset val="134"/>
      </rPr>
      <t>6</t>
    </r>
    <r>
      <rPr>
        <sz val="14"/>
        <color rgb="FF000000"/>
        <rFont val="宋体"/>
        <charset val="134"/>
      </rPr>
      <t>小时</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1D20</t>
    </r>
    <r>
      <rPr>
        <sz val="14"/>
        <color rgb="FF000000"/>
        <rFont val="宋体"/>
        <charset val="134"/>
      </rPr>
      <t>点理智值</t>
    </r>
  </si>
  <si>
    <t>数天</t>
  </si>
  <si>
    <t>蛇皮斗篷、伐鲁希亚的披风、伊格的馈赠</t>
  </si>
  <si>
    <t>CURSE OF THE RAT-THING</t>
  </si>
  <si>
    <t>人面鼠诅咒</t>
  </si>
  <si>
    <r>
      <rPr>
        <sz val="14"/>
        <color rgb="FF000000"/>
        <rFont val="MS Gothic"/>
        <charset val="134"/>
      </rPr>
      <t>ネズミ</t>
    </r>
    <r>
      <rPr>
        <sz val="14"/>
        <color rgb="FF000000"/>
        <rFont val="宋体"/>
        <charset val="134"/>
      </rPr>
      <t>怪物</t>
    </r>
    <r>
      <rPr>
        <sz val="14"/>
        <color rgb="FF000000"/>
        <rFont val="MS Gothic"/>
        <charset val="134"/>
      </rPr>
      <t>の</t>
    </r>
    <r>
      <rPr>
        <sz val="14"/>
        <color rgb="FF000000"/>
        <rFont val="宋体"/>
        <charset val="134"/>
      </rPr>
      <t>呪</t>
    </r>
    <r>
      <rPr>
        <sz val="14"/>
        <color rgb="FF000000"/>
        <rFont val="MS Gothic"/>
        <charset val="134"/>
      </rPr>
      <t>い</t>
    </r>
  </si>
  <si>
    <r>
      <rPr>
        <sz val="14"/>
        <color rgb="FF000000"/>
        <rFont val="宋体"/>
        <charset val="134"/>
      </rPr>
      <t>人面鼠诅咒〔造〕</t>
    </r>
    <r>
      <rPr>
        <sz val="14"/>
        <color rgb="FF000000"/>
        <rFont val="Resource Han Rounded CN Normal"/>
        <charset val="134"/>
      </rPr>
      <t xml:space="preserve">CurseoftheRat-thing
</t>
    </r>
    <r>
      <rPr>
        <sz val="14"/>
        <color rgb="FF000000"/>
        <rFont val="宋体"/>
        <charset val="134"/>
      </rPr>
      <t>消耗：</t>
    </r>
    <r>
      <rPr>
        <sz val="14"/>
        <color rgb="FF000000"/>
        <rFont val="Resource Han Rounded CN Normal"/>
        <charset val="134"/>
      </rPr>
      <t>20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1D10</t>
    </r>
    <r>
      <rPr>
        <sz val="14"/>
        <color rgb="FF000000"/>
        <rFont val="宋体"/>
        <charset val="134"/>
      </rPr>
      <t>点理</t>
    </r>
    <r>
      <rPr>
        <sz val="14"/>
        <color rgb="FF000000"/>
        <rFont val="Resource Han Rounded CN Normal"/>
        <charset val="134"/>
      </rPr>
      <t xml:space="preserve">
</t>
    </r>
    <r>
      <rPr>
        <sz val="14"/>
        <color rgb="FF000000"/>
        <rFont val="宋体"/>
        <charset val="134"/>
      </rPr>
      <t>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天</t>
    </r>
    <r>
      <rPr>
        <sz val="14"/>
        <color rgb="FF000000"/>
        <rFont val="Resource Han Rounded CN Normal"/>
        <charset val="134"/>
      </rPr>
      <t xml:space="preserve">
</t>
    </r>
    <r>
      <rPr>
        <sz val="14"/>
        <color rgb="FF000000"/>
        <rFont val="宋体"/>
        <charset val="134"/>
      </rPr>
      <t>当对一具死亡</t>
    </r>
    <r>
      <rPr>
        <sz val="14"/>
        <color rgb="FF000000"/>
        <rFont val="Resource Han Rounded CN Normal"/>
        <charset val="134"/>
      </rPr>
      <t>24</t>
    </r>
    <r>
      <rPr>
        <sz val="14"/>
        <color rgb="FF000000"/>
        <rFont val="宋体"/>
        <charset val="134"/>
      </rPr>
      <t>小时以内的尸体使用时，本法术会让目标的灵魂本质移动到新创造的人面鼠躯体里。</t>
    </r>
    <r>
      <rPr>
        <sz val="14"/>
        <color rgb="FF000000"/>
        <rFont val="Resource Han Rounded CN Normal"/>
        <charset val="134"/>
      </rPr>
      <t xml:space="preserve">
</t>
    </r>
    <r>
      <rPr>
        <sz val="14"/>
        <color rgb="FF000000"/>
        <rFont val="宋体"/>
        <charset val="134"/>
      </rPr>
      <t>尸体将瓦解并成为构建人面鼠的材料。人面鼠的脸会和目标自己脸的恶意版相似。如果</t>
    </r>
    <r>
      <rPr>
        <sz val="14"/>
        <color rgb="FF000000"/>
        <rFont val="Resource Han Rounded CN Normal"/>
        <charset val="134"/>
      </rPr>
      <t>KP</t>
    </r>
    <r>
      <rPr>
        <sz val="14"/>
        <color rgb="FF000000"/>
        <rFont val="宋体"/>
        <charset val="134"/>
      </rPr>
      <t>愿意的话，以人面鼠重生会让此人损失所有的理智值，并且强行彻底成为这个邪恶物种的一员（因为目标已经死了，这十分可能）。</t>
    </r>
    <r>
      <rPr>
        <sz val="14"/>
        <color rgb="FF000000"/>
        <rFont val="Resource Han Rounded CN Normal"/>
        <charset val="134"/>
      </rPr>
      <t xml:space="preserve">
</t>
    </r>
    <r>
      <rPr>
        <sz val="14"/>
        <color rgb="FF000000"/>
        <rFont val="宋体"/>
        <charset val="134"/>
      </rPr>
      <t>别名：鼠友的诞生、二四变形、创建鼠面仆从</t>
    </r>
  </si>
  <si>
    <t>尼安贝的魔力〔他〕</t>
  </si>
  <si>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1D6</t>
    </r>
    <r>
      <rPr>
        <sz val="14"/>
        <color rgb="FF000000"/>
        <rFont val="宋体"/>
        <charset val="134"/>
      </rPr>
      <t>点理智值</t>
    </r>
  </si>
  <si>
    <r>
      <rPr>
        <sz val="14"/>
        <color rgb="FF000000"/>
        <rFont val="Resource Han Rounded CN Normal"/>
        <charset val="134"/>
      </rPr>
      <t>6</t>
    </r>
    <r>
      <rPr>
        <sz val="14"/>
        <color rgb="FF000000"/>
        <rFont val="宋体"/>
        <charset val="134"/>
      </rPr>
      <t>轮</t>
    </r>
  </si>
  <si>
    <t>召唤尼安贝的神力、（此处填入外神和旧日支配者的名字）的帮助</t>
  </si>
  <si>
    <t>BLIGHT/BLESS CROP</t>
  </si>
  <si>
    <r>
      <rPr>
        <sz val="14"/>
        <color rgb="FF000000"/>
        <rFont val="宋体"/>
        <charset val="134"/>
      </rPr>
      <t>作物枯萎法</t>
    </r>
    <r>
      <rPr>
        <sz val="14"/>
        <color rgb="FF000000"/>
        <rFont val="Resource Han Rounded CN Normal"/>
        <charset val="134"/>
      </rPr>
      <t>/</t>
    </r>
    <r>
      <rPr>
        <sz val="14"/>
        <color rgb="FF000000"/>
        <rFont val="宋体"/>
        <charset val="134"/>
      </rPr>
      <t>作物祝福法</t>
    </r>
  </si>
  <si>
    <r>
      <rPr>
        <sz val="14"/>
        <color rgb="FF000000"/>
        <rFont val="宋体"/>
        <charset val="134"/>
      </rPr>
      <t>農作物</t>
    </r>
    <r>
      <rPr>
        <sz val="14"/>
        <color rgb="FF000000"/>
        <rFont val="MS Gothic"/>
        <charset val="134"/>
      </rPr>
      <t>を</t>
    </r>
    <r>
      <rPr>
        <sz val="14"/>
        <color rgb="FF000000"/>
        <rFont val="宋体"/>
        <charset val="134"/>
      </rPr>
      <t>枯</t>
    </r>
    <r>
      <rPr>
        <sz val="14"/>
        <color rgb="FF000000"/>
        <rFont val="MS Gothic"/>
        <charset val="134"/>
      </rPr>
      <t>らす</t>
    </r>
    <r>
      <rPr>
        <sz val="14"/>
        <color rgb="FF000000"/>
        <rFont val="宋体"/>
        <charset val="134"/>
      </rPr>
      <t>／農作物</t>
    </r>
    <r>
      <rPr>
        <sz val="14"/>
        <color rgb="FF000000"/>
        <rFont val="MS Gothic"/>
        <charset val="134"/>
      </rPr>
      <t>に</t>
    </r>
    <r>
      <rPr>
        <sz val="14"/>
        <color rgb="FF000000"/>
        <rFont val="宋体"/>
        <charset val="134"/>
      </rPr>
      <t>祝福</t>
    </r>
    <r>
      <rPr>
        <sz val="14"/>
        <color rgb="FF000000"/>
        <rFont val="MS Gothic"/>
        <charset val="134"/>
      </rPr>
      <t>を</t>
    </r>
    <r>
      <rPr>
        <sz val="14"/>
        <color rgb="FF000000"/>
        <rFont val="宋体"/>
        <charset val="134"/>
      </rPr>
      <t>与</t>
    </r>
    <r>
      <rPr>
        <sz val="14"/>
        <color rgb="FF000000"/>
        <rFont val="MS Gothic"/>
        <charset val="134"/>
      </rPr>
      <t>える</t>
    </r>
  </si>
  <si>
    <r>
      <rPr>
        <sz val="14"/>
        <color rgb="FF000000"/>
        <rFont val="宋体"/>
        <charset val="134"/>
      </rPr>
      <t>作物枯萎法</t>
    </r>
    <r>
      <rPr>
        <sz val="14"/>
        <color rgb="FF000000"/>
        <rFont val="Resource Han Rounded CN Normal"/>
        <charset val="134"/>
      </rPr>
      <t>/</t>
    </r>
    <r>
      <rPr>
        <sz val="14"/>
        <color rgb="FF000000"/>
        <rFont val="宋体"/>
        <charset val="134"/>
      </rPr>
      <t>作物祝福法（民俗）〔民〕</t>
    </r>
    <r>
      <rPr>
        <sz val="14"/>
        <color rgb="FF000000"/>
        <rFont val="Resource Han Rounded CN Normal"/>
        <charset val="134"/>
      </rPr>
      <t xml:space="preserve">
Blight/Bless Crop
</t>
    </r>
    <r>
      <rPr>
        <sz val="14"/>
        <color rgb="FF000000"/>
        <rFont val="宋体"/>
        <charset val="134"/>
      </rPr>
      <t>消耗：</t>
    </r>
    <r>
      <rPr>
        <sz val="14"/>
        <color rgb="FF000000"/>
        <rFont val="Resource Han Rounded CN Normal"/>
        <charset val="134"/>
      </rPr>
      <t>6</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施法者可以选择让一英亩（约</t>
    </r>
    <r>
      <rPr>
        <sz val="14"/>
        <color rgb="FF000000"/>
        <rFont val="Resource Han Rounded CN Normal"/>
        <charset val="134"/>
      </rPr>
      <t>400</t>
    </r>
    <r>
      <rPr>
        <sz val="14"/>
        <color rgb="FF000000"/>
        <rFont val="宋体"/>
        <charset val="134"/>
      </rPr>
      <t>平方米）的植物像受到旱灾一样缓慢枯萎死亡，或者充满活力、茁壮生长。施法者必须在要祝福或枯萎的地面里埋进一只小动物（鸟、猫、狗）的骸骨。</t>
    </r>
    <r>
      <rPr>
        <sz val="14"/>
        <color rgb="FF000000"/>
        <rFont val="Resource Han Rounded CN Normal"/>
        <charset val="134"/>
      </rPr>
      <t xml:space="preserve">
</t>
    </r>
    <r>
      <rPr>
        <sz val="14"/>
        <color rgb="FF000000"/>
        <rFont val="宋体"/>
        <charset val="134"/>
      </rPr>
      <t>让施法者</t>
    </r>
    <r>
      <rPr>
        <sz val="14"/>
        <color rgb="FF000000"/>
        <rFont val="Resource Han Rounded CN Normal"/>
        <charset val="134"/>
      </rPr>
      <t>“</t>
    </r>
    <r>
      <rPr>
        <sz val="14"/>
        <color rgb="FF000000"/>
        <rFont val="宋体"/>
        <charset val="134"/>
      </rPr>
      <t>出血</t>
    </r>
    <r>
      <rPr>
        <sz val="14"/>
        <color rgb="FF000000"/>
        <rFont val="Resource Han Rounded CN Normal"/>
        <charset val="134"/>
      </rPr>
      <t>”</t>
    </r>
    <r>
      <rPr>
        <sz val="14"/>
        <color rgb="FF000000"/>
        <rFont val="宋体"/>
        <charset val="134"/>
      </rPr>
      <t>（狠狠打脸，打到出血）可以终止法术，如果条件适宜，庄稼可以恢复健康（如果冬天就要到了，庄稼就没有时间长成）。</t>
    </r>
    <r>
      <rPr>
        <sz val="14"/>
        <color rgb="FF000000"/>
        <rFont val="Resource Han Rounded CN Normal"/>
        <charset val="134"/>
      </rPr>
      <t xml:space="preserve">
</t>
    </r>
    <r>
      <rPr>
        <sz val="14"/>
        <color rgb="FF000000"/>
        <rFont val="宋体"/>
        <charset val="134"/>
      </rPr>
      <t>别名：农夫的魔法、腐朽的诅咒、夏至祝福</t>
    </r>
  </si>
  <si>
    <t>尼约格萨紧握术〔战〕</t>
  </si>
  <si>
    <r>
      <rPr>
        <sz val="14"/>
        <color rgb="FF000000"/>
        <rFont val="Resource Han Rounded CN Normal"/>
        <charset val="134"/>
      </rPr>
      <t>1+</t>
    </r>
    <r>
      <rPr>
        <sz val="14"/>
        <color rgb="FF000000"/>
        <rFont val="宋体"/>
        <charset val="134"/>
      </rPr>
      <t>点魔法值；</t>
    </r>
    <r>
      <rPr>
        <sz val="14"/>
        <color rgb="FF000000"/>
        <rFont val="Resource Han Rounded CN Normal"/>
        <charset val="134"/>
      </rPr>
      <t>1D20</t>
    </r>
    <r>
      <rPr>
        <sz val="14"/>
        <color rgb="FF000000"/>
        <rFont val="宋体"/>
        <charset val="134"/>
      </rPr>
      <t>点理智值</t>
    </r>
  </si>
  <si>
    <t>邪恶的扭绞、黑暗巫师的暗中暴怒、可怖之抓挠</t>
  </si>
  <si>
    <t>CREATE CURSE WHISTLE</t>
  </si>
  <si>
    <t>诅咒之笛创建术</t>
  </si>
  <si>
    <r>
      <rPr>
        <sz val="14"/>
        <color rgb="FF000000"/>
        <rFont val="宋体"/>
        <charset val="134"/>
      </rPr>
      <t>呪</t>
    </r>
    <r>
      <rPr>
        <sz val="14"/>
        <color rgb="FF000000"/>
        <rFont val="MS Gothic"/>
        <charset val="134"/>
      </rPr>
      <t>いのホイッスルの</t>
    </r>
    <r>
      <rPr>
        <sz val="14"/>
        <color rgb="FF000000"/>
        <rFont val="宋体"/>
        <charset val="134"/>
      </rPr>
      <t>創造</t>
    </r>
  </si>
  <si>
    <r>
      <rPr>
        <sz val="14"/>
        <color rgb="FF000000"/>
        <rFont val="宋体"/>
        <charset val="134"/>
      </rPr>
      <t>诅咒之笛创建术〔附〕</t>
    </r>
    <r>
      <rPr>
        <sz val="14"/>
        <color rgb="FF000000"/>
        <rFont val="Resource Han Rounded CN Normal"/>
        <charset val="134"/>
      </rPr>
      <t xml:space="preserve">
Create Curse Whistle
</t>
    </r>
    <r>
      <rPr>
        <sz val="14"/>
        <color rgb="FF000000"/>
        <rFont val="宋体"/>
        <charset val="134"/>
      </rPr>
      <t>消耗：</t>
    </r>
    <r>
      <rPr>
        <sz val="14"/>
        <color rgb="FF000000"/>
        <rFont val="Resource Han Rounded CN Normal"/>
        <charset val="134"/>
      </rPr>
      <t>30</t>
    </r>
    <r>
      <rPr>
        <sz val="14"/>
        <color rgb="FF000000"/>
        <rFont val="宋体"/>
        <charset val="134"/>
      </rPr>
      <t>点魔法值施法用时：</t>
    </r>
    <r>
      <rPr>
        <sz val="14"/>
        <color rgb="FF000000"/>
        <rFont val="Resource Han Rounded CN Normal"/>
        <charset val="134"/>
      </rPr>
      <t>1</t>
    </r>
    <r>
      <rPr>
        <sz val="14"/>
        <color rgb="FF000000"/>
        <rFont val="宋体"/>
        <charset val="134"/>
      </rPr>
      <t>或多个夜晚</t>
    </r>
    <r>
      <rPr>
        <sz val="14"/>
        <color rgb="FF000000"/>
        <rFont val="Resource Han Rounded CN Normal"/>
        <charset val="134"/>
      </rPr>
      <t xml:space="preserve">
</t>
    </r>
    <r>
      <rPr>
        <sz val="14"/>
        <color rgb="FF000000"/>
        <rFont val="宋体"/>
        <charset val="134"/>
      </rPr>
      <t>可以用猫头鹰的骨头制造魔法笛子（有些变体需要人类骨头）。施法者必须在夏至日后第一个新月起、用一个或数个夜晚消耗法术所需的魔法值。</t>
    </r>
    <r>
      <rPr>
        <sz val="14"/>
        <color rgb="FF000000"/>
        <rFont val="Resource Han Rounded CN Normal"/>
        <charset val="134"/>
      </rPr>
      <t xml:space="preserve">
</t>
    </r>
    <r>
      <rPr>
        <sz val="14"/>
        <color rgb="FF000000"/>
        <rFont val="宋体"/>
        <charset val="134"/>
      </rPr>
      <t>其他知道本法术的人可以协助施法者投入魔法值。制成的哨子可以用来施放</t>
    </r>
    <r>
      <rPr>
        <sz val="14"/>
        <color rgb="FF000000"/>
        <rFont val="Resource Han Rounded CN Normal"/>
        <charset val="134"/>
      </rPr>
      <t>“</t>
    </r>
    <r>
      <rPr>
        <sz val="14"/>
        <color rgb="FF000000"/>
        <rFont val="宋体"/>
        <charset val="134"/>
      </rPr>
      <t>灵魂之歌</t>
    </r>
    <r>
      <rPr>
        <sz val="14"/>
        <color rgb="FF000000"/>
        <rFont val="Resource Han Rounded CN Normal"/>
        <charset val="134"/>
      </rPr>
      <t>”(P127)</t>
    </r>
    <r>
      <rPr>
        <sz val="14"/>
        <color rgb="FF000000"/>
        <rFont val="宋体"/>
        <charset val="134"/>
      </rPr>
      <t>、</t>
    </r>
    <r>
      <rPr>
        <sz val="14"/>
        <color rgb="FF000000"/>
        <rFont val="Resource Han Rounded CN Normal"/>
        <charset val="134"/>
      </rPr>
      <t>“</t>
    </r>
    <r>
      <rPr>
        <sz val="14"/>
        <color rgb="FF000000"/>
        <rFont val="宋体"/>
        <charset val="134"/>
      </rPr>
      <t>疯狂之笛</t>
    </r>
    <r>
      <rPr>
        <sz val="14"/>
        <color rgb="FF000000"/>
        <rFont val="Resource Han Rounded CN Normal"/>
        <charset val="134"/>
      </rPr>
      <t>”(P150)</t>
    </r>
    <r>
      <rPr>
        <sz val="14"/>
        <color rgb="FF000000"/>
        <rFont val="宋体"/>
        <charset val="134"/>
      </rPr>
      <t>等法术。</t>
    </r>
    <r>
      <rPr>
        <sz val="14"/>
        <color rgb="FF000000"/>
        <rFont val="Resource Han Rounded CN Normal"/>
        <charset val="134"/>
      </rPr>
      <t xml:space="preserve">
</t>
    </r>
    <r>
      <rPr>
        <sz val="14"/>
        <color rgb="FF000000"/>
        <rFont val="宋体"/>
        <charset val="134"/>
      </rPr>
      <t>别名：鸮骨之音、鸮鸣之笛、末日乐器</t>
    </r>
  </si>
  <si>
    <t>HEART'S COURAGE</t>
  </si>
  <si>
    <t>心中的勇气</t>
  </si>
  <si>
    <r>
      <rPr>
        <sz val="14"/>
        <color rgb="FF000000"/>
        <rFont val="MS Gothic"/>
        <charset val="134"/>
      </rPr>
      <t>ハートの</t>
    </r>
    <r>
      <rPr>
        <sz val="14"/>
        <color rgb="FF000000"/>
        <rFont val="宋体"/>
        <charset val="134"/>
      </rPr>
      <t>勇気</t>
    </r>
  </si>
  <si>
    <r>
      <rPr>
        <sz val="14"/>
        <color rgb="FF000000"/>
        <rFont val="宋体"/>
        <charset val="134"/>
      </rPr>
      <t>心中的勇气〔保〕</t>
    </r>
    <r>
      <rPr>
        <sz val="14"/>
        <color rgb="FF000000"/>
        <rFont val="Resource Han Rounded CN Normal"/>
        <charset val="134"/>
      </rPr>
      <t xml:space="preserve">
Heart's Courage
</t>
    </r>
    <r>
      <rPr>
        <sz val="14"/>
        <color rgb="FF000000"/>
        <rFont val="宋体"/>
        <charset val="134"/>
      </rPr>
      <t>消耗：</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4</t>
    </r>
    <r>
      <rPr>
        <sz val="14"/>
        <color rgb="FF000000"/>
        <rFont val="宋体"/>
        <charset val="134"/>
      </rPr>
      <t>点理智值施法用时：</t>
    </r>
    <r>
      <rPr>
        <sz val="14"/>
        <color rgb="FF000000"/>
        <rFont val="Resource Han Rounded CN Normal"/>
        <charset val="134"/>
      </rPr>
      <t>24</t>
    </r>
    <r>
      <rPr>
        <sz val="14"/>
        <color rgb="FF000000"/>
        <rFont val="宋体"/>
        <charset val="134"/>
      </rPr>
      <t>小时</t>
    </r>
    <r>
      <rPr>
        <sz val="14"/>
        <color rgb="FF000000"/>
        <rFont val="Resource Han Rounded CN Normal"/>
        <charset val="134"/>
      </rPr>
      <t xml:space="preserve">
</t>
    </r>
    <r>
      <rPr>
        <sz val="14"/>
        <color rgb="FF000000"/>
        <rFont val="宋体"/>
        <charset val="134"/>
      </rPr>
      <t>对付有克苏鲁神话知识的人用的保护法术。施法者在保护区域的墙壁或地面上雕刻某尊神话神祇专用的符文，并向它祈祷。</t>
    </r>
    <r>
      <rPr>
        <sz val="14"/>
        <color rgb="FF000000"/>
        <rFont val="Resource Han Rounded CN Normal"/>
        <charset val="134"/>
      </rPr>
      <t xml:space="preserve">
</t>
    </r>
    <r>
      <rPr>
        <sz val="14"/>
        <color rgb="FF000000"/>
        <rFont val="宋体"/>
        <charset val="134"/>
      </rPr>
      <t>接近符文且同样拥有「克苏鲁神话」技能的人必须吟诵出这尊神的名号才能通过。如果不能，此人将瘫痪不能动弹，虽然他们的身体还在正常运作</t>
    </r>
    <r>
      <rPr>
        <sz val="14"/>
        <color rgb="FF000000"/>
        <rFont val="Resource Han Rounded CN Normal"/>
        <charset val="134"/>
      </rPr>
      <t>——</t>
    </r>
    <r>
      <rPr>
        <sz val="14"/>
        <color rgb="FF000000"/>
        <rFont val="宋体"/>
        <charset val="134"/>
      </rPr>
      <t>他们可以说话、可以观察，但不能动。他们如果被丢下或者被抬着通过，瘫痪将一直持续，目标将在</t>
    </r>
    <r>
      <rPr>
        <sz val="14"/>
        <color rgb="FF000000"/>
        <rFont val="Resource Han Rounded CN Normal"/>
        <charset val="134"/>
      </rPr>
      <t>1D3</t>
    </r>
    <r>
      <rPr>
        <sz val="14"/>
        <color rgb="FF000000"/>
        <rFont val="宋体"/>
        <charset val="134"/>
      </rPr>
      <t>天后死亡。如果被抬回去，瘫痪会在</t>
    </r>
    <r>
      <rPr>
        <sz val="14"/>
        <color rgb="FF000000"/>
        <rFont val="Resource Han Rounded CN Normal"/>
        <charset val="134"/>
      </rPr>
      <t>2D10</t>
    </r>
    <r>
      <rPr>
        <sz val="14"/>
        <color rgb="FF000000"/>
        <rFont val="宋体"/>
        <charset val="134"/>
      </rPr>
      <t>轮后解除。被守卫瘫痪的人可以尝试过段时间再通过。</t>
    </r>
    <r>
      <rPr>
        <sz val="14"/>
        <color rgb="FF000000"/>
        <rFont val="Resource Han Rounded CN Normal"/>
        <charset val="134"/>
      </rPr>
      <t xml:space="preserve">
</t>
    </r>
    <r>
      <rPr>
        <sz val="14"/>
        <color rgb="FF000000"/>
        <rFont val="宋体"/>
        <charset val="134"/>
      </rPr>
      <t>根据</t>
    </r>
    <r>
      <rPr>
        <sz val="14"/>
        <color rgb="FF000000"/>
        <rFont val="Resource Han Rounded CN Normal"/>
        <charset val="134"/>
      </rPr>
      <t>KP</t>
    </r>
    <r>
      <rPr>
        <sz val="14"/>
        <color rgb="FF000000"/>
        <rFont val="宋体"/>
        <charset val="134"/>
      </rPr>
      <t>裁定，这个守卫偶尔会需要新的祭品或者</t>
    </r>
    <r>
      <rPr>
        <sz val="14"/>
        <color rgb="FF000000"/>
        <rFont val="Resource Han Rounded CN Normal"/>
        <charset val="134"/>
      </rPr>
      <t>POW</t>
    </r>
    <r>
      <rPr>
        <sz val="14"/>
        <color rgb="FF000000"/>
        <rFont val="宋体"/>
        <charset val="134"/>
      </rPr>
      <t>。</t>
    </r>
    <r>
      <rPr>
        <sz val="14"/>
        <color rgb="FF000000"/>
        <rFont val="Resource Han Rounded CN Normal"/>
        <charset val="134"/>
      </rPr>
      <t xml:space="preserve">
</t>
    </r>
    <r>
      <rPr>
        <sz val="14"/>
        <color rgb="FF000000"/>
        <rFont val="宋体"/>
        <charset val="134"/>
      </rPr>
      <t>别名：此路不通、夏格纳尔</t>
    </r>
    <r>
      <rPr>
        <sz val="14"/>
        <color rgb="FF000000"/>
        <rFont val="Resource Han Rounded CN Normal"/>
        <charset val="134"/>
      </rPr>
      <t>·</t>
    </r>
    <r>
      <rPr>
        <sz val="14"/>
        <color rgb="FF000000"/>
        <rFont val="宋体"/>
        <charset val="134"/>
      </rPr>
      <t>方的守卫、不动的诅咒</t>
    </r>
  </si>
  <si>
    <t>人类引诱术（钻地魔虫）〔驱、支〕</t>
  </si>
  <si>
    <r>
      <rPr>
        <sz val="14"/>
        <color rgb="FF000000"/>
        <rFont val="Resource Han Rounded CN Normal"/>
        <charset val="134"/>
      </rPr>
      <t>1</t>
    </r>
    <r>
      <rPr>
        <sz val="14"/>
        <color rgb="FF000000"/>
        <rFont val="宋体"/>
        <charset val="134"/>
      </rPr>
      <t>点魔法值</t>
    </r>
  </si>
  <si>
    <t>进食仪式、引诱弱者、欲望宝石</t>
  </si>
  <si>
    <t>GREY BINDING</t>
  </si>
  <si>
    <t>灰色束缚</t>
  </si>
  <si>
    <r>
      <rPr>
        <sz val="14"/>
        <color rgb="FF000000"/>
        <rFont val="宋体"/>
        <charset val="134"/>
      </rPr>
      <t>灰色</t>
    </r>
    <r>
      <rPr>
        <sz val="14"/>
        <color rgb="FF000000"/>
        <rFont val="MS Gothic"/>
        <charset val="134"/>
      </rPr>
      <t>の</t>
    </r>
    <r>
      <rPr>
        <sz val="14"/>
        <color rgb="FF000000"/>
        <rFont val="宋体"/>
        <charset val="134"/>
      </rPr>
      <t>束縛</t>
    </r>
  </si>
  <si>
    <r>
      <rPr>
        <sz val="14"/>
        <color rgb="FF000000"/>
        <rFont val="宋体"/>
        <charset val="134"/>
      </rPr>
      <t>灰色束缚（僵尸创建术变体）〔造〕</t>
    </r>
    <r>
      <rPr>
        <sz val="14"/>
        <color rgb="FF000000"/>
        <rFont val="Resource Han Rounded CN Normal"/>
        <charset val="134"/>
      </rPr>
      <t xml:space="preserve">
Grey Binding
</t>
    </r>
    <r>
      <rPr>
        <sz val="14"/>
        <color rgb="FF000000"/>
        <rFont val="宋体"/>
        <charset val="134"/>
      </rPr>
      <t>消耗：</t>
    </r>
    <r>
      <rPr>
        <sz val="14"/>
        <color rgb="FF000000"/>
        <rFont val="Resource Han Rounded CN Normal"/>
        <charset val="134"/>
      </rPr>
      <t>8</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必须泼洒仪式用的液体到准备好的尸身上。</t>
    </r>
    <r>
      <rPr>
        <sz val="14"/>
        <color rgb="FF000000"/>
        <rFont val="Resource Han Rounded CN Normal"/>
        <charset val="134"/>
      </rPr>
      <t xml:space="preserve">
</t>
    </r>
    <r>
      <rPr>
        <sz val="14"/>
        <color rgb="FF000000"/>
        <rFont val="宋体"/>
        <charset val="134"/>
      </rPr>
      <t>液体的成分随法术版本而不同，但施法者的血是最常见的。其他成分应当由</t>
    </r>
    <r>
      <rPr>
        <sz val="14"/>
        <color rgb="FF000000"/>
        <rFont val="Resource Han Rounded CN Normal"/>
        <charset val="134"/>
      </rPr>
      <t>KP</t>
    </r>
    <r>
      <rPr>
        <sz val="14"/>
        <color rgb="FF000000"/>
        <rFont val="宋体"/>
        <charset val="134"/>
      </rPr>
      <t>决定</t>
    </r>
    <r>
      <rPr>
        <sz val="14"/>
        <color rgb="FF000000"/>
        <rFont val="Resource Han Rounded CN Normal"/>
        <charset val="134"/>
      </rPr>
      <t>——</t>
    </r>
    <r>
      <rPr>
        <sz val="14"/>
        <color rgb="FF000000"/>
        <rFont val="宋体"/>
        <charset val="134"/>
      </rPr>
      <t>至少要有一种非常昂贵或者非法，或者具有放射性。随后施法者立即开始吟诵法术。法术成功后，尸体就会复苏。顾名思义，这种僵尸毫无心智可言，和野兽相类，并不受创造者的控制。这个僵尸在复苏后持续地腐烂，最终会腐朽到不能行动为止。</t>
    </r>
    <r>
      <rPr>
        <sz val="14"/>
        <color rgb="FF000000"/>
        <rFont val="Resource Han Rounded CN Normal"/>
        <charset val="134"/>
      </rPr>
      <t xml:space="preserve">
</t>
    </r>
    <r>
      <rPr>
        <sz val="14"/>
        <color rgb="FF000000"/>
        <rFont val="宋体"/>
        <charset val="134"/>
      </rPr>
      <t>深层魔法：谣传有些人有能力创造并能有限地号令不限量的不死仆役，他们唯一需要的就是尸体的供应。决定可创建并控制的僵尸数目时，将施法者的</t>
    </r>
    <r>
      <rPr>
        <sz val="14"/>
        <color rgb="FF000000"/>
        <rFont val="Resource Han Rounded CN Normal"/>
        <charset val="134"/>
      </rPr>
      <t>POW</t>
    </r>
    <r>
      <rPr>
        <sz val="14"/>
        <color rgb="FF000000"/>
        <rFont val="宋体"/>
        <charset val="134"/>
      </rPr>
      <t>除以</t>
    </r>
    <r>
      <rPr>
        <sz val="14"/>
        <color rgb="FF000000"/>
        <rFont val="Resource Han Rounded CN Normal"/>
        <charset val="134"/>
      </rPr>
      <t>5</t>
    </r>
    <r>
      <rPr>
        <sz val="14"/>
        <color rgb="FF000000"/>
        <rFont val="宋体"/>
        <charset val="134"/>
      </rPr>
      <t>：这个结果就是他们同时操控僵尸的最大数量。</t>
    </r>
    <r>
      <rPr>
        <sz val="14"/>
        <color rgb="FF000000"/>
        <rFont val="Resource Han Rounded CN Normal"/>
        <charset val="134"/>
      </rPr>
      <t xml:space="preserve">
</t>
    </r>
    <r>
      <rPr>
        <sz val="14"/>
        <color rgb="FF000000"/>
        <rFont val="宋体"/>
        <charset val="134"/>
      </rPr>
      <t>别名：不死的仆从、遗失于爱的拥抱者的回归</t>
    </r>
  </si>
  <si>
    <t>人面鼠诅咒〔造〕</t>
  </si>
  <si>
    <r>
      <rPr>
        <sz val="14"/>
        <color rgb="FF000000"/>
        <rFont val="Resource Han Rounded CN Normal"/>
        <charset val="134"/>
      </rPr>
      <t>20</t>
    </r>
    <r>
      <rPr>
        <sz val="14"/>
        <color rgb="FF000000"/>
        <rFont val="宋体"/>
        <charset val="134"/>
      </rPr>
      <t>点魔法值；</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1D10</t>
    </r>
    <r>
      <rPr>
        <sz val="14"/>
        <color rgb="FF000000"/>
        <rFont val="宋体"/>
        <charset val="134"/>
      </rPr>
      <t>点理智值</t>
    </r>
  </si>
  <si>
    <t>鼠友的诞生、二四变形、创建鼠面仆从</t>
  </si>
  <si>
    <t>WRACK</t>
  </si>
  <si>
    <t>折磨术</t>
  </si>
  <si>
    <t>破壊</t>
  </si>
  <si>
    <r>
      <rPr>
        <sz val="14"/>
        <color rgb="FF000000"/>
        <rFont val="宋体"/>
        <charset val="134"/>
      </rPr>
      <t>折磨术〔战〕</t>
    </r>
    <r>
      <rPr>
        <sz val="14"/>
        <color rgb="FF000000"/>
        <rFont val="Resource Han Rounded CN Normal"/>
        <charset val="134"/>
      </rPr>
      <t xml:space="preserve">
Wrack
</t>
    </r>
    <r>
      <rPr>
        <sz val="14"/>
        <color rgb="FF000000"/>
        <rFont val="宋体"/>
        <charset val="134"/>
      </rPr>
      <t>消耗：</t>
    </r>
    <r>
      <rPr>
        <sz val="14"/>
        <color rgb="FF000000"/>
        <rFont val="Resource Han Rounded CN Normal"/>
        <charset val="134"/>
      </rPr>
      <t>3</t>
    </r>
    <r>
      <rPr>
        <sz val="14"/>
        <color rgb="FF000000"/>
        <rFont val="宋体"/>
        <charset val="134"/>
      </rPr>
      <t>点魔法值；</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本法术会让施法者</t>
    </r>
    <r>
      <rPr>
        <sz val="14"/>
        <color rgb="FF000000"/>
        <rFont val="Resource Han Rounded CN Normal"/>
        <charset val="134"/>
      </rPr>
      <t>10</t>
    </r>
    <r>
      <rPr>
        <sz val="14"/>
        <color rgb="FF000000"/>
        <rFont val="宋体"/>
        <charset val="134"/>
      </rPr>
      <t>码以内的单一目标暂时无法行动。施法者须和目标进行一次</t>
    </r>
    <r>
      <rPr>
        <sz val="14"/>
        <color rgb="FF000000"/>
        <rFont val="Resource Han Rounded CN Normal"/>
        <charset val="134"/>
      </rPr>
      <t>POW</t>
    </r>
    <r>
      <rPr>
        <sz val="14"/>
        <color rgb="FF000000"/>
        <rFont val="宋体"/>
        <charset val="134"/>
      </rPr>
      <t>对抗检定并胜出，法术才能生效。目标会突然被剧烈的痛楚侵袭，脸和手上浮肿起泡、流出体液，视线被鲜血掩盖而暂时目盲。在法术生效期间，目标变得完全无助。</t>
    </r>
    <r>
      <rPr>
        <sz val="14"/>
        <color rgb="FF000000"/>
        <rFont val="Resource Han Rounded CN Normal"/>
        <charset val="134"/>
      </rPr>
      <t xml:space="preserve">
</t>
    </r>
    <r>
      <rPr>
        <sz val="14"/>
        <color rgb="FF000000"/>
        <rFont val="宋体"/>
        <charset val="134"/>
      </rPr>
      <t>法术效果持续</t>
    </r>
    <r>
      <rPr>
        <sz val="14"/>
        <color rgb="FF000000"/>
        <rFont val="Resource Han Rounded CN Normal"/>
        <charset val="134"/>
      </rPr>
      <t>1D6</t>
    </r>
    <r>
      <rPr>
        <sz val="14"/>
        <color rgb="FF000000"/>
        <rFont val="宋体"/>
        <charset val="134"/>
      </rPr>
      <t>轮，此后视力将恢复。在</t>
    </r>
    <r>
      <rPr>
        <sz val="14"/>
        <color rgb="FF000000"/>
        <rFont val="Resource Han Rounded CN Normal"/>
        <charset val="134"/>
      </rPr>
      <t>3D10</t>
    </r>
    <r>
      <rPr>
        <sz val="14"/>
        <color rgb="FF000000"/>
        <rFont val="宋体"/>
        <charset val="134"/>
      </rPr>
      <t>分钟后，目标将完全恢复并可恢复正常行动。身体变化的踪迹会迅速消退，</t>
    </r>
    <r>
      <rPr>
        <sz val="14"/>
        <color rgb="FF000000"/>
        <rFont val="Resource Han Rounded CN Normal"/>
        <charset val="134"/>
      </rPr>
      <t>24</t>
    </r>
    <r>
      <rPr>
        <sz val="14"/>
        <color rgb="FF000000"/>
        <rFont val="宋体"/>
        <charset val="134"/>
      </rPr>
      <t>小时后皮肤上将只能看到黯淡的斑点。这种恐怖的经验会造成理智检定（损失</t>
    </r>
    <r>
      <rPr>
        <sz val="14"/>
        <color rgb="FF000000"/>
        <rFont val="Resource Han Rounded CN Normal"/>
        <charset val="134"/>
      </rPr>
      <t>1/1D6+1</t>
    </r>
    <r>
      <rPr>
        <sz val="14"/>
        <color rgb="FF000000"/>
        <rFont val="宋体"/>
        <charset val="134"/>
      </rPr>
      <t>点）。</t>
    </r>
    <r>
      <rPr>
        <sz val="14"/>
        <color rgb="FF000000"/>
        <rFont val="Resource Han Rounded CN Normal"/>
        <charset val="134"/>
      </rPr>
      <t xml:space="preserve">
</t>
    </r>
    <r>
      <rPr>
        <sz val="14"/>
        <color rgb="FF000000"/>
        <rFont val="宋体"/>
        <charset val="134"/>
      </rPr>
      <t>别名：不幸者的悲惨巨痛、七重地狱的溃烂失明术、撕裂敌人</t>
    </r>
  </si>
  <si>
    <r>
      <rPr>
        <sz val="14"/>
        <color rgb="FF000000"/>
        <rFont val="宋体"/>
        <charset val="134"/>
      </rPr>
      <t>作物枯萎法</t>
    </r>
    <r>
      <rPr>
        <sz val="14"/>
        <color rgb="FF000000"/>
        <rFont val="Resource Han Rounded CN Normal"/>
        <charset val="134"/>
      </rPr>
      <t>/</t>
    </r>
    <r>
      <rPr>
        <sz val="14"/>
        <color rgb="FF000000"/>
        <rFont val="宋体"/>
        <charset val="134"/>
      </rPr>
      <t>作物祝福法〔民〕</t>
    </r>
  </si>
  <si>
    <r>
      <rPr>
        <sz val="14"/>
        <color rgb="FF000000"/>
        <rFont val="Resource Han Rounded CN Normal"/>
        <charset val="134"/>
      </rPr>
      <t>6</t>
    </r>
    <r>
      <rPr>
        <sz val="14"/>
        <color rgb="FF000000"/>
        <rFont val="宋体"/>
        <charset val="134"/>
      </rPr>
      <t>点魔法值；</t>
    </r>
    <r>
      <rPr>
        <sz val="14"/>
        <color rgb="FF000000"/>
        <rFont val="Resource Han Rounded CN Normal"/>
        <charset val="134"/>
      </rPr>
      <t>1D6</t>
    </r>
    <r>
      <rPr>
        <sz val="14"/>
        <color rgb="FF000000"/>
        <rFont val="宋体"/>
        <charset val="134"/>
      </rPr>
      <t>点理智值</t>
    </r>
  </si>
  <si>
    <r>
      <rPr>
        <sz val="14"/>
        <color rgb="FF000000"/>
        <rFont val="Resource Han Rounded CN Normal"/>
        <charset val="134"/>
      </rPr>
      <t>1</t>
    </r>
    <r>
      <rPr>
        <sz val="14"/>
        <color rgb="FF000000"/>
        <rFont val="宋体"/>
        <charset val="134"/>
      </rPr>
      <t>小时；一只小动物的骸骨</t>
    </r>
  </si>
  <si>
    <t>农夫的魔法、腐朽的诅咒、夏至祝福</t>
  </si>
  <si>
    <t>CIRCLE OF NAUSEA</t>
  </si>
  <si>
    <t>反胃法阵</t>
  </si>
  <si>
    <r>
      <rPr>
        <sz val="14"/>
        <color rgb="FF000000"/>
        <rFont val="宋体"/>
        <charset val="134"/>
      </rPr>
      <t>吐</t>
    </r>
    <r>
      <rPr>
        <sz val="14"/>
        <color rgb="FF000000"/>
        <rFont val="MS Gothic"/>
        <charset val="134"/>
      </rPr>
      <t>き</t>
    </r>
    <r>
      <rPr>
        <sz val="14"/>
        <color rgb="FF000000"/>
        <rFont val="宋体"/>
        <charset val="134"/>
      </rPr>
      <t>気</t>
    </r>
    <r>
      <rPr>
        <sz val="14"/>
        <color rgb="FF000000"/>
        <rFont val="MS Gothic"/>
        <charset val="134"/>
      </rPr>
      <t>の</t>
    </r>
    <r>
      <rPr>
        <sz val="14"/>
        <color rgb="FF000000"/>
        <rFont val="宋体"/>
        <charset val="134"/>
      </rPr>
      <t>魔去円</t>
    </r>
  </si>
  <si>
    <r>
      <rPr>
        <sz val="14"/>
        <color rgb="FF000000"/>
        <rFont val="宋体"/>
        <charset val="134"/>
      </rPr>
      <t>反胃法阵〔保〕</t>
    </r>
    <r>
      <rPr>
        <sz val="14"/>
        <color rgb="FF000000"/>
        <rFont val="Resource Han Rounded CN Normal"/>
        <charset val="134"/>
      </rPr>
      <t xml:space="preserve">
Circle of Nausea
</t>
    </r>
    <r>
      <rPr>
        <sz val="14"/>
        <color rgb="FF000000"/>
        <rFont val="宋体"/>
        <charset val="134"/>
      </rPr>
      <t>消耗：</t>
    </r>
    <r>
      <rPr>
        <sz val="14"/>
        <color rgb="FF000000"/>
        <rFont val="Resource Han Rounded CN Normal"/>
        <charset val="134"/>
      </rPr>
      <t>4</t>
    </r>
    <r>
      <rPr>
        <sz val="14"/>
        <color rgb="FF000000"/>
        <rFont val="宋体"/>
        <charset val="134"/>
      </rPr>
      <t>点魔法值；</t>
    </r>
    <r>
      <rPr>
        <sz val="14"/>
        <color rgb="FF000000"/>
        <rFont val="Resource Han Rounded CN Normal"/>
        <charset val="134"/>
      </rPr>
      <t>2</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分钟</t>
    </r>
    <r>
      <rPr>
        <sz val="14"/>
        <color rgb="FF000000"/>
        <rFont val="Resource Han Rounded CN Normal"/>
        <charset val="134"/>
      </rPr>
      <t xml:space="preserve">
</t>
    </r>
    <r>
      <rPr>
        <sz val="14"/>
        <color rgb="FF000000"/>
        <rFont val="宋体"/>
        <charset val="134"/>
      </rPr>
      <t>本法术可以在施法者的周围制造一个强大的保护法阵，让任何接近他的人类感觉到反胃与痛苦。施法者须在地上用粉笔画出一个圆圈，并用四枚附魔的蛋白石加强法阵</t>
    </r>
    <r>
      <rPr>
        <sz val="14"/>
        <color rgb="FF000000"/>
        <rFont val="Resource Han Rounded CN Normal"/>
        <charset val="134"/>
      </rPr>
      <t>——</t>
    </r>
    <r>
      <rPr>
        <sz val="14"/>
        <color rgb="FF000000"/>
        <rFont val="宋体"/>
        <charset val="134"/>
      </rPr>
      <t>每块都对应指南针上的一个基本方向。对石头附魔需要事先在每块石头上牺牲</t>
    </r>
    <r>
      <rPr>
        <sz val="14"/>
        <color rgb="FF000000"/>
        <rFont val="Resource Han Rounded CN Normal"/>
        <charset val="134"/>
      </rPr>
      <t>2</t>
    </r>
    <r>
      <rPr>
        <sz val="14"/>
        <color rgb="FF000000"/>
        <rFont val="宋体"/>
        <charset val="134"/>
      </rPr>
      <t>点魔法值（总共</t>
    </r>
    <r>
      <rPr>
        <sz val="14"/>
        <color rgb="FF000000"/>
        <rFont val="Resource Han Rounded CN Normal"/>
        <charset val="134"/>
      </rPr>
      <t>8</t>
    </r>
    <r>
      <rPr>
        <sz val="14"/>
        <color rgb="FF000000"/>
        <rFont val="宋体"/>
        <charset val="134"/>
      </rPr>
      <t>点），可以在施放本法术前提前准备。在实行本法术的时候，还要再牺牲</t>
    </r>
    <r>
      <rPr>
        <sz val="14"/>
        <color rgb="FF000000"/>
        <rFont val="Resource Han Rounded CN Normal"/>
        <charset val="134"/>
      </rPr>
      <t>4</t>
    </r>
    <r>
      <rPr>
        <sz val="14"/>
        <color rgb="FF000000"/>
        <rFont val="宋体"/>
        <charset val="134"/>
      </rPr>
      <t>点魔法值。</t>
    </r>
    <r>
      <rPr>
        <sz val="14"/>
        <color rgb="FF000000"/>
        <rFont val="Resource Han Rounded CN Normal"/>
        <charset val="134"/>
      </rPr>
      <t xml:space="preserve">
</t>
    </r>
    <r>
      <rPr>
        <sz val="14"/>
        <color rgb="FF000000"/>
        <rFont val="宋体"/>
        <charset val="134"/>
      </rPr>
      <t>打破这一法阵需要在施法者和想进入的人物之间进行一次</t>
    </r>
    <r>
      <rPr>
        <sz val="14"/>
        <color rgb="FF000000"/>
        <rFont val="Resource Han Rounded CN Normal"/>
        <charset val="134"/>
      </rPr>
      <t>POW</t>
    </r>
    <r>
      <rPr>
        <sz val="14"/>
        <color rgb="FF000000"/>
        <rFont val="宋体"/>
        <charset val="134"/>
      </rPr>
      <t>对抗检定。任何触碰法阵并在</t>
    </r>
    <r>
      <rPr>
        <sz val="14"/>
        <color rgb="FF000000"/>
        <rFont val="Resource Han Rounded CN Normal"/>
        <charset val="134"/>
      </rPr>
      <t>POW</t>
    </r>
    <r>
      <rPr>
        <sz val="14"/>
        <color rgb="FF000000"/>
        <rFont val="宋体"/>
        <charset val="134"/>
      </rPr>
      <t>对抗中失败的人将呕吐五分钟，直到他退避到</t>
    </r>
    <r>
      <rPr>
        <sz val="14"/>
        <color rgb="FF000000"/>
        <rFont val="Resource Han Rounded CN Normal"/>
        <charset val="134"/>
      </rPr>
      <t>100</t>
    </r>
    <r>
      <rPr>
        <sz val="14"/>
        <color rgb="FF000000"/>
        <rFont val="宋体"/>
        <charset val="134"/>
      </rPr>
      <t>码以外。若有人成功打破法阵，法术瓦解。</t>
    </r>
    <r>
      <rPr>
        <sz val="14"/>
        <color rgb="FF000000"/>
        <rFont val="Resource Han Rounded CN Normal"/>
        <charset val="134"/>
      </rPr>
      <t xml:space="preserve">
</t>
    </r>
    <r>
      <rPr>
        <sz val="14"/>
        <color rgb="FF000000"/>
        <rFont val="宋体"/>
        <charset val="134"/>
      </rPr>
      <t>别名：脉动光辉守卫术、恶臭屏障</t>
    </r>
  </si>
  <si>
    <t>诅咒之笛创建术〔附〕</t>
  </si>
  <si>
    <r>
      <rPr>
        <sz val="14"/>
        <color rgb="FF000000"/>
        <rFont val="Resource Han Rounded CN Normal"/>
        <charset val="134"/>
      </rPr>
      <t>30</t>
    </r>
    <r>
      <rPr>
        <sz val="14"/>
        <color rgb="FF000000"/>
        <rFont val="宋体"/>
        <charset val="134"/>
      </rPr>
      <t>点魔法值</t>
    </r>
  </si>
  <si>
    <r>
      <rPr>
        <sz val="14"/>
        <color rgb="FF000000"/>
        <rFont val="Resource Han Rounded CN Normal"/>
        <charset val="134"/>
      </rPr>
      <t>1</t>
    </r>
    <r>
      <rPr>
        <sz val="14"/>
        <color rgb="FF000000"/>
        <rFont val="宋体"/>
        <charset val="134"/>
      </rPr>
      <t>或多个夜晚</t>
    </r>
  </si>
  <si>
    <t>鸮骨之音、鸮鸣之笛、末日乐器</t>
  </si>
  <si>
    <t>SONG OF HASTUR</t>
  </si>
  <si>
    <t>哈斯塔之歌</t>
  </si>
  <si>
    <r>
      <rPr>
        <sz val="14"/>
        <color rgb="FF000000"/>
        <rFont val="MS Gothic"/>
        <charset val="134"/>
      </rPr>
      <t>ハスターの</t>
    </r>
    <r>
      <rPr>
        <sz val="14"/>
        <color rgb="FF000000"/>
        <rFont val="宋体"/>
        <charset val="134"/>
      </rPr>
      <t>歌</t>
    </r>
  </si>
  <si>
    <r>
      <rPr>
        <sz val="14"/>
        <color rgb="FF000000"/>
        <rFont val="宋体"/>
        <charset val="134"/>
      </rPr>
      <t>哈斯塔之歌〔战〕</t>
    </r>
    <r>
      <rPr>
        <sz val="14"/>
        <color rgb="FF000000"/>
        <rFont val="Resource Han Rounded CN Normal"/>
        <charset val="134"/>
      </rPr>
      <t xml:space="preserve">
Song of Hastur
</t>
    </r>
    <r>
      <rPr>
        <sz val="14"/>
        <color rgb="FF000000"/>
        <rFont val="宋体"/>
        <charset val="134"/>
      </rPr>
      <t>消耗：</t>
    </r>
    <r>
      <rPr>
        <sz val="14"/>
        <color rgb="FF000000"/>
        <rFont val="Resource Han Rounded CN Normal"/>
        <charset val="134"/>
      </rPr>
      <t>1D4</t>
    </r>
    <r>
      <rPr>
        <sz val="14"/>
        <color rgb="FF000000"/>
        <rFont val="宋体"/>
        <charset val="134"/>
      </rPr>
      <t>点魔法值以上；</t>
    </r>
    <r>
      <rPr>
        <sz val="14"/>
        <color rgb="FF000000"/>
        <rFont val="Resource Han Rounded CN Normal"/>
        <charset val="134"/>
      </rPr>
      <t>1D4</t>
    </r>
    <r>
      <rPr>
        <sz val="14"/>
        <color rgb="FF000000"/>
        <rFont val="宋体"/>
        <charset val="134"/>
      </rPr>
      <t>点理智值以上</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t>
    </r>
    <r>
      <rPr>
        <sz val="14"/>
        <color rgb="FF000000"/>
        <rFont val="宋体"/>
        <charset val="134"/>
      </rPr>
      <t>轮</t>
    </r>
    <r>
      <rPr>
        <sz val="14"/>
        <color rgb="FF000000"/>
        <rFont val="Resource Han Rounded CN Normal"/>
        <charset val="134"/>
      </rPr>
      <t xml:space="preserve">
</t>
    </r>
    <r>
      <rPr>
        <sz val="14"/>
        <color rgb="FF000000"/>
        <rFont val="宋体"/>
        <charset val="134"/>
      </rPr>
      <t>施法者发出惊悚的尖锐号叫，使选定目标的皮肉起泡溃烂，变成致命的脓疮。目标须在施法者的视野范围内。虽然每个人都能听到歌声，但法术只对选定的单一目标有效。法术只能在夜间施放且毕宿五可见时有效（最佳观测时间是秋天到春天）。施法者须进行一次</t>
    </r>
    <r>
      <rPr>
        <sz val="14"/>
        <color rgb="FF000000"/>
        <rFont val="Resource Han Rounded CN Normal"/>
        <charset val="134"/>
      </rPr>
      <t>POW</t>
    </r>
    <r>
      <rPr>
        <sz val="14"/>
        <color rgb="FF000000"/>
        <rFont val="宋体"/>
        <charset val="134"/>
      </rPr>
      <t>检定，结果要在施法者的</t>
    </r>
    <r>
      <rPr>
        <sz val="14"/>
        <color rgb="FF000000"/>
        <rFont val="Resource Han Rounded CN Normal"/>
        <charset val="134"/>
      </rPr>
      <t>POW</t>
    </r>
    <r>
      <rPr>
        <sz val="14"/>
        <color rgb="FF000000"/>
        <rFont val="宋体"/>
        <charset val="134"/>
      </rPr>
      <t>以下，他才能唱出正确的异界旋律。施法者每轮都要消耗</t>
    </r>
    <r>
      <rPr>
        <sz val="14"/>
        <color rgb="FF000000"/>
        <rFont val="Resource Han Rounded CN Normal"/>
        <charset val="134"/>
      </rPr>
      <t>1D4</t>
    </r>
    <r>
      <rPr>
        <sz val="14"/>
        <color rgb="FF000000"/>
        <rFont val="宋体"/>
        <charset val="134"/>
      </rPr>
      <t>点魔法值和</t>
    </r>
    <r>
      <rPr>
        <sz val="14"/>
        <color rgb="FF000000"/>
        <rFont val="Resource Han Rounded CN Normal"/>
        <charset val="134"/>
      </rPr>
      <t>1D4</t>
    </r>
    <r>
      <rPr>
        <sz val="14"/>
        <color rgb="FF000000"/>
        <rFont val="宋体"/>
        <charset val="134"/>
      </rPr>
      <t>点理智值，直到他们停止此法术或者魔法能量用尽为止。</t>
    </r>
    <r>
      <rPr>
        <sz val="14"/>
        <color rgb="FF000000"/>
        <rFont val="Resource Han Rounded CN Normal"/>
        <charset val="134"/>
      </rPr>
      <t xml:space="preserve">
</t>
    </r>
    <r>
      <rPr>
        <sz val="14"/>
        <color rgb="FF000000"/>
        <rFont val="宋体"/>
        <charset val="134"/>
      </rPr>
      <t>若施法成功，法术在生效期间每轮对目标造成</t>
    </r>
    <r>
      <rPr>
        <sz val="14"/>
        <color rgb="FF000000"/>
        <rFont val="Resource Han Rounded CN Normal"/>
        <charset val="134"/>
      </rPr>
      <t>1D6</t>
    </r>
    <r>
      <rPr>
        <sz val="14"/>
        <color rgb="FF000000"/>
        <rFont val="宋体"/>
        <charset val="134"/>
      </rPr>
      <t>点伤害。每两轮之后，瘢痕会令目标的</t>
    </r>
    <r>
      <rPr>
        <sz val="14"/>
        <color rgb="FF000000"/>
        <rFont val="Resource Han Rounded CN Normal"/>
        <charset val="134"/>
      </rPr>
      <t>APP</t>
    </r>
    <r>
      <rPr>
        <sz val="14"/>
        <color rgb="FF000000"/>
        <rFont val="宋体"/>
        <charset val="134"/>
      </rPr>
      <t>下降</t>
    </r>
    <r>
      <rPr>
        <sz val="14"/>
        <color rgb="FF000000"/>
        <rFont val="Resource Han Rounded CN Normal"/>
        <charset val="134"/>
      </rPr>
      <t>3D10</t>
    </r>
    <r>
      <rPr>
        <sz val="14"/>
        <color rgb="FF000000"/>
        <rFont val="宋体"/>
        <charset val="134"/>
      </rPr>
      <t>。每四轮之后，内脏破裂会令目标的</t>
    </r>
    <r>
      <rPr>
        <sz val="14"/>
        <color rgb="FF000000"/>
        <rFont val="Resource Han Rounded CN Normal"/>
        <charset val="134"/>
      </rPr>
      <t>CON</t>
    </r>
    <r>
      <rPr>
        <sz val="14"/>
        <color rgb="FF000000"/>
        <rFont val="宋体"/>
        <charset val="134"/>
      </rPr>
      <t>下降</t>
    </r>
    <r>
      <rPr>
        <sz val="14"/>
        <color rgb="FF000000"/>
        <rFont val="Resource Han Rounded CN Normal"/>
        <charset val="134"/>
      </rPr>
      <t>3D10</t>
    </r>
    <r>
      <rPr>
        <sz val="14"/>
        <color rgb="FF000000"/>
        <rFont val="宋体"/>
        <charset val="134"/>
      </rPr>
      <t>。当目标的</t>
    </r>
    <r>
      <rPr>
        <sz val="14"/>
        <color rgb="FF000000"/>
        <rFont val="Resource Han Rounded CN Normal"/>
        <charset val="134"/>
      </rPr>
      <t>CON</t>
    </r>
    <r>
      <rPr>
        <sz val="14"/>
        <color rgb="FF000000"/>
        <rFont val="宋体"/>
        <charset val="134"/>
      </rPr>
      <t>减少到</t>
    </r>
    <r>
      <rPr>
        <sz val="14"/>
        <color rgb="FF000000"/>
        <rFont val="Resource Han Rounded CN Normal"/>
        <charset val="134"/>
      </rPr>
      <t>0</t>
    </r>
    <r>
      <rPr>
        <sz val="14"/>
        <color rgb="FF000000"/>
        <rFont val="宋体"/>
        <charset val="134"/>
      </rPr>
      <t>（或因耐久减少而死亡），其身体将肿胀成一团，在令人作呕的</t>
    </r>
    <r>
      <rPr>
        <sz val="14"/>
        <color rgb="FF000000"/>
        <rFont val="Resource Han Rounded CN Normal"/>
        <charset val="134"/>
      </rPr>
      <t>“</t>
    </r>
    <r>
      <rPr>
        <sz val="14"/>
        <color rgb="FF000000"/>
        <rFont val="宋体"/>
        <charset val="134"/>
      </rPr>
      <t>嘭</t>
    </r>
    <r>
      <rPr>
        <sz val="14"/>
        <color rgb="FF000000"/>
        <rFont val="Resource Han Rounded CN Normal"/>
        <charset val="134"/>
      </rPr>
      <t>”</t>
    </r>
    <r>
      <rPr>
        <sz val="14"/>
        <color rgb="FF000000"/>
        <rFont val="宋体"/>
        <charset val="134"/>
      </rPr>
      <t>声中爆炸；冒着热气的脓血同时溅洒到地面上。</t>
    </r>
    <r>
      <rPr>
        <sz val="14"/>
        <color rgb="FF000000"/>
        <rFont val="Resource Han Rounded CN Normal"/>
        <charset val="134"/>
      </rPr>
      <t xml:space="preserve">
</t>
    </r>
    <r>
      <rPr>
        <sz val="14"/>
        <color rgb="FF000000"/>
        <rFont val="宋体"/>
        <charset val="134"/>
      </rPr>
      <t>深层魔法：本歌可以作防御用途，来抵御另一名本法术的施法者。成功的反击法术会互相抵消。</t>
    </r>
    <r>
      <rPr>
        <sz val="14"/>
        <color rgb="FF000000"/>
        <rFont val="Resource Han Rounded CN Normal"/>
        <charset val="134"/>
      </rPr>
      <t xml:space="preserve">
</t>
    </r>
    <r>
      <rPr>
        <sz val="14"/>
        <color rgb="FF000000"/>
        <rFont val="宋体"/>
        <charset val="134"/>
      </rPr>
      <t>别名：王之吼、黄廷之音、产生巨大折磨和痛苦的沸腾疮疖</t>
    </r>
  </si>
  <si>
    <t>心中的勇气〔保〕</t>
  </si>
  <si>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4</t>
    </r>
    <r>
      <rPr>
        <sz val="14"/>
        <color rgb="FF000000"/>
        <rFont val="宋体"/>
        <charset val="134"/>
      </rPr>
      <t>点理智值</t>
    </r>
  </si>
  <si>
    <r>
      <rPr>
        <sz val="14"/>
        <color rgb="FF000000"/>
        <rFont val="宋体"/>
        <charset val="134"/>
      </rPr>
      <t>此路不通、夏格纳尔</t>
    </r>
    <r>
      <rPr>
        <sz val="14"/>
        <color rgb="FF000000"/>
        <rFont val="Resource Han Rounded CN Normal"/>
        <charset val="134"/>
      </rPr>
      <t>·</t>
    </r>
    <r>
      <rPr>
        <sz val="14"/>
        <color rgb="FF000000"/>
        <rFont val="宋体"/>
        <charset val="134"/>
      </rPr>
      <t>方的守卫、不动的诅咒</t>
    </r>
  </si>
  <si>
    <t>FREE HASTUR</t>
  </si>
  <si>
    <t>哈斯塔释放术</t>
  </si>
  <si>
    <r>
      <rPr>
        <sz val="14"/>
        <color rgb="FF000000"/>
        <rFont val="MS Gothic"/>
        <charset val="134"/>
      </rPr>
      <t>ハスターの</t>
    </r>
    <r>
      <rPr>
        <sz val="14"/>
        <color rgb="FF000000"/>
        <rFont val="宋体"/>
        <charset val="134"/>
      </rPr>
      <t>解放</t>
    </r>
  </si>
  <si>
    <r>
      <rPr>
        <sz val="14"/>
        <color rgb="FF000000"/>
        <rFont val="宋体"/>
        <charset val="134"/>
      </rPr>
      <t>哈斯塔释放术〔召〕</t>
    </r>
    <r>
      <rPr>
        <sz val="14"/>
        <color rgb="FF000000"/>
        <rFont val="Resource Han Rounded CN Normal"/>
        <charset val="134"/>
      </rPr>
      <t xml:space="preserve">
Free Hastur
</t>
    </r>
    <r>
      <rPr>
        <sz val="14"/>
        <color rgb="FF000000"/>
        <rFont val="宋体"/>
        <charset val="134"/>
      </rPr>
      <t>消耗：</t>
    </r>
    <r>
      <rPr>
        <sz val="14"/>
        <color rgb="FF000000"/>
        <rFont val="Resource Han Rounded CN Normal"/>
        <charset val="134"/>
      </rPr>
      <t>350</t>
    </r>
    <r>
      <rPr>
        <sz val="14"/>
        <color rgb="FF000000"/>
        <rFont val="宋体"/>
        <charset val="134"/>
      </rPr>
      <t>点</t>
    </r>
    <r>
      <rPr>
        <sz val="14"/>
        <color rgb="FF000000"/>
        <rFont val="Resource Han Rounded CN Normal"/>
        <charset val="134"/>
      </rPr>
      <t xml:space="preserve">POW
</t>
    </r>
    <r>
      <rPr>
        <sz val="14"/>
        <color rgb="FF000000"/>
        <rFont val="宋体"/>
        <charset val="134"/>
      </rPr>
      <t>施法用时：每投入</t>
    </r>
    <r>
      <rPr>
        <sz val="14"/>
        <color rgb="FF000000"/>
        <rFont val="Resource Han Rounded CN Normal"/>
        <charset val="134"/>
      </rPr>
      <t>1</t>
    </r>
    <r>
      <rPr>
        <sz val="14"/>
        <color rgb="FF000000"/>
        <rFont val="宋体"/>
        <charset val="134"/>
      </rPr>
      <t>点</t>
    </r>
    <r>
      <rPr>
        <sz val="14"/>
        <color rgb="FF000000"/>
        <rFont val="Resource Han Rounded CN Normal"/>
        <charset val="134"/>
      </rPr>
      <t>POW</t>
    </r>
    <r>
      <rPr>
        <sz val="14"/>
        <color rgb="FF000000"/>
        <rFont val="宋体"/>
        <charset val="134"/>
      </rPr>
      <t>，用时</t>
    </r>
    <r>
      <rPr>
        <sz val="14"/>
        <color rgb="FF000000"/>
        <rFont val="Resource Han Rounded CN Normal"/>
        <charset val="134"/>
      </rPr>
      <t>1</t>
    </r>
    <r>
      <rPr>
        <sz val="14"/>
        <color rgb="FF000000"/>
        <rFont val="宋体"/>
        <charset val="134"/>
      </rPr>
      <t>分钟</t>
    </r>
    <r>
      <rPr>
        <sz val="14"/>
        <color rgb="FF000000"/>
        <rFont val="Resource Han Rounded CN Normal"/>
        <charset val="134"/>
      </rPr>
      <t xml:space="preserve">
</t>
    </r>
    <r>
      <rPr>
        <sz val="14"/>
        <color rgb="FF000000"/>
        <rFont val="宋体"/>
        <charset val="134"/>
      </rPr>
      <t>本法术结合法术</t>
    </r>
    <r>
      <rPr>
        <sz val="14"/>
        <color rgb="FF000000"/>
        <rFont val="Resource Han Rounded CN Normal"/>
        <charset val="134"/>
      </rPr>
      <t>“</t>
    </r>
    <r>
      <rPr>
        <sz val="14"/>
        <color rgb="FF000000"/>
        <rFont val="宋体"/>
        <charset val="134"/>
      </rPr>
      <t>哈斯塔召唤术</t>
    </r>
    <r>
      <rPr>
        <sz val="14"/>
        <color rgb="FF000000"/>
        <rFont val="Resource Han Rounded CN Normal"/>
        <charset val="134"/>
      </rPr>
      <t>”(P56)</t>
    </r>
    <r>
      <rPr>
        <sz val="14"/>
        <color rgb="FF000000"/>
        <rFont val="宋体"/>
        <charset val="134"/>
      </rPr>
      <t>所需的九块巨石，可以让哈斯塔来到巨石划界的地区，并自由停留。法术只能在毕宿五可见的夜晚施放。只有吟唱的领导者需要知道本法术，其他参与吟唱的人每人损失</t>
    </r>
    <r>
      <rPr>
        <sz val="14"/>
        <color rgb="FF000000"/>
        <rFont val="Resource Han Rounded CN Normal"/>
        <charset val="134"/>
      </rPr>
      <t>1</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 xml:space="preserve">
</t>
    </r>
    <r>
      <rPr>
        <sz val="14"/>
        <color rgb="FF000000"/>
        <rFont val="宋体"/>
        <charset val="134"/>
      </rPr>
      <t>每有两个人吟唱咒语，就有相当于</t>
    </r>
    <r>
      <rPr>
        <sz val="14"/>
        <color rgb="FF000000"/>
        <rFont val="Resource Han Rounded CN Normal"/>
        <charset val="134"/>
      </rPr>
      <t>1POW</t>
    </r>
    <r>
      <rPr>
        <sz val="14"/>
        <color rgb="FF000000"/>
        <rFont val="宋体"/>
        <charset val="134"/>
      </rPr>
      <t>的哈斯塔本体或者它的眷属能够抵达地球。所以，想要召唤哈斯塔</t>
    </r>
    <r>
      <rPr>
        <sz val="14"/>
        <color rgb="FF000000"/>
        <rFont val="Resource Han Rounded CN Normal"/>
        <charset val="134"/>
      </rPr>
      <t>(POW175)</t>
    </r>
    <r>
      <rPr>
        <sz val="14"/>
        <color rgb="FF000000"/>
        <rFont val="宋体"/>
        <charset val="134"/>
      </rPr>
      <t>，需要</t>
    </r>
    <r>
      <rPr>
        <sz val="14"/>
        <color rgb="FF000000"/>
        <rFont val="Resource Han Rounded CN Normal"/>
        <charset val="134"/>
      </rPr>
      <t>350</t>
    </r>
    <r>
      <rPr>
        <sz val="14"/>
        <color rgb="FF000000"/>
        <rFont val="宋体"/>
        <charset val="134"/>
      </rPr>
      <t>名吟唱者（</t>
    </r>
    <r>
      <rPr>
        <sz val="14"/>
        <color rgb="FF000000"/>
        <rFont val="Resource Han Rounded CN Normal"/>
        <charset val="134"/>
      </rPr>
      <t>350</t>
    </r>
    <r>
      <rPr>
        <sz val="14"/>
        <color rgb="FF000000"/>
        <rFont val="宋体"/>
        <charset val="134"/>
      </rPr>
      <t>除以</t>
    </r>
    <r>
      <rPr>
        <sz val="14"/>
        <color rgb="FF000000"/>
        <rFont val="Resource Han Rounded CN Normal"/>
        <charset val="134"/>
      </rPr>
      <t>2=175</t>
    </r>
    <r>
      <rPr>
        <sz val="14"/>
        <color rgb="FF000000"/>
        <rFont val="宋体"/>
        <charset val="134"/>
      </rPr>
      <t>）。注意若法术</t>
    </r>
    <r>
      <rPr>
        <sz val="14"/>
        <color rgb="FF000000"/>
        <rFont val="Resource Han Rounded CN Normal"/>
        <charset val="134"/>
      </rPr>
      <t>“</t>
    </r>
    <r>
      <rPr>
        <sz val="14"/>
        <color rgb="FF000000"/>
        <rFont val="宋体"/>
        <charset val="134"/>
      </rPr>
      <t>卡尔科萨建造术</t>
    </r>
    <r>
      <rPr>
        <sz val="14"/>
        <color rgb="FF000000"/>
        <rFont val="Resource Han Rounded CN Normal"/>
        <charset val="134"/>
      </rPr>
      <t>”(P53)</t>
    </r>
    <r>
      <rPr>
        <sz val="14"/>
        <color rgb="FF000000"/>
        <rFont val="宋体"/>
        <charset val="134"/>
      </rPr>
      <t>已经生效，则只需要</t>
    </r>
    <r>
      <rPr>
        <sz val="14"/>
        <color rgb="FF000000"/>
        <rFont val="Resource Han Rounded CN Normal"/>
        <charset val="134"/>
      </rPr>
      <t>35</t>
    </r>
    <r>
      <rPr>
        <sz val="14"/>
        <color rgb="FF000000"/>
        <rFont val="宋体"/>
        <charset val="134"/>
      </rPr>
      <t>名吟唱者就能召唤哈斯塔，每人消耗</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 xml:space="preserve">
</t>
    </r>
    <r>
      <rPr>
        <sz val="14"/>
        <color rgb="FF000000"/>
        <rFont val="宋体"/>
        <charset val="134"/>
      </rPr>
      <t>哈斯塔召唤过来以后可以自由停留；他不需要在日出之前回到天上，全年都可以活动。在巨石地区无论昼夜都可以使用哈斯塔相关的法术，区域的大小是任意的。</t>
    </r>
    <r>
      <rPr>
        <sz val="14"/>
        <color rgb="FF000000"/>
        <rFont val="Resource Han Rounded CN Normal"/>
        <charset val="134"/>
      </rPr>
      <t xml:space="preserve">
</t>
    </r>
    <r>
      <rPr>
        <sz val="14"/>
        <color rgb="FF000000"/>
        <rFont val="宋体"/>
        <charset val="134"/>
      </rPr>
      <t>别名：脱开不可名状者的缰绳、哈利湖祈愿、黄衣仪式</t>
    </r>
  </si>
  <si>
    <t>灰色束缚（僵尸创建术变体）〔造〕</t>
  </si>
  <si>
    <r>
      <rPr>
        <sz val="14"/>
        <color rgb="FF000000"/>
        <rFont val="Resource Han Rounded CN Normal"/>
        <charset val="134"/>
      </rPr>
      <t>1</t>
    </r>
    <r>
      <rPr>
        <sz val="14"/>
        <color rgb="FF000000"/>
        <rFont val="宋体"/>
        <charset val="134"/>
      </rPr>
      <t>小时：必须泼洒仪式用的液体到准备好的尸身上</t>
    </r>
  </si>
  <si>
    <t>不死的仆从、遗失于爱的拥抱者的回归</t>
  </si>
  <si>
    <t>DEFLECT HARM</t>
  </si>
  <si>
    <t>伤害偏转术</t>
  </si>
  <si>
    <r>
      <rPr>
        <sz val="14"/>
        <color rgb="FF000000"/>
        <rFont val="宋体"/>
        <charset val="134"/>
      </rPr>
      <t>被害</t>
    </r>
    <r>
      <rPr>
        <sz val="14"/>
        <color rgb="FF000000"/>
        <rFont val="MS Gothic"/>
        <charset val="134"/>
      </rPr>
      <t>をそらす</t>
    </r>
  </si>
  <si>
    <r>
      <rPr>
        <sz val="14"/>
        <color rgb="FF000000"/>
        <rFont val="宋体"/>
        <charset val="134"/>
      </rPr>
      <t>伤害偏转术〔战、保〕</t>
    </r>
    <r>
      <rPr>
        <sz val="14"/>
        <color rgb="FF000000"/>
        <rFont val="Resource Han Rounded CN Normal"/>
        <charset val="134"/>
      </rPr>
      <t xml:space="preserve">
Deflect Harm
</t>
    </r>
    <r>
      <rPr>
        <sz val="14"/>
        <color rgb="FF000000"/>
        <rFont val="宋体"/>
        <charset val="134"/>
      </rPr>
      <t>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t>
    </r>
    <r>
      <rPr>
        <sz val="14"/>
        <color rgb="FF000000"/>
        <rFont val="宋体"/>
        <charset val="134"/>
      </rPr>
      <t>点理智值施法用时：即时防御性的法术，施法者念动外神的秘密名讳，可以无效化多种物理攻击。施法者念动那不祥的名号，对攻击的人伸出手去。施法者在每次受到成功攻击后，消耗等同于伤害值的魔法值，可以使攻击无效化。如果攻击已经打空，不消耗魔法值。这在手臂放下前都有效。如果放下手臂，法术终止。法术还可以重新施放。施法者可以无效化任意次攻击，除非他的魔法值耗尽了</t>
    </r>
    <r>
      <rPr>
        <sz val="14"/>
        <color rgb="FF000000"/>
        <rFont val="Resource Han Rounded CN Normal"/>
        <charset val="134"/>
      </rPr>
      <t>——</t>
    </r>
    <r>
      <rPr>
        <sz val="14"/>
        <color rgb="FF000000"/>
        <rFont val="宋体"/>
        <charset val="134"/>
      </rPr>
      <t>施法者能够选择靠消耗耐久值来维持法术，但这是事与愿违！他可以选择无效化哪一次攻击、让哪一次攻击正常造成伤害，但必须在了解实际伤害之前选择。若点数不足以无效化一次攻击，则法术终止，该次攻击或打中或打空都按照正常流程进行。</t>
    </r>
    <r>
      <rPr>
        <sz val="14"/>
        <color rgb="FF000000"/>
        <rFont val="Resource Han Rounded CN Normal"/>
        <charset val="134"/>
      </rPr>
      <t xml:space="preserve">
</t>
    </r>
    <r>
      <rPr>
        <sz val="14"/>
        <color rgb="FF000000"/>
        <rFont val="宋体"/>
        <charset val="134"/>
      </rPr>
      <t>别名：巫师盾、无懈可击的斗篷、外神的背诵</t>
    </r>
  </si>
  <si>
    <t>折磨术〔战〕</t>
  </si>
  <si>
    <r>
      <rPr>
        <sz val="14"/>
        <color rgb="FF000000"/>
        <rFont val="Resource Han Rounded CN Normal"/>
        <charset val="134"/>
      </rPr>
      <t>3</t>
    </r>
    <r>
      <rPr>
        <sz val="14"/>
        <color rgb="FF000000"/>
        <rFont val="宋体"/>
        <charset val="134"/>
      </rPr>
      <t>点魔法值；</t>
    </r>
    <r>
      <rPr>
        <sz val="14"/>
        <color rgb="FF000000"/>
        <rFont val="Resource Han Rounded CN Normal"/>
        <charset val="134"/>
      </rPr>
      <t>1</t>
    </r>
    <r>
      <rPr>
        <sz val="14"/>
        <color rgb="FF000000"/>
        <rFont val="宋体"/>
        <charset val="134"/>
      </rPr>
      <t>点理智值</t>
    </r>
  </si>
  <si>
    <r>
      <rPr>
        <sz val="14"/>
        <color rgb="FF000000"/>
        <rFont val="Resource Han Rounded CN Normal"/>
        <charset val="134"/>
      </rPr>
      <t>1</t>
    </r>
    <r>
      <rPr>
        <sz val="14"/>
        <color rgb="FF000000"/>
        <rFont val="宋体"/>
        <charset val="134"/>
      </rPr>
      <t>轮：让施法者10码以内的单一目标暂时无法行动，剧烈痛楚侵袭，脸和手上浮肿起泡、流出体液，视线被鲜血掩盖而暂时目盲</t>
    </r>
  </si>
  <si>
    <t>不幸者的悲惨巨痛、七重地狱的溃烂失明术、撕裂敌人</t>
  </si>
  <si>
    <t>EYE OF LIGHT AND DARKNESS</t>
  </si>
  <si>
    <t>光明与黑暗之眼</t>
  </si>
  <si>
    <r>
      <rPr>
        <sz val="14"/>
        <color rgb="FF000000"/>
        <rFont val="宋体"/>
        <charset val="134"/>
      </rPr>
      <t>光</t>
    </r>
    <r>
      <rPr>
        <sz val="14"/>
        <color rgb="FF000000"/>
        <rFont val="MS Gothic"/>
        <charset val="134"/>
      </rPr>
      <t>と</t>
    </r>
    <r>
      <rPr>
        <sz val="14"/>
        <color rgb="FF000000"/>
        <rFont val="宋体"/>
        <charset val="134"/>
      </rPr>
      <t>闇</t>
    </r>
    <r>
      <rPr>
        <sz val="14"/>
        <color rgb="FF000000"/>
        <rFont val="MS Gothic"/>
        <charset val="134"/>
      </rPr>
      <t>の</t>
    </r>
    <r>
      <rPr>
        <sz val="14"/>
        <color rgb="FF000000"/>
        <rFont val="宋体"/>
        <charset val="134"/>
      </rPr>
      <t>目</t>
    </r>
  </si>
  <si>
    <r>
      <rPr>
        <sz val="14"/>
        <color rgb="FF000000"/>
        <rFont val="宋体"/>
        <charset val="134"/>
      </rPr>
      <t>光明与黑暗之眼〔保〕</t>
    </r>
    <r>
      <rPr>
        <sz val="14"/>
        <color rgb="FF000000"/>
        <rFont val="Resource Han Rounded CN Normal"/>
        <charset val="134"/>
      </rPr>
      <t xml:space="preserve">
Eye of Lightand Darkness
</t>
    </r>
    <r>
      <rPr>
        <sz val="14"/>
        <color rgb="FF000000"/>
        <rFont val="宋体"/>
        <charset val="134"/>
      </rPr>
      <t>消耗：可变的</t>
    </r>
    <r>
      <rPr>
        <sz val="14"/>
        <color rgb="FF000000"/>
        <rFont val="Resource Han Rounded CN Normal"/>
        <charset val="134"/>
      </rPr>
      <t>POW</t>
    </r>
    <r>
      <rPr>
        <sz val="14"/>
        <color rgb="FF000000"/>
        <rFont val="宋体"/>
        <charset val="134"/>
      </rPr>
      <t>（标准</t>
    </r>
    <r>
      <rPr>
        <sz val="14"/>
        <color rgb="FF000000"/>
        <rFont val="Resource Han Rounded CN Normal"/>
        <charset val="134"/>
      </rPr>
      <t>100</t>
    </r>
    <r>
      <rPr>
        <sz val="14"/>
        <color rgb="FF000000"/>
        <rFont val="宋体"/>
        <charset val="134"/>
      </rPr>
      <t>点）</t>
    </r>
    <r>
      <rPr>
        <sz val="14"/>
        <color rgb="FF000000"/>
        <rFont val="Resource Han Rounded CN Normal"/>
        <charset val="134"/>
      </rPr>
      <t>[28]</t>
    </r>
    <r>
      <rPr>
        <sz val="14"/>
        <color rgb="FF000000"/>
        <rFont val="宋体"/>
        <charset val="134"/>
      </rPr>
      <t>施法用时：从傍晚到黎明这是一个强大的古代法术，能削弱许多神话的代理人和仆从。本法术需要大量的</t>
    </r>
    <r>
      <rPr>
        <sz val="14"/>
        <color rgb="FF000000"/>
        <rFont val="Resource Han Rounded CN Normal"/>
        <charset val="134"/>
      </rPr>
      <t>POW</t>
    </r>
    <r>
      <rPr>
        <sz val="14"/>
        <color rgb="FF000000"/>
        <rFont val="宋体"/>
        <charset val="134"/>
      </rPr>
      <t>牺牲（不同的版本需要的数量不同）。要在一块花岗岩</t>
    </r>
    <r>
      <rPr>
        <sz val="14"/>
        <color rgb="FF000000"/>
        <rFont val="Resource Han Rounded CN Normal"/>
        <charset val="134"/>
      </rPr>
      <t xml:space="preserve">
</t>
    </r>
    <r>
      <rPr>
        <sz val="14"/>
        <color rgb="FF000000"/>
        <rFont val="宋体"/>
        <charset val="134"/>
      </rPr>
      <t>之类坚硬的自然物上画上一个巨大的眼形咒印，</t>
    </r>
    <r>
      <rPr>
        <sz val="14"/>
        <color rgb="FF000000"/>
        <rFont val="Resource Han Rounded CN Normal"/>
        <charset val="134"/>
      </rPr>
      <t xml:space="preserve">
</t>
    </r>
    <r>
      <rPr>
        <sz val="14"/>
        <color rgb="FF000000"/>
        <rFont val="宋体"/>
        <charset val="134"/>
      </rPr>
      <t>并把它固定到需要守卫地点的高处。眼符必须在满月升起前的下午创建。在月亮升起时，需要用一名无辜者</t>
    </r>
    <r>
      <rPr>
        <sz val="14"/>
        <color rgb="FF000000"/>
        <rFont val="Resource Han Rounded CN Normal"/>
        <charset val="134"/>
      </rPr>
      <t>(</t>
    </r>
    <r>
      <rPr>
        <sz val="14"/>
        <color rgb="FF000000"/>
        <rFont val="宋体"/>
        <charset val="134"/>
      </rPr>
      <t>没有克苏鲁神话知识的人</t>
    </r>
    <r>
      <rPr>
        <sz val="14"/>
        <color rgb="FF000000"/>
        <rFont val="Resource Han Rounded CN Normal"/>
        <charset val="134"/>
      </rPr>
      <t>)</t>
    </r>
    <r>
      <rPr>
        <sz val="14"/>
        <color rgb="FF000000"/>
        <rFont val="宋体"/>
        <charset val="134"/>
      </rPr>
      <t>的血液注满眼符的瞳仁</t>
    </r>
    <r>
      <rPr>
        <sz val="14"/>
        <color rgb="FF000000"/>
        <rFont val="Resource Han Rounded CN Normal"/>
        <charset val="134"/>
      </rPr>
      <t>,</t>
    </r>
    <r>
      <rPr>
        <sz val="14"/>
        <color rgb="FF000000"/>
        <rFont val="宋体"/>
        <charset val="134"/>
      </rPr>
      <t>每小时注血一次</t>
    </r>
    <r>
      <rPr>
        <sz val="14"/>
        <color rgb="FF000000"/>
        <rFont val="Resource Han Rounded CN Normal"/>
        <charset val="134"/>
      </rPr>
      <t>,</t>
    </r>
    <r>
      <rPr>
        <sz val="14"/>
        <color rgb="FF000000"/>
        <rFont val="宋体"/>
        <charset val="134"/>
      </rPr>
      <t>直到黎明</t>
    </r>
    <r>
      <rPr>
        <sz val="14"/>
        <color rgb="FF000000"/>
        <rFont val="Resource Han Rounded CN Normal"/>
        <charset val="134"/>
      </rPr>
      <t>(</t>
    </r>
    <r>
      <rPr>
        <sz val="14"/>
        <color rgb="FF000000"/>
        <rFont val="宋体"/>
        <charset val="134"/>
      </rPr>
      <t>实际上只需要几盎司的血）。</t>
    </r>
    <r>
      <rPr>
        <sz val="14"/>
        <color rgb="FF000000"/>
        <rFont val="Resource Han Rounded CN Normal"/>
        <charset val="134"/>
      </rPr>
      <t xml:space="preserve">
</t>
    </r>
    <r>
      <rPr>
        <sz val="14"/>
        <color rgb="FF000000"/>
        <rFont val="宋体"/>
        <charset val="134"/>
      </rPr>
      <t>参与者从第一次注血起必须吟唱，反复朗读一段听起来像是</t>
    </r>
    <r>
      <rPr>
        <sz val="14"/>
        <color rgb="FF000000"/>
        <rFont val="Resource Han Rounded CN Normal"/>
        <charset val="134"/>
      </rPr>
      <t>“</t>
    </r>
    <r>
      <rPr>
        <sz val="14"/>
        <color rgb="FF000000"/>
        <rFont val="宋体"/>
        <charset val="134"/>
      </rPr>
      <t>萨</t>
    </r>
    <r>
      <rPr>
        <sz val="14"/>
        <color rgb="FF000000"/>
        <rFont val="Resource Han Rounded CN Normal"/>
        <charset val="134"/>
      </rPr>
      <t>-</t>
    </r>
    <r>
      <rPr>
        <sz val="14"/>
        <color rgb="FF000000"/>
        <rFont val="宋体"/>
        <charset val="134"/>
      </rPr>
      <t>马、萨</t>
    </r>
    <r>
      <rPr>
        <sz val="14"/>
        <color rgb="FF000000"/>
        <rFont val="Resource Han Rounded CN Normal"/>
        <charset val="134"/>
      </rPr>
      <t>-</t>
    </r>
    <r>
      <rPr>
        <sz val="14"/>
        <color rgb="FF000000"/>
        <rFont val="宋体"/>
        <charset val="134"/>
      </rPr>
      <t>马、太</t>
    </r>
    <r>
      <rPr>
        <sz val="14"/>
        <color rgb="FF000000"/>
        <rFont val="Resource Han Rounded CN Normal"/>
        <charset val="134"/>
      </rPr>
      <t>-</t>
    </r>
    <r>
      <rPr>
        <sz val="14"/>
        <color rgb="FF000000"/>
        <rFont val="宋体"/>
        <charset val="134"/>
      </rPr>
      <t>尤、萨马</t>
    </r>
    <r>
      <rPr>
        <sz val="14"/>
        <color rgb="FF000000"/>
        <rFont val="Resource Han Rounded CN Normal"/>
        <charset val="134"/>
      </rPr>
      <t>(SA-MA,SA-MA,TE-YO,SA-MA)"</t>
    </r>
    <r>
      <rPr>
        <sz val="14"/>
        <color rgb="FF000000"/>
        <rFont val="宋体"/>
        <charset val="134"/>
      </rPr>
      <t>的短语</t>
    </r>
    <r>
      <rPr>
        <sz val="14"/>
        <color rgb="FF000000"/>
        <rFont val="Resource Han Rounded CN Normal"/>
        <charset val="134"/>
      </rPr>
      <t>,</t>
    </r>
    <r>
      <rPr>
        <sz val="14"/>
        <color rgb="FF000000"/>
        <rFont val="宋体"/>
        <charset val="134"/>
      </rPr>
      <t>一直持续到黎明。眼形守卫需要吟唱咒语人们的</t>
    </r>
    <r>
      <rPr>
        <sz val="14"/>
        <color rgb="FF000000"/>
        <rFont val="Resource Han Rounded CN Normal"/>
        <charset val="134"/>
      </rPr>
      <t>POW(</t>
    </r>
    <r>
      <rPr>
        <sz val="14"/>
        <color rgb="FF000000"/>
        <rFont val="宋体"/>
        <charset val="134"/>
      </rPr>
      <t>根据他们的知识，这个不是必需的</t>
    </r>
    <r>
      <rPr>
        <sz val="14"/>
        <color rgb="FF000000"/>
        <rFont val="Resource Han Rounded CN Normal"/>
        <charset val="134"/>
      </rPr>
      <t>)</t>
    </r>
    <r>
      <rPr>
        <sz val="14"/>
        <color rgb="FF000000"/>
        <rFont val="宋体"/>
        <charset val="134"/>
      </rPr>
      <t>。每吟唱一小时</t>
    </r>
    <r>
      <rPr>
        <sz val="14"/>
        <color rgb="FF000000"/>
        <rFont val="Resource Han Rounded CN Normal"/>
        <charset val="134"/>
      </rPr>
      <t>,</t>
    </r>
    <r>
      <rPr>
        <sz val="14"/>
        <color rgb="FF000000"/>
        <rFont val="宋体"/>
        <charset val="134"/>
      </rPr>
      <t>眼符就从每名参与者身上吸取</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直到吸满预定的</t>
    </r>
    <r>
      <rPr>
        <sz val="14"/>
        <color rgb="FF000000"/>
        <rFont val="Resource Han Rounded CN Normal"/>
        <charset val="134"/>
      </rPr>
      <t>POW</t>
    </r>
    <r>
      <rPr>
        <sz val="14"/>
        <color rgb="FF000000"/>
        <rFont val="宋体"/>
        <charset val="134"/>
      </rPr>
      <t>量为止</t>
    </r>
    <r>
      <rPr>
        <sz val="14"/>
        <color rgb="FF000000"/>
        <rFont val="Resource Han Rounded CN Normal"/>
        <charset val="134"/>
      </rPr>
      <t>(</t>
    </r>
    <r>
      <rPr>
        <sz val="14"/>
        <color rgb="FF000000"/>
        <rFont val="宋体"/>
        <charset val="134"/>
      </rPr>
      <t>标准版本是</t>
    </r>
    <r>
      <rPr>
        <sz val="14"/>
        <color rgb="FF000000"/>
        <rFont val="Resource Han Rounded CN Normal"/>
        <charset val="134"/>
      </rPr>
      <t>100</t>
    </r>
    <r>
      <rPr>
        <sz val="14"/>
        <color rgb="FF000000"/>
        <rFont val="宋体"/>
        <charset val="134"/>
      </rPr>
      <t>点</t>
    </r>
    <r>
      <rPr>
        <sz val="14"/>
        <color rgb="FF000000"/>
        <rFont val="Resource Han Rounded CN Normal"/>
        <charset val="134"/>
      </rPr>
      <t>)</t>
    </r>
    <r>
      <rPr>
        <sz val="14"/>
        <color rgb="FF000000"/>
        <rFont val="宋体"/>
        <charset val="134"/>
      </rPr>
      <t>。失去所有</t>
    </r>
    <r>
      <rPr>
        <sz val="14"/>
        <color rgb="FF000000"/>
        <rFont val="Resource Han Rounded CN Normal"/>
        <charset val="134"/>
      </rPr>
      <t>POW</t>
    </r>
    <r>
      <rPr>
        <sz val="14"/>
        <color rgb="FF000000"/>
        <rFont val="宋体"/>
        <charset val="134"/>
      </rPr>
      <t>的人将暴毙。如果黎明之前仍没有积累足够的</t>
    </r>
    <r>
      <rPr>
        <sz val="14"/>
        <color rgb="FF000000"/>
        <rFont val="Resource Han Rounded CN Normal"/>
        <charset val="134"/>
      </rPr>
      <t>POW,</t>
    </r>
    <r>
      <rPr>
        <sz val="14"/>
        <color rgb="FF000000"/>
        <rFont val="宋体"/>
        <charset val="134"/>
      </rPr>
      <t>则激活过程失败</t>
    </r>
    <r>
      <rPr>
        <sz val="14"/>
        <color rgb="FF000000"/>
        <rFont val="Resource Han Rounded CN Normal"/>
        <charset val="134"/>
      </rPr>
      <t>,</t>
    </r>
    <r>
      <rPr>
        <sz val="14"/>
        <color rgb="FF000000"/>
        <rFont val="宋体"/>
        <charset val="134"/>
      </rPr>
      <t>所有已吸收的能量会消失</t>
    </r>
    <r>
      <rPr>
        <sz val="14"/>
        <color rgb="FF000000"/>
        <rFont val="Resource Han Rounded CN Normal"/>
        <charset val="134"/>
      </rPr>
      <t>,</t>
    </r>
    <r>
      <rPr>
        <sz val="14"/>
        <color rgb="FF000000"/>
        <rFont val="宋体"/>
        <charset val="134"/>
      </rPr>
      <t>整个过程必须从头开始。</t>
    </r>
    <r>
      <rPr>
        <sz val="14"/>
        <color rgb="FF000000"/>
        <rFont val="Resource Han Rounded CN Normal"/>
        <charset val="134"/>
      </rPr>
      <t>KP</t>
    </r>
    <r>
      <rPr>
        <sz val="14"/>
        <color rgb="FF000000"/>
        <rFont val="宋体"/>
        <charset val="134"/>
      </rPr>
      <t>在创建守卫成功或失败之前都不要说到底发生了什么</t>
    </r>
    <r>
      <rPr>
        <sz val="14"/>
        <color rgb="FF000000"/>
        <rFont val="Resource Han Rounded CN Normal"/>
        <charset val="134"/>
      </rPr>
      <t>;</t>
    </r>
    <r>
      <rPr>
        <sz val="14"/>
        <color rgb="FF000000"/>
        <rFont val="宋体"/>
        <charset val="134"/>
      </rPr>
      <t>只有确定了成败</t>
    </r>
    <r>
      <rPr>
        <sz val="14"/>
        <color rgb="FF000000"/>
        <rFont val="Resource Han Rounded CN Normal"/>
        <charset val="134"/>
      </rPr>
      <t>,</t>
    </r>
    <r>
      <rPr>
        <sz val="14"/>
        <color rgb="FF000000"/>
        <rFont val="宋体"/>
        <charset val="134"/>
      </rPr>
      <t>玩家才要划去所有的损失</t>
    </r>
    <r>
      <rPr>
        <sz val="14"/>
        <color rgb="FF000000"/>
        <rFont val="Resource Han Rounded CN Normal"/>
        <charset val="134"/>
      </rPr>
      <t>(KP</t>
    </r>
    <r>
      <rPr>
        <sz val="14"/>
        <color rgb="FF000000"/>
        <rFont val="宋体"/>
        <charset val="134"/>
      </rPr>
      <t>秘密记录</t>
    </r>
    <r>
      <rPr>
        <sz val="14"/>
        <color rgb="FF000000"/>
        <rFont val="Resource Han Rounded CN Normal"/>
        <charset val="134"/>
      </rPr>
      <t>)</t>
    </r>
    <r>
      <rPr>
        <sz val="14"/>
        <color rgb="FF000000"/>
        <rFont val="宋体"/>
        <charset val="134"/>
      </rPr>
      <t>。如果在时限内收集了足够的</t>
    </r>
    <r>
      <rPr>
        <sz val="14"/>
        <color rgb="FF000000"/>
        <rFont val="Resource Han Rounded CN Normal"/>
        <charset val="134"/>
      </rPr>
      <t>POW,</t>
    </r>
    <r>
      <rPr>
        <sz val="14"/>
        <color rgb="FF000000"/>
        <rFont val="宋体"/>
        <charset val="134"/>
      </rPr>
      <t>当下一次月亮升起时</t>
    </r>
    <r>
      <rPr>
        <sz val="14"/>
        <color rgb="FF000000"/>
        <rFont val="Resource Han Rounded CN Normal"/>
        <charset val="134"/>
      </rPr>
      <t>,</t>
    </r>
    <r>
      <rPr>
        <sz val="14"/>
        <color rgb="FF000000"/>
        <rFont val="宋体"/>
        <charset val="134"/>
      </rPr>
      <t>眼符的瞳仁将激活</t>
    </r>
    <r>
      <rPr>
        <sz val="14"/>
        <color rgb="FF000000"/>
        <rFont val="Resource Han Rounded CN Normal"/>
        <charset val="134"/>
      </rPr>
      <t>,</t>
    </r>
    <r>
      <rPr>
        <sz val="14"/>
        <color rgb="FF000000"/>
        <rFont val="宋体"/>
        <charset val="134"/>
      </rPr>
      <t>并短暂地发光。此后眼符将不可以被物理或普通的魔法手段移动。创建眼符的人</t>
    </r>
    <r>
      <rPr>
        <sz val="14"/>
        <color rgb="FF000000"/>
        <rFont val="Resource Han Rounded CN Normal"/>
        <charset val="134"/>
      </rPr>
      <t>(</t>
    </r>
    <r>
      <rPr>
        <sz val="14"/>
        <color rgb="FF000000"/>
        <rFont val="宋体"/>
        <charset val="134"/>
      </rPr>
      <t>也只有他们）在靠近它的时候可以看到黯淡的灵光从眼睛里发出来。</t>
    </r>
    <r>
      <rPr>
        <sz val="14"/>
        <color rgb="FF000000"/>
        <rFont val="Resource Han Rounded CN Normal"/>
        <charset val="134"/>
      </rPr>
      <t xml:space="preserve">
</t>
    </r>
    <r>
      <rPr>
        <sz val="14"/>
        <color rgb="FF000000"/>
        <rFont val="宋体"/>
        <charset val="134"/>
      </rPr>
      <t>光明与黑暗之眼非常强大。它能削弱外神、旧日支配者的代理人、怪物、仆役，当它们进入这个区域时，这些</t>
    </r>
    <r>
      <rPr>
        <sz val="14"/>
        <color rgb="FF000000"/>
        <rFont val="Resource Han Rounded CN Normal"/>
        <charset val="134"/>
      </rPr>
      <t>“</t>
    </r>
    <r>
      <rPr>
        <sz val="14"/>
        <color rgb="FF000000"/>
        <rFont val="宋体"/>
        <charset val="134"/>
      </rPr>
      <t>仆从</t>
    </r>
    <r>
      <rPr>
        <sz val="14"/>
        <color rgb="FF000000"/>
        <rFont val="Resource Han Rounded CN Normal"/>
        <charset val="134"/>
      </rPr>
      <t>”</t>
    </r>
    <r>
      <rPr>
        <sz val="14"/>
        <color rgb="FF000000"/>
        <rFont val="宋体"/>
        <charset val="134"/>
      </rPr>
      <t>将每小时受到</t>
    </r>
    <r>
      <rPr>
        <sz val="14"/>
        <color rgb="FF000000"/>
        <rFont val="Resource Han Rounded CN Normal"/>
        <charset val="134"/>
      </rPr>
      <t>1</t>
    </r>
    <r>
      <rPr>
        <sz val="14"/>
        <color rgb="FF000000"/>
        <rFont val="宋体"/>
        <charset val="134"/>
      </rPr>
      <t>点魔法值的伤害（它们除非离开这一区域否则不可以回复魔法值）。在眼符生效区域失去所有魔法值的仆从将彻底瓦解。联络术、通神术、请神术、召唤</t>
    </r>
    <r>
      <rPr>
        <sz val="14"/>
        <color rgb="FF000000"/>
        <rFont val="Resource Han Rounded CN Normal"/>
        <charset val="134"/>
      </rPr>
      <t>/</t>
    </r>
    <r>
      <rPr>
        <sz val="14"/>
        <color rgb="FF000000"/>
        <rFont val="宋体"/>
        <charset val="134"/>
      </rPr>
      <t>束缚术在眼符的视线范围内无法施放。眼符的威力为半径</t>
    </r>
    <r>
      <rPr>
        <sz val="14"/>
        <color rgb="FF000000"/>
        <rFont val="Resource Han Rounded CN Normal"/>
        <charset val="134"/>
      </rPr>
      <t>10</t>
    </r>
    <r>
      <rPr>
        <sz val="14"/>
        <color rgb="FF000000"/>
        <rFont val="宋体"/>
        <charset val="134"/>
      </rPr>
      <t>英里；但它不能穿透超过</t>
    </r>
    <r>
      <rPr>
        <sz val="14"/>
        <color rgb="FF000000"/>
        <rFont val="Resource Han Rounded CN Normal"/>
        <charset val="134"/>
      </rPr>
      <t>20</t>
    </r>
    <r>
      <rPr>
        <sz val="14"/>
        <color rgb="FF000000"/>
        <rFont val="宋体"/>
        <charset val="134"/>
      </rPr>
      <t>尺厚的石头或金属。</t>
    </r>
    <r>
      <rPr>
        <sz val="14"/>
        <color rgb="FF000000"/>
        <rFont val="Resource Han Rounded CN Normal"/>
        <charset val="134"/>
      </rPr>
      <t xml:space="preserve">
</t>
    </r>
    <r>
      <rPr>
        <sz val="14"/>
        <color rgb="FF000000"/>
        <rFont val="宋体"/>
        <charset val="134"/>
      </rPr>
      <t>破坏眼符需要和原来创建它一样的法术。大多数情况下，根据创建时的吟唱和仪式不同，每只眼睛都是独一无二的（通常基于施法的位置）。需要复杂的推理和经年累月痛苦的研究才能逆向破解创建时的咒语，并且最终破坏眼符。这个古老魔法极其罕见，只有愚人才会尝试破坏这些东西。</t>
    </r>
    <r>
      <rPr>
        <sz val="14"/>
        <color rgb="FF000000"/>
        <rFont val="Resource Han Rounded CN Normal"/>
        <charset val="134"/>
      </rPr>
      <t xml:space="preserve">
</t>
    </r>
    <r>
      <rPr>
        <sz val="14"/>
        <color rgb="FF000000"/>
        <rFont val="宋体"/>
        <charset val="134"/>
      </rPr>
      <t>别名：不详。</t>
    </r>
  </si>
  <si>
    <t>反胃法阵〔保〕</t>
  </si>
  <si>
    <r>
      <rPr>
        <sz val="14"/>
        <color rgb="FF000000"/>
        <rFont val="Resource Han Rounded CN Normal"/>
        <charset val="134"/>
      </rPr>
      <t>4</t>
    </r>
    <r>
      <rPr>
        <sz val="14"/>
        <color rgb="FF000000"/>
        <rFont val="宋体"/>
        <charset val="134"/>
      </rPr>
      <t>点魔法值；</t>
    </r>
    <r>
      <rPr>
        <sz val="14"/>
        <color rgb="FF000000"/>
        <rFont val="Resource Han Rounded CN Normal"/>
        <charset val="134"/>
      </rPr>
      <t>2</t>
    </r>
    <r>
      <rPr>
        <sz val="14"/>
        <color rgb="FF000000"/>
        <rFont val="宋体"/>
        <charset val="134"/>
      </rPr>
      <t>点理智值</t>
    </r>
  </si>
  <si>
    <t>脉动光辉守卫术、恶臭屏障</t>
  </si>
  <si>
    <t>VOID LIGHT</t>
  </si>
  <si>
    <t>虚空光线</t>
  </si>
  <si>
    <r>
      <rPr>
        <sz val="14"/>
        <color rgb="FF000000"/>
        <rFont val="宋体"/>
        <charset val="134"/>
      </rPr>
      <t>光</t>
    </r>
    <r>
      <rPr>
        <sz val="14"/>
        <color rgb="FF000000"/>
        <rFont val="MS Gothic"/>
        <charset val="134"/>
      </rPr>
      <t>の</t>
    </r>
    <r>
      <rPr>
        <sz val="14"/>
        <color rgb="FF000000"/>
        <rFont val="宋体"/>
        <charset val="134"/>
      </rPr>
      <t>空隙</t>
    </r>
  </si>
  <si>
    <r>
      <rPr>
        <sz val="14"/>
        <color rgb="FF000000"/>
        <rFont val="宋体"/>
        <charset val="134"/>
      </rPr>
      <t>虚空光线</t>
    </r>
    <r>
      <rPr>
        <sz val="14"/>
        <color rgb="FF000000"/>
        <rFont val="Resource Han Rounded CN Normal"/>
        <charset val="134"/>
      </rPr>
      <t xml:space="preserve">
Void Light
</t>
    </r>
    <r>
      <rPr>
        <sz val="14"/>
        <color rgb="FF000000"/>
        <rFont val="宋体"/>
        <charset val="134"/>
      </rPr>
      <t>米</t>
    </r>
    <r>
      <rPr>
        <sz val="14"/>
        <color rgb="FF000000"/>
        <rFont val="Resource Han Rounded CN Normal"/>
        <charset val="134"/>
      </rPr>
      <t>-</t>
    </r>
    <r>
      <rPr>
        <sz val="14"/>
        <color rgb="FF000000"/>
        <rFont val="宋体"/>
        <charset val="134"/>
      </rPr>
      <t>戈法术。创造一个光子无法穿越的坍陷区域。</t>
    </r>
    <r>
      <rPr>
        <sz val="14"/>
        <color rgb="FF000000"/>
        <rFont val="Resource Han Rounded CN Normal"/>
        <charset val="134"/>
      </rPr>
      <t xml:space="preserve">
</t>
    </r>
    <r>
      <rPr>
        <sz val="14"/>
        <color rgb="FF000000"/>
        <rFont val="宋体"/>
        <charset val="134"/>
      </rPr>
      <t>每创造一立方码的黑暗区域将会耗费米</t>
    </r>
    <r>
      <rPr>
        <sz val="14"/>
        <color rgb="FF000000"/>
        <rFont val="Resource Han Rounded CN Normal"/>
        <charset val="134"/>
      </rPr>
      <t>-</t>
    </r>
    <r>
      <rPr>
        <sz val="14"/>
        <color rgb="FF000000"/>
        <rFont val="宋体"/>
        <charset val="134"/>
      </rPr>
      <t>戈</t>
    </r>
    <r>
      <rPr>
        <sz val="14"/>
        <color rgb="FF000000"/>
        <rFont val="Resource Han Rounded CN Normal"/>
        <charset val="134"/>
      </rPr>
      <t>1</t>
    </r>
    <r>
      <rPr>
        <sz val="14"/>
        <color rgb="FF000000"/>
        <rFont val="宋体"/>
        <charset val="134"/>
      </rPr>
      <t>点魔法值。没有光线可以逃离坍陷区域，所以脆弱的米</t>
    </r>
    <r>
      <rPr>
        <sz val="14"/>
        <color rgb="FF000000"/>
        <rFont val="Resource Han Rounded CN Normal"/>
        <charset val="134"/>
      </rPr>
      <t>-</t>
    </r>
    <r>
      <rPr>
        <sz val="14"/>
        <color rgb="FF000000"/>
        <rFont val="宋体"/>
        <charset val="134"/>
      </rPr>
      <t>戈可以躲藏在其中，不被人看到。这片黑暗的形状一般是片状或半球形。</t>
    </r>
  </si>
  <si>
    <t>哈斯塔之歌〔战〕</t>
  </si>
  <si>
    <r>
      <rPr>
        <sz val="14"/>
        <color rgb="FF000000"/>
        <rFont val="Resource Han Rounded CN Normal"/>
        <charset val="134"/>
      </rPr>
      <t>1D4</t>
    </r>
    <r>
      <rPr>
        <sz val="14"/>
        <color rgb="FF000000"/>
        <rFont val="宋体"/>
        <charset val="134"/>
      </rPr>
      <t>点魔法值以上；</t>
    </r>
    <r>
      <rPr>
        <sz val="14"/>
        <color rgb="FF000000"/>
        <rFont val="Resource Han Rounded CN Normal"/>
        <charset val="134"/>
      </rPr>
      <t>1D4</t>
    </r>
    <r>
      <rPr>
        <sz val="14"/>
        <color rgb="FF000000"/>
        <rFont val="宋体"/>
        <charset val="134"/>
      </rPr>
      <t>点理智值以上</t>
    </r>
  </si>
  <si>
    <t>王之吼、黄廷之音、产生巨大折磨和痛苦的沸腾疮疖</t>
  </si>
  <si>
    <t>DAMPEN LIGHT</t>
  </si>
  <si>
    <t>抑光术</t>
  </si>
  <si>
    <r>
      <rPr>
        <sz val="14"/>
        <color rgb="FF000000"/>
        <rFont val="宋体"/>
        <charset val="134"/>
      </rPr>
      <t>光</t>
    </r>
    <r>
      <rPr>
        <sz val="14"/>
        <color rgb="FF000000"/>
        <rFont val="MS Gothic"/>
        <charset val="134"/>
      </rPr>
      <t>を</t>
    </r>
    <r>
      <rPr>
        <sz val="14"/>
        <color rgb="FF000000"/>
        <rFont val="宋体"/>
        <charset val="134"/>
      </rPr>
      <t>消</t>
    </r>
    <r>
      <rPr>
        <sz val="14"/>
        <color rgb="FF000000"/>
        <rFont val="MS Gothic"/>
        <charset val="134"/>
      </rPr>
      <t>す</t>
    </r>
  </si>
  <si>
    <r>
      <rPr>
        <sz val="14"/>
        <color rgb="FF000000"/>
        <rFont val="宋体"/>
        <charset val="134"/>
      </rPr>
      <t>抑光术〔环〕</t>
    </r>
    <r>
      <rPr>
        <sz val="14"/>
        <color rgb="FF000000"/>
        <rFont val="Resource Han Rounded CN Normal"/>
        <charset val="134"/>
      </rPr>
      <t xml:space="preserve">
Dampen Light
</t>
    </r>
    <r>
      <rPr>
        <sz val="14"/>
        <color rgb="FF000000"/>
        <rFont val="宋体"/>
        <charset val="134"/>
      </rPr>
      <t>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1D3</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t>
    </r>
    <r>
      <rPr>
        <sz val="14"/>
        <color rgb="FF000000"/>
        <rFont val="宋体"/>
        <charset val="134"/>
      </rPr>
      <t>轮</t>
    </r>
    <r>
      <rPr>
        <sz val="14"/>
        <color rgb="FF000000"/>
        <rFont val="Resource Han Rounded CN Normal"/>
        <charset val="134"/>
      </rPr>
      <t xml:space="preserve">
</t>
    </r>
    <r>
      <rPr>
        <sz val="14"/>
        <color rgb="FF000000"/>
        <rFont val="宋体"/>
        <charset val="134"/>
      </rPr>
      <t>施法者通过用附魔的笛子类乐器演奏音乐，来创造一片黑暗的区域。施法者必须能演奏这种乐器，乐器必须是附魔的。</t>
    </r>
    <r>
      <rPr>
        <sz val="14"/>
        <color rgb="FF000000"/>
        <rFont val="Resource Han Rounded CN Normal"/>
        <charset val="134"/>
      </rPr>
      <t xml:space="preserve">
</t>
    </r>
    <r>
      <rPr>
        <sz val="14"/>
        <color rgb="FF000000"/>
        <rFont val="宋体"/>
        <charset val="134"/>
      </rPr>
      <t>黑暗区域以演奏者为中心，随着演奏者的移动而移动。每消耗</t>
    </r>
    <r>
      <rPr>
        <sz val="14"/>
        <color rgb="FF000000"/>
        <rFont val="Resource Han Rounded CN Normal"/>
        <charset val="134"/>
      </rPr>
      <t>1</t>
    </r>
    <r>
      <rPr>
        <sz val="14"/>
        <color rgb="FF000000"/>
        <rFont val="宋体"/>
        <charset val="134"/>
      </rPr>
      <t>点魔法值，黑暗区域的范围（半径）就增加</t>
    </r>
    <r>
      <rPr>
        <sz val="14"/>
        <color rgb="FF000000"/>
        <rFont val="Resource Han Rounded CN Normal"/>
        <charset val="134"/>
      </rPr>
      <t>1</t>
    </r>
    <r>
      <rPr>
        <sz val="14"/>
        <color rgb="FF000000"/>
        <rFont val="宋体"/>
        <charset val="134"/>
      </rPr>
      <t>码。从演奏的第三轮开始，施法者周围一切光亮都会消失，使周围所有人目盲，包括施法者。要维持黑暗区域必须持续奏乐。</t>
    </r>
    <r>
      <rPr>
        <sz val="14"/>
        <color rgb="FF000000"/>
        <rFont val="Resource Han Rounded CN Normal"/>
        <charset val="134"/>
      </rPr>
      <t xml:space="preserve">
</t>
    </r>
    <r>
      <rPr>
        <sz val="14"/>
        <color rgb="FF000000"/>
        <rFont val="宋体"/>
        <charset val="134"/>
      </rPr>
      <t>别名：恶魔的吹奏、吟游诗人的诅咒、黑色旋律</t>
    </r>
  </si>
  <si>
    <t>哈斯塔释放术〔召〕</t>
  </si>
  <si>
    <r>
      <rPr>
        <sz val="14"/>
        <color rgb="FF000000"/>
        <rFont val="Resource Han Rounded CN Normal"/>
        <charset val="134"/>
      </rPr>
      <t>350</t>
    </r>
    <r>
      <rPr>
        <sz val="14"/>
        <color rgb="FF000000"/>
        <rFont val="宋体"/>
        <charset val="134"/>
      </rPr>
      <t>点</t>
    </r>
    <r>
      <rPr>
        <sz val="14"/>
        <color rgb="FF000000"/>
        <rFont val="Resource Han Rounded CN Normal"/>
        <charset val="134"/>
      </rPr>
      <t>POW</t>
    </r>
  </si>
  <si>
    <r>
      <rPr>
        <sz val="14"/>
        <color rgb="FF000000"/>
        <rFont val="宋体"/>
        <charset val="134"/>
      </rPr>
      <t>每投入</t>
    </r>
    <r>
      <rPr>
        <sz val="14"/>
        <color rgb="FF000000"/>
        <rFont val="Resource Han Rounded CN Normal"/>
        <charset val="134"/>
      </rPr>
      <t>1</t>
    </r>
    <r>
      <rPr>
        <sz val="14"/>
        <color rgb="FF000000"/>
        <rFont val="宋体"/>
        <charset val="134"/>
      </rPr>
      <t>点</t>
    </r>
    <r>
      <rPr>
        <sz val="14"/>
        <color rgb="FF000000"/>
        <rFont val="Resource Han Rounded CN Normal"/>
        <charset val="134"/>
      </rPr>
      <t>POW</t>
    </r>
    <r>
      <rPr>
        <sz val="14"/>
        <color rgb="FF000000"/>
        <rFont val="宋体"/>
        <charset val="134"/>
      </rPr>
      <t>，用时</t>
    </r>
    <r>
      <rPr>
        <sz val="14"/>
        <color rgb="FF000000"/>
        <rFont val="Resource Han Rounded CN Normal"/>
        <charset val="134"/>
      </rPr>
      <t>1</t>
    </r>
    <r>
      <rPr>
        <sz val="14"/>
        <color rgb="FF000000"/>
        <rFont val="宋体"/>
        <charset val="134"/>
      </rPr>
      <t>分钟，毕宿五可见的夜晚施放，需九块巨石，350名吟唱者或卡尔科萨建造术已生效时35名吟唱者</t>
    </r>
  </si>
  <si>
    <t>脱开不可名状者的缰绳、哈利湖祈愿、黄衣仪式</t>
  </si>
  <si>
    <t>BALK BROOD</t>
  </si>
  <si>
    <t>幼体驱除术</t>
  </si>
  <si>
    <r>
      <rPr>
        <sz val="14"/>
        <color rgb="FF000000"/>
        <rFont val="宋体"/>
        <charset val="134"/>
      </rPr>
      <t>雛</t>
    </r>
    <r>
      <rPr>
        <sz val="14"/>
        <color rgb="FF000000"/>
        <rFont val="MS Gothic"/>
        <charset val="134"/>
      </rPr>
      <t>を</t>
    </r>
    <r>
      <rPr>
        <sz val="14"/>
        <color rgb="FF000000"/>
        <rFont val="宋体"/>
        <charset val="134"/>
      </rPr>
      <t>取</t>
    </r>
    <r>
      <rPr>
        <sz val="14"/>
        <color rgb="FF000000"/>
        <rFont val="MS Gothic"/>
        <charset val="134"/>
      </rPr>
      <t>り</t>
    </r>
    <r>
      <rPr>
        <sz val="14"/>
        <color rgb="FF000000"/>
        <rFont val="宋体"/>
        <charset val="134"/>
      </rPr>
      <t>除</t>
    </r>
    <r>
      <rPr>
        <sz val="14"/>
        <color rgb="FF000000"/>
        <rFont val="MS Gothic"/>
        <charset val="134"/>
      </rPr>
      <t>く</t>
    </r>
  </si>
  <si>
    <r>
      <rPr>
        <sz val="14"/>
        <color rgb="FF000000"/>
        <rFont val="宋体"/>
        <charset val="134"/>
      </rPr>
      <t>幼体驱除术〔召〕</t>
    </r>
    <r>
      <rPr>
        <sz val="14"/>
        <color rgb="FF000000"/>
        <rFont val="Resource Han Rounded CN Normal"/>
        <charset val="134"/>
      </rPr>
      <t xml:space="preserve">
Balk Brood
</t>
    </r>
    <r>
      <rPr>
        <sz val="14"/>
        <color rgb="FF000000"/>
        <rFont val="宋体"/>
        <charset val="134"/>
      </rPr>
      <t>消耗：可变的魔法值；</t>
    </r>
    <r>
      <rPr>
        <sz val="14"/>
        <color rgb="FF000000"/>
        <rFont val="Resource Han Rounded CN Normal"/>
        <charset val="134"/>
      </rPr>
      <t>1D3</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t>
    </r>
    <r>
      <rPr>
        <sz val="14"/>
        <color rgb="FF000000"/>
        <rFont val="宋体"/>
        <charset val="134"/>
      </rPr>
      <t>轮</t>
    </r>
    <r>
      <rPr>
        <sz val="14"/>
        <color rgb="FF000000"/>
        <rFont val="Resource Han Rounded CN Normal"/>
        <charset val="134"/>
      </rPr>
      <t xml:space="preserve">
</t>
    </r>
    <r>
      <rPr>
        <sz val="14"/>
        <color rgb="FF000000"/>
        <rFont val="宋体"/>
        <charset val="134"/>
      </rPr>
      <t>从目标身上召唤出艾霍特的幼体。施法者（和其他了解本法术的人）可以消耗任意多魔法值。吟唱咒语时接触施法者的人可以贡献</t>
    </r>
    <r>
      <rPr>
        <sz val="14"/>
        <color rgb="FF000000"/>
        <rFont val="Resource Han Rounded CN Normal"/>
        <charset val="134"/>
      </rPr>
      <t>1</t>
    </r>
    <r>
      <rPr>
        <sz val="14"/>
        <color rgb="FF000000"/>
        <rFont val="宋体"/>
        <charset val="134"/>
      </rPr>
      <t>点魔法值，但每个参与者的理智损失都是</t>
    </r>
    <r>
      <rPr>
        <sz val="14"/>
        <color rgb="FF000000"/>
        <rFont val="Resource Han Rounded CN Normal"/>
        <charset val="134"/>
      </rPr>
      <t>1D3</t>
    </r>
    <r>
      <rPr>
        <sz val="14"/>
        <color rgb="FF000000"/>
        <rFont val="宋体"/>
        <charset val="134"/>
      </rPr>
      <t>点。</t>
    </r>
    <r>
      <rPr>
        <sz val="14"/>
        <color rgb="FF000000"/>
        <rFont val="Resource Han Rounded CN Normal"/>
        <charset val="134"/>
      </rPr>
      <t xml:space="preserve">
</t>
    </r>
    <r>
      <rPr>
        <sz val="14"/>
        <color rgb="FF000000"/>
        <rFont val="宋体"/>
        <charset val="134"/>
      </rPr>
      <t>施法者将仪式中投入的累计魔法值乘以五，并在与</t>
    </r>
    <r>
      <rPr>
        <sz val="14"/>
        <color rgb="FF000000"/>
        <rFont val="Resource Han Rounded CN Normal"/>
        <charset val="134"/>
      </rPr>
      <t>KP</t>
    </r>
    <r>
      <rPr>
        <sz val="14"/>
        <color rgb="FF000000"/>
        <rFont val="宋体"/>
        <charset val="134"/>
      </rPr>
      <t>的对抗检定中以这个值为基准</t>
    </r>
    <r>
      <rPr>
        <sz val="14"/>
        <color rgb="FF000000"/>
        <rFont val="Resource Han Rounded CN Normal"/>
        <charset val="134"/>
      </rPr>
      <t>——KP</t>
    </r>
    <r>
      <rPr>
        <sz val="14"/>
        <color rgb="FF000000"/>
        <rFont val="宋体"/>
        <charset val="134"/>
      </rPr>
      <t>则将艾霍特植入幼体后经过的天数乘以五，作为检定的基准值。若施法者胜出，则寄生在目标身上的幼体将从目标的孔窍当中倾巢而出，这个过程损失</t>
    </r>
    <r>
      <rPr>
        <sz val="14"/>
        <color rgb="FF000000"/>
        <rFont val="Resource Han Rounded CN Normal"/>
        <charset val="134"/>
      </rPr>
      <t>1D4</t>
    </r>
    <r>
      <rPr>
        <sz val="14"/>
        <color rgb="FF000000"/>
        <rFont val="宋体"/>
        <charset val="134"/>
      </rPr>
      <t>点理智值。并且目标每被幼体寄生一天，他还要损失</t>
    </r>
    <r>
      <rPr>
        <sz val="14"/>
        <color rgb="FF000000"/>
        <rFont val="Resource Han Rounded CN Normal"/>
        <charset val="134"/>
      </rPr>
      <t>1</t>
    </r>
    <r>
      <rPr>
        <sz val="14"/>
        <color rgb="FF000000"/>
        <rFont val="宋体"/>
        <charset val="134"/>
      </rPr>
      <t>点耐久值。寄生可能已经对目标造成了巨大的伤害，但是外表掩盖了明显的症状。移除幼体可能导致目标死亡，但不管怎样，假使寄生持续发展，他们的命运也是注定的。每次施放本法术，参与者都会冒艾霍特出现的风险；第一次施放时是</t>
    </r>
    <r>
      <rPr>
        <sz val="14"/>
        <color rgb="FF000000"/>
        <rFont val="Resource Han Rounded CN Normal"/>
        <charset val="134"/>
      </rPr>
      <t>10%</t>
    </r>
    <r>
      <rPr>
        <sz val="14"/>
        <color rgb="FF000000"/>
        <rFont val="宋体"/>
        <charset val="134"/>
      </rPr>
      <t>，此后每次施放都会增加</t>
    </r>
    <r>
      <rPr>
        <sz val="14"/>
        <color rgb="FF000000"/>
        <rFont val="Resource Han Rounded CN Normal"/>
        <charset val="134"/>
      </rPr>
      <t>10%</t>
    </r>
    <r>
      <rPr>
        <sz val="14"/>
        <color rgb="FF000000"/>
        <rFont val="宋体"/>
        <charset val="134"/>
      </rPr>
      <t>的几率。艾霍特会首先攻击施法者，毁灭那些和自己的幼体作对的人。</t>
    </r>
    <r>
      <rPr>
        <sz val="14"/>
        <color rgb="FF000000"/>
        <rFont val="Resource Han Rounded CN Normal"/>
        <charset val="134"/>
      </rPr>
      <t xml:space="preserve">
</t>
    </r>
    <r>
      <rPr>
        <sz val="14"/>
        <color rgb="FF000000"/>
        <rFont val="宋体"/>
        <charset val="134"/>
      </rPr>
      <t>别名：驱散迷宫之子、打破白死之卵</t>
    </r>
  </si>
  <si>
    <t>伤害偏转术〔战、保〕</t>
  </si>
  <si>
    <t>巫师盾、无懈可击的斗篷、外神的背诵</t>
  </si>
  <si>
    <t>CONTROL SKIN</t>
  </si>
  <si>
    <t>皮肤控制术</t>
  </si>
  <si>
    <r>
      <rPr>
        <sz val="14"/>
        <color rgb="FF000000"/>
        <rFont val="宋体"/>
        <charset val="134"/>
      </rPr>
      <t>皮膚</t>
    </r>
    <r>
      <rPr>
        <sz val="14"/>
        <color rgb="FF000000"/>
        <rFont val="MS Gothic"/>
        <charset val="134"/>
      </rPr>
      <t>の</t>
    </r>
    <r>
      <rPr>
        <sz val="14"/>
        <color rgb="FF000000"/>
        <rFont val="宋体"/>
        <charset val="134"/>
      </rPr>
      <t>制御</t>
    </r>
  </si>
  <si>
    <r>
      <rPr>
        <sz val="14"/>
        <color rgb="FF000000"/>
        <rFont val="宋体"/>
        <charset val="134"/>
      </rPr>
      <t>皮肤控制术〔变〕</t>
    </r>
    <r>
      <rPr>
        <sz val="14"/>
        <color rgb="FF000000"/>
        <rFont val="Resource Han Rounded CN Normal"/>
        <charset val="134"/>
      </rPr>
      <t xml:space="preserve">
Control Skin
</t>
    </r>
    <r>
      <rPr>
        <sz val="14"/>
        <color rgb="FF000000"/>
        <rFont val="宋体"/>
        <charset val="134"/>
      </rPr>
      <t>消耗：</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1D6</t>
    </r>
    <r>
      <rPr>
        <sz val="14"/>
        <color rgb="FF000000"/>
        <rFont val="宋体"/>
        <charset val="134"/>
      </rPr>
      <t>点理智值施法用时：</t>
    </r>
    <r>
      <rPr>
        <sz val="14"/>
        <color rgb="FF000000"/>
        <rFont val="Resource Han Rounded CN Normal"/>
        <charset val="134"/>
      </rPr>
      <t>30</t>
    </r>
    <r>
      <rPr>
        <sz val="14"/>
        <color rgb="FF000000"/>
        <rFont val="宋体"/>
        <charset val="134"/>
      </rPr>
      <t>分钟</t>
    </r>
    <r>
      <rPr>
        <sz val="14"/>
        <color rgb="FF000000"/>
        <rFont val="Resource Han Rounded CN Normal"/>
        <charset val="134"/>
      </rPr>
      <t xml:space="preserve">
</t>
    </r>
    <r>
      <rPr>
        <sz val="14"/>
        <color rgb="FF000000"/>
        <rFont val="宋体"/>
        <charset val="134"/>
      </rPr>
      <t>施法者可以出于伪装的目的融合、扭曲、改变皮肤，每次施法可以影响身体的一个主要部位。</t>
    </r>
    <r>
      <rPr>
        <sz val="14"/>
        <color rgb="FF000000"/>
        <rFont val="Resource Han Rounded CN Normal"/>
        <charset val="134"/>
      </rPr>
      <t xml:space="preserve">
</t>
    </r>
    <r>
      <rPr>
        <sz val="14"/>
        <color rgb="FF000000"/>
        <rFont val="宋体"/>
        <charset val="134"/>
      </rPr>
      <t>主要部位包括：头部、躯干、右臂、左臂、右腿、左腿。施法者可以对自己或他人施放</t>
    </r>
    <r>
      <rPr>
        <sz val="14"/>
        <color rgb="FF000000"/>
        <rFont val="Resource Han Rounded CN Normal"/>
        <charset val="134"/>
      </rPr>
      <t>——</t>
    </r>
    <r>
      <rPr>
        <sz val="14"/>
        <color rgb="FF000000"/>
        <rFont val="宋体"/>
        <charset val="134"/>
      </rPr>
      <t>若对他人施放，除非对方自愿，否则施法者须和目标进行一次</t>
    </r>
    <r>
      <rPr>
        <sz val="14"/>
        <color rgb="FF000000"/>
        <rFont val="Resource Han Rounded CN Normal"/>
        <charset val="134"/>
      </rPr>
      <t>POW</t>
    </r>
    <r>
      <rPr>
        <sz val="14"/>
        <color rgb="FF000000"/>
        <rFont val="宋体"/>
        <charset val="134"/>
      </rPr>
      <t>对抗检定并胜出，法术才能生效。</t>
    </r>
    <r>
      <rPr>
        <sz val="14"/>
        <color rgb="FF000000"/>
        <rFont val="Resource Han Rounded CN Normal"/>
        <charset val="134"/>
      </rPr>
      <t xml:space="preserve">
</t>
    </r>
    <r>
      <rPr>
        <sz val="14"/>
        <color rgb="FF000000"/>
        <rFont val="宋体"/>
        <charset val="134"/>
      </rPr>
      <t>改变一个部位的身体需要大约三十分钟的时间准备并生效，效果大约持续一个小时。要想永久改变，每个身体部位需要施法者消耗</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。再次施放本法术可以解除变化。</t>
    </r>
    <r>
      <rPr>
        <sz val="14"/>
        <color rgb="FF000000"/>
        <rFont val="Resource Han Rounded CN Normal"/>
        <charset val="134"/>
      </rPr>
      <t xml:space="preserve">
</t>
    </r>
    <r>
      <rPr>
        <sz val="14"/>
        <color rgb="FF000000"/>
        <rFont val="宋体"/>
        <charset val="134"/>
      </rPr>
      <t>深层魔法：皮肤兄弟会，一个在东欧活动的阴险邪教组织，是熟练使用本法术的大师。邪教徒可以消耗</t>
    </r>
    <r>
      <rPr>
        <sz val="14"/>
        <color rgb="FF000000"/>
        <rFont val="Resource Han Rounded CN Normal"/>
        <charset val="134"/>
      </rPr>
      <t>30</t>
    </r>
    <r>
      <rPr>
        <sz val="14"/>
        <color rgb="FF000000"/>
        <rFont val="宋体"/>
        <charset val="134"/>
      </rPr>
      <t>点魔法值和</t>
    </r>
    <r>
      <rPr>
        <sz val="14"/>
        <color rgb="FF000000"/>
        <rFont val="Resource Han Rounded CN Normal"/>
        <charset val="134"/>
      </rPr>
      <t>6D6</t>
    </r>
    <r>
      <rPr>
        <sz val="14"/>
        <color rgb="FF000000"/>
        <rFont val="宋体"/>
        <charset val="134"/>
      </rPr>
      <t>点理智值来改变整个身体。</t>
    </r>
    <r>
      <rPr>
        <sz val="14"/>
        <color rgb="FF000000"/>
        <rFont val="Resource Han Rounded CN Normal"/>
        <charset val="134"/>
      </rPr>
      <t xml:space="preserve">
</t>
    </r>
    <r>
      <rPr>
        <sz val="14"/>
        <color rgb="FF000000"/>
        <rFont val="宋体"/>
        <charset val="134"/>
      </rPr>
      <t>别名：皮行术、皮肉融合、血肉雕刻</t>
    </r>
  </si>
  <si>
    <t>光明与黑暗之眼〔保〕</t>
  </si>
  <si>
    <r>
      <rPr>
        <sz val="14"/>
        <color rgb="FF000000"/>
        <rFont val="宋体"/>
        <charset val="134"/>
      </rPr>
      <t>可变的</t>
    </r>
    <r>
      <rPr>
        <sz val="14"/>
        <color rgb="FF000000"/>
        <rFont val="Resource Han Rounded CN Normal"/>
        <charset val="134"/>
      </rPr>
      <t>POW</t>
    </r>
    <r>
      <rPr>
        <sz val="14"/>
        <color rgb="FF000000"/>
        <rFont val="宋体"/>
        <charset val="134"/>
      </rPr>
      <t>（标准</t>
    </r>
    <r>
      <rPr>
        <sz val="14"/>
        <color rgb="FF000000"/>
        <rFont val="Resource Han Rounded CN Normal"/>
        <charset val="134"/>
      </rPr>
      <t>100</t>
    </r>
    <r>
      <rPr>
        <sz val="14"/>
        <color rgb="FF000000"/>
        <rFont val="宋体"/>
        <charset val="134"/>
      </rPr>
      <t>点）</t>
    </r>
    <r>
      <rPr>
        <sz val="14"/>
        <color rgb="FF000000"/>
        <rFont val="Resource Han Rounded CN Normal"/>
        <charset val="134"/>
      </rPr>
      <t>[28]</t>
    </r>
  </si>
  <si>
    <t>从傍晚到黎明</t>
  </si>
  <si>
    <t>CREATE FETCH STICK</t>
  </si>
  <si>
    <t>生魂棒创建术</t>
  </si>
  <si>
    <r>
      <rPr>
        <sz val="14"/>
        <color rgb="FF000000"/>
        <rFont val="MS Gothic"/>
        <charset val="134"/>
      </rPr>
      <t>フェッチ</t>
    </r>
    <r>
      <rPr>
        <sz val="14"/>
        <color rgb="FF000000"/>
        <rFont val="宋体"/>
        <charset val="134"/>
      </rPr>
      <t>棒</t>
    </r>
    <r>
      <rPr>
        <sz val="14"/>
        <color rgb="FF000000"/>
        <rFont val="MS Gothic"/>
        <charset val="134"/>
      </rPr>
      <t>の</t>
    </r>
    <r>
      <rPr>
        <sz val="14"/>
        <color rgb="FF000000"/>
        <rFont val="宋体"/>
        <charset val="134"/>
      </rPr>
      <t>創造</t>
    </r>
  </si>
  <si>
    <r>
      <rPr>
        <sz val="14"/>
        <color rgb="FF000000"/>
        <rFont val="宋体"/>
        <charset val="134"/>
      </rPr>
      <t>生魂棒创建术〔附〕</t>
    </r>
    <r>
      <rPr>
        <sz val="14"/>
        <color rgb="FF000000"/>
        <rFont val="Resource Han Rounded CN Normal"/>
        <charset val="134"/>
      </rPr>
      <t xml:space="preserve">
Create Fetch Stick
</t>
    </r>
    <r>
      <rPr>
        <sz val="14"/>
        <color rgb="FF000000"/>
        <rFont val="宋体"/>
        <charset val="134"/>
      </rPr>
      <t>消耗：</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20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年</t>
    </r>
    <r>
      <rPr>
        <sz val="14"/>
        <color rgb="FF000000"/>
        <rFont val="Resource Han Rounded CN Normal"/>
        <charset val="134"/>
      </rPr>
      <t xml:space="preserve">
</t>
    </r>
    <r>
      <rPr>
        <sz val="14"/>
        <color rgb="FF000000"/>
        <rFont val="宋体"/>
        <charset val="134"/>
      </rPr>
      <t>附魔一支矛类武器，可以伤害或杀死超自然怪物。要制造一支生魂棒，巫师必须找一支棍棒，并在一头装上磨尖的铁矛头。在接下来的一整年当中，巫师要献祭两个人、向棍棒中投入</t>
    </r>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，并在棒子另一端装上一个骷髅头。</t>
    </r>
    <r>
      <rPr>
        <sz val="14"/>
        <color rgb="FF000000"/>
        <rFont val="Resource Han Rounded CN Normal"/>
        <charset val="134"/>
      </rPr>
      <t xml:space="preserve">
</t>
    </r>
    <r>
      <rPr>
        <sz val="14"/>
        <color rgb="FF000000"/>
        <rFont val="宋体"/>
        <charset val="134"/>
      </rPr>
      <t>这个过程需要消耗理智值，</t>
    </r>
    <r>
      <rPr>
        <sz val="14"/>
        <color rgb="FF000000"/>
        <rFont val="Resource Han Rounded CN Normal"/>
        <charset val="134"/>
      </rPr>
      <t>KP</t>
    </r>
    <r>
      <rPr>
        <sz val="14"/>
        <color rgb="FF000000"/>
        <rFont val="宋体"/>
        <charset val="134"/>
      </rPr>
      <t>要把它描述得非常可怕。生魂棒的打击贯穿时可以立即摧毁僵尸或者其他的活化死尸。</t>
    </r>
    <r>
      <rPr>
        <sz val="14"/>
        <color rgb="FF000000"/>
        <rFont val="Resource Han Rounded CN Normal"/>
        <charset val="134"/>
      </rPr>
      <t xml:space="preserve">
</t>
    </r>
    <r>
      <rPr>
        <sz val="14"/>
        <color rgb="FF000000"/>
        <rFont val="宋体"/>
        <charset val="134"/>
      </rPr>
      <t>别名：死亡棍、制造死人克星、长矛附魔术</t>
    </r>
  </si>
  <si>
    <r>
      <rPr>
        <sz val="14"/>
        <color rgb="FF000000"/>
        <rFont val="宋体"/>
        <charset val="134"/>
      </rPr>
      <t>米</t>
    </r>
    <r>
      <rPr>
        <sz val="14"/>
        <color rgb="FF000000"/>
        <rFont val="Resource Han Rounded CN Normal"/>
        <charset val="134"/>
      </rPr>
      <t>-</t>
    </r>
    <r>
      <rPr>
        <sz val="14"/>
        <color rgb="FF000000"/>
        <rFont val="宋体"/>
        <charset val="134"/>
      </rPr>
      <t>戈法术。创造一个光子无法穿越的坍陷区域。没有光线可以逃离坍陷区域，所以脆弱的米</t>
    </r>
    <r>
      <rPr>
        <sz val="14"/>
        <color rgb="FF000000"/>
        <rFont val="Resource Han Rounded CN Normal"/>
        <charset val="134"/>
      </rPr>
      <t>-</t>
    </r>
    <r>
      <rPr>
        <sz val="14"/>
        <color rgb="FF000000"/>
        <rFont val="宋体"/>
        <charset val="134"/>
      </rPr>
      <t>戈可以躲藏在其中，不被人看到。</t>
    </r>
  </si>
  <si>
    <r>
      <rPr>
        <sz val="14"/>
        <color rgb="FF000000"/>
        <rFont val="宋体"/>
        <charset val="134"/>
      </rPr>
      <t>每创造一立方码的黑暗区域将会耗费米</t>
    </r>
    <r>
      <rPr>
        <sz val="14"/>
        <color rgb="FF000000"/>
        <rFont val="Resource Han Rounded CN Normal"/>
        <charset val="134"/>
      </rPr>
      <t>-</t>
    </r>
    <r>
      <rPr>
        <sz val="14"/>
        <color rgb="FF000000"/>
        <rFont val="宋体"/>
        <charset val="134"/>
      </rPr>
      <t>戈</t>
    </r>
    <r>
      <rPr>
        <sz val="14"/>
        <color rgb="FF000000"/>
        <rFont val="Resource Han Rounded CN Normal"/>
        <charset val="134"/>
      </rPr>
      <t>1</t>
    </r>
    <r>
      <rPr>
        <sz val="14"/>
        <color rgb="FF000000"/>
        <rFont val="宋体"/>
        <charset val="134"/>
      </rPr>
      <t>点魔法值</t>
    </r>
  </si>
  <si>
    <t>片状或半球形</t>
  </si>
  <si>
    <t>WARDING</t>
  </si>
  <si>
    <t>守卫术（守护石）</t>
  </si>
  <si>
    <t>布石</t>
  </si>
  <si>
    <r>
      <rPr>
        <sz val="14"/>
        <color rgb="FF000000"/>
        <rFont val="宋体"/>
        <charset val="134"/>
      </rPr>
      <t>守卫术（守护石）〔保〕</t>
    </r>
    <r>
      <rPr>
        <sz val="14"/>
        <color rgb="FF000000"/>
        <rFont val="Resource Han Rounded CN Normal"/>
        <charset val="134"/>
      </rPr>
      <t xml:space="preserve">
Warding
</t>
    </r>
    <r>
      <rPr>
        <sz val="14"/>
        <color rgb="FF000000"/>
        <rFont val="宋体"/>
        <charset val="134"/>
      </rPr>
      <t>消耗：每块石头</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轮</t>
    </r>
    <r>
      <rPr>
        <sz val="14"/>
        <color rgb="FF000000"/>
        <rFont val="Resource Han Rounded CN Normal"/>
        <charset val="134"/>
      </rPr>
      <t xml:space="preserve">
</t>
    </r>
    <r>
      <rPr>
        <sz val="14"/>
        <color rgb="FF000000"/>
        <rFont val="宋体"/>
        <charset val="134"/>
      </rPr>
      <t>施法者随意愿在地上放置一定数量的普通白色石头，只不过每块石头之间的间隔不能大于</t>
    </r>
    <r>
      <rPr>
        <sz val="14"/>
        <color rgb="FF000000"/>
        <rFont val="Resource Han Rounded CN Normal"/>
        <charset val="134"/>
      </rPr>
      <t>1</t>
    </r>
    <r>
      <rPr>
        <sz val="14"/>
        <color rgb="FF000000"/>
        <rFont val="宋体"/>
        <charset val="134"/>
      </rPr>
      <t>码。施法时，石头上面会出现闪闪发光的热雾。此后，只要有石头被移动，施法者就能知晓这件事，哪怕是他刚才还在睡觉。这之后，法术就中止了。</t>
    </r>
    <r>
      <rPr>
        <sz val="14"/>
        <color rgb="FF000000"/>
        <rFont val="Resource Han Rounded CN Normal"/>
        <charset val="134"/>
      </rPr>
      <t xml:space="preserve">
</t>
    </r>
    <r>
      <rPr>
        <sz val="14"/>
        <color rgb="FF000000"/>
        <rFont val="宋体"/>
        <charset val="134"/>
      </rPr>
      <t>别名：保险石、遗石以为障、保护圈</t>
    </r>
  </si>
  <si>
    <t>抑光术〔环〕</t>
  </si>
  <si>
    <t>恶魔的吹奏、吟游诗人的诅咒、黑色旋律</t>
  </si>
  <si>
    <t>RESURRECTION</t>
  </si>
  <si>
    <t>复活术</t>
  </si>
  <si>
    <t>復活</t>
  </si>
  <si>
    <r>
      <rPr>
        <sz val="14"/>
        <color rgb="FF000000"/>
        <rFont val="宋体"/>
        <charset val="134"/>
      </rPr>
      <t>复活术〔续、造〕</t>
    </r>
    <r>
      <rPr>
        <sz val="14"/>
        <color rgb="FF000000"/>
        <rFont val="Resource Han Rounded CN Normal"/>
        <charset val="134"/>
      </rPr>
      <t xml:space="preserve">
Resurrection
</t>
    </r>
    <r>
      <rPr>
        <sz val="14"/>
        <color rgb="FF000000"/>
        <rFont val="宋体"/>
        <charset val="134"/>
      </rPr>
      <t>消耗：</t>
    </r>
    <r>
      <rPr>
        <sz val="14"/>
        <color rgb="FF000000"/>
        <rFont val="Resource Han Rounded CN Normal"/>
        <charset val="134"/>
      </rPr>
      <t>3</t>
    </r>
    <r>
      <rPr>
        <sz val="14"/>
        <color rgb="FF000000"/>
        <rFont val="宋体"/>
        <charset val="134"/>
      </rPr>
      <t>点魔法值；</t>
    </r>
    <r>
      <rPr>
        <sz val="14"/>
        <color rgb="FF000000"/>
        <rFont val="Resource Han Rounded CN Normal"/>
        <charset val="134"/>
      </rPr>
      <t>1D10</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或</t>
    </r>
    <r>
      <rPr>
        <sz val="14"/>
        <color rgb="FF000000"/>
        <rFont val="Resource Han Rounded CN Normal"/>
        <charset val="134"/>
      </rPr>
      <t>2</t>
    </r>
    <r>
      <rPr>
        <sz val="14"/>
        <color rgb="FF000000"/>
        <rFont val="宋体"/>
        <charset val="134"/>
      </rPr>
      <t>轮</t>
    </r>
    <r>
      <rPr>
        <sz val="14"/>
        <color rgb="FF000000"/>
        <rFont val="Resource Han Rounded CN Normal"/>
        <charset val="134"/>
      </rPr>
      <t xml:space="preserve">
</t>
    </r>
    <r>
      <rPr>
        <sz val="14"/>
        <color rgb="FF000000"/>
        <rFont val="宋体"/>
        <charset val="134"/>
      </rPr>
      <t>本法术能将尸体变成</t>
    </r>
    <r>
      <rPr>
        <sz val="14"/>
        <color rgb="FF000000"/>
        <rFont val="Resource Han Rounded CN Normal"/>
        <charset val="134"/>
      </rPr>
      <t>“</t>
    </r>
    <r>
      <rPr>
        <sz val="14"/>
        <color rgb="FF000000"/>
        <rFont val="宋体"/>
        <charset val="134"/>
      </rPr>
      <t>精盐</t>
    </r>
    <r>
      <rPr>
        <sz val="14"/>
        <color rgb="FF000000"/>
        <rFont val="Resource Han Rounded CN Normal"/>
        <charset val="134"/>
      </rPr>
      <t>”</t>
    </r>
    <r>
      <rPr>
        <sz val="14"/>
        <color rgb="FF000000"/>
        <rFont val="宋体"/>
        <charset val="134"/>
      </rPr>
      <t>和组成成分，一种蓝灰色的粉尘；或者逆转此过程，最终唤起逝者的模样和灵魂。尸体必须齐全。被以这种方式复活消耗目标</t>
    </r>
    <r>
      <rPr>
        <sz val="14"/>
        <color rgb="FF000000"/>
        <rFont val="Resource Han Rounded CN Normal"/>
        <charset val="134"/>
      </rPr>
      <t>1D20</t>
    </r>
    <r>
      <rPr>
        <sz val="14"/>
        <color rgb="FF000000"/>
        <rFont val="宋体"/>
        <charset val="134"/>
      </rPr>
      <t>点理智值。</t>
    </r>
    <r>
      <rPr>
        <sz val="14"/>
        <color rgb="FF000000"/>
        <rFont val="Resource Han Rounded CN Normal"/>
        <charset val="134"/>
      </rPr>
      <t xml:space="preserve">
</t>
    </r>
    <r>
      <rPr>
        <sz val="14"/>
        <color rgb="FF000000"/>
        <rFont val="宋体"/>
        <charset val="134"/>
      </rPr>
      <t>如果仅用一部分的粉尘施放法术，施法者从变成血肉的东西中得到的</t>
    </r>
    <r>
      <rPr>
        <sz val="14"/>
        <color rgb="FF000000"/>
        <rFont val="Resource Han Rounded CN Normal"/>
        <charset val="134"/>
      </rPr>
      <t>“</t>
    </r>
    <r>
      <rPr>
        <sz val="14"/>
        <color rgb="FF000000"/>
        <rFont val="宋体"/>
        <charset val="134"/>
      </rPr>
      <t>只有活生生的恐怖</t>
    </r>
    <r>
      <rPr>
        <sz val="14"/>
        <color rgb="FF000000"/>
        <rFont val="Resource Han Rounded CN Normal"/>
        <charset val="134"/>
      </rPr>
      <t>”</t>
    </r>
    <r>
      <rPr>
        <sz val="14"/>
        <color rgb="FF000000"/>
        <rFont val="宋体"/>
        <charset val="134"/>
      </rPr>
      <t>。但成功复活并不需要尸体完整无缺，只要棺材整，并且足够小心地刮下棺内所有碎屑和尘土，法术便可成功。</t>
    </r>
    <r>
      <rPr>
        <sz val="14"/>
        <color rgb="FF000000"/>
        <rFont val="Resource Han Rounded CN Normal"/>
        <charset val="134"/>
      </rPr>
      <t xml:space="preserve">
</t>
    </r>
    <r>
      <rPr>
        <sz val="14"/>
        <color rgb="FF000000"/>
        <rFont val="宋体"/>
        <charset val="134"/>
      </rPr>
      <t>逆向诵读咒语可以逆转复活的效果，将复活者变为尘土，一样需要消耗</t>
    </r>
    <r>
      <rPr>
        <sz val="14"/>
        <color rgb="FF000000"/>
        <rFont val="Resource Han Rounded CN Normal"/>
        <charset val="134"/>
      </rPr>
      <t>3</t>
    </r>
    <r>
      <rPr>
        <sz val="14"/>
        <color rgb="FF000000"/>
        <rFont val="宋体"/>
        <charset val="134"/>
      </rPr>
      <t>点魔法值和</t>
    </r>
    <r>
      <rPr>
        <sz val="14"/>
        <color rgb="FF000000"/>
        <rFont val="Resource Han Rounded CN Normal"/>
        <charset val="134"/>
      </rPr>
      <t>1D10</t>
    </r>
    <r>
      <rPr>
        <sz val="14"/>
        <color rgb="FF000000"/>
        <rFont val="宋体"/>
        <charset val="134"/>
      </rPr>
      <t>点理智值。粉尘可以贮存或丢弃。施法者须和目标进行一次</t>
    </r>
    <r>
      <rPr>
        <sz val="14"/>
        <color rgb="FF000000"/>
        <rFont val="Resource Han Rounded CN Normal"/>
        <charset val="134"/>
      </rPr>
      <t>POW</t>
    </r>
    <r>
      <rPr>
        <sz val="14"/>
        <color rgb="FF000000"/>
        <rFont val="宋体"/>
        <charset val="134"/>
      </rPr>
      <t>对抗检定并胜出，法术才能生效。若施法者胜出，目标归于尘土。若目标胜出，</t>
    </r>
    <r>
      <rPr>
        <sz val="14"/>
        <color rgb="FF000000"/>
        <rFont val="Resource Han Rounded CN Normal"/>
        <charset val="134"/>
      </rPr>
      <t xml:space="preserve">
</t>
    </r>
    <r>
      <rPr>
        <sz val="14"/>
        <color rgb="FF000000"/>
        <rFont val="宋体"/>
        <charset val="134"/>
      </rPr>
      <t>它会设法阻止施法者重新施法。逆向诵读咒语需要两轮时间。在《查尔斯</t>
    </r>
    <r>
      <rPr>
        <sz val="14"/>
        <color rgb="FF000000"/>
        <rFont val="Resource Han Rounded CN Normal"/>
        <charset val="134"/>
      </rPr>
      <t>·</t>
    </r>
    <r>
      <rPr>
        <sz val="14"/>
        <color rgb="FF000000"/>
        <rFont val="宋体"/>
        <charset val="134"/>
      </rPr>
      <t>德克特</t>
    </r>
    <r>
      <rPr>
        <sz val="14"/>
        <color rgb="FF000000"/>
        <rFont val="Resource Han Rounded CN Normal"/>
        <charset val="134"/>
      </rPr>
      <t>·</t>
    </r>
    <r>
      <rPr>
        <sz val="14"/>
        <color rgb="FF000000"/>
        <rFont val="宋体"/>
        <charset val="134"/>
      </rPr>
      <t>沃德事件》中，许多这种复活者被审讯、拷打以问取过去的秘密。</t>
    </r>
    <r>
      <rPr>
        <sz val="14"/>
        <color rgb="FF000000"/>
        <rFont val="Resource Han Rounded CN Normal"/>
        <charset val="134"/>
      </rPr>
      <t xml:space="preserve">
</t>
    </r>
    <r>
      <rPr>
        <sz val="14"/>
        <color rgb="FF000000"/>
        <rFont val="宋体"/>
        <charset val="134"/>
      </rPr>
      <t>别名：久佚知识之仪式、重现术、盐之仪式</t>
    </r>
  </si>
  <si>
    <t>幼体驱除术〔召〕</t>
  </si>
  <si>
    <t>驱散迷宫之子、打破白死之卵</t>
  </si>
  <si>
    <t>PRINN'S CRUXANSATA</t>
  </si>
  <si>
    <t>蒲林的埃及十字架</t>
  </si>
  <si>
    <r>
      <rPr>
        <sz val="14"/>
        <color rgb="FF000000"/>
        <rFont val="MS Gothic"/>
        <charset val="134"/>
      </rPr>
      <t>プリンのアンサタ</t>
    </r>
    <r>
      <rPr>
        <sz val="14"/>
        <color rgb="FF000000"/>
        <rFont val="宋体"/>
        <charset val="134"/>
      </rPr>
      <t>十字</t>
    </r>
  </si>
  <si>
    <r>
      <rPr>
        <sz val="14"/>
        <color rgb="FF000000"/>
        <rFont val="宋体"/>
        <charset val="134"/>
      </rPr>
      <t>蒲林的埃及十字架〔驱〕</t>
    </r>
    <r>
      <rPr>
        <sz val="14"/>
        <color rgb="FF000000"/>
        <rFont val="Resource Han Rounded CN Normal"/>
        <charset val="134"/>
      </rPr>
      <t xml:space="preserve">
Prinn's Crux Ansata
</t>
    </r>
    <r>
      <rPr>
        <sz val="14"/>
        <color rgb="FF000000"/>
        <rFont val="宋体"/>
        <charset val="134"/>
      </rPr>
      <t>消耗：</t>
    </r>
    <r>
      <rPr>
        <sz val="14"/>
        <color rgb="FF000000"/>
        <rFont val="Resource Han Rounded CN Normal"/>
        <charset val="134"/>
      </rPr>
      <t>25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施法用时：可变的日数</t>
    </r>
    <r>
      <rPr>
        <sz val="14"/>
        <color rgb="FF000000"/>
        <rFont val="Resource Han Rounded CN Normal"/>
        <charset val="134"/>
      </rPr>
      <t xml:space="preserve">
</t>
    </r>
    <r>
      <rPr>
        <sz val="14"/>
        <color rgb="FF000000"/>
        <rFont val="宋体"/>
        <charset val="134"/>
      </rPr>
      <t>本法术创造一枚可以或暂时或永久地驱逐神话生物的埃及十字架（带环十字）。该物必须是单质金属制造的埃及十字架</t>
    </r>
    <r>
      <rPr>
        <sz val="14"/>
        <color rgb="FF000000"/>
        <rFont val="Resource Han Rounded CN Normal"/>
        <charset val="134"/>
      </rPr>
      <t>——</t>
    </r>
    <r>
      <rPr>
        <sz val="14"/>
        <color rgb="FF000000"/>
        <rFont val="宋体"/>
        <charset val="134"/>
      </rPr>
      <t>纯铜、铁、银、金和铅是最容易找到并打造的。用</t>
    </r>
    <r>
      <rPr>
        <sz val="14"/>
        <color rgb="FF000000"/>
        <rFont val="Resource Han Rounded CN Normal"/>
        <charset val="134"/>
      </rPr>
      <t>20</t>
    </r>
    <r>
      <rPr>
        <sz val="14"/>
        <color rgb="FF000000"/>
        <rFont val="宋体"/>
        <charset val="134"/>
      </rPr>
      <t>减去施法者</t>
    </r>
    <r>
      <rPr>
        <sz val="14"/>
        <color rgb="FF000000"/>
        <rFont val="Resource Han Rounded CN Normal"/>
        <charset val="134"/>
      </rPr>
      <t>INT</t>
    </r>
    <r>
      <rPr>
        <sz val="14"/>
        <color rgb="FF000000"/>
        <rFont val="宋体"/>
        <charset val="134"/>
      </rPr>
      <t>的五分之一得到天数，施法者要在这些天中进行分次的仪式和牺牲，这之后将施法所需</t>
    </r>
    <r>
      <rPr>
        <sz val="14"/>
        <color rgb="FF000000"/>
        <rFont val="Resource Han Rounded CN Normal"/>
        <charset val="134"/>
      </rPr>
      <t>POW</t>
    </r>
    <r>
      <rPr>
        <sz val="14"/>
        <color rgb="FF000000"/>
        <rFont val="宋体"/>
        <charset val="134"/>
      </rPr>
      <t>和理智值投入十字架中。</t>
    </r>
    <r>
      <rPr>
        <sz val="14"/>
        <color rgb="FF000000"/>
        <rFont val="Resource Han Rounded CN Normal"/>
        <charset val="134"/>
      </rPr>
      <t xml:space="preserve">
</t>
    </r>
    <r>
      <rPr>
        <sz val="14"/>
        <color rgb="FF000000"/>
        <rFont val="宋体"/>
        <charset val="134"/>
      </rPr>
      <t>当对抗神话生物时，施法者吟诵三轮，并消耗任意数量的魔法值。施法者的同伴每人亦可以贡献</t>
    </r>
    <r>
      <rPr>
        <sz val="14"/>
        <color rgb="FF000000"/>
        <rFont val="Resource Han Rounded CN Normal"/>
        <charset val="134"/>
      </rPr>
      <t>1</t>
    </r>
    <r>
      <rPr>
        <sz val="14"/>
        <color rgb="FF000000"/>
        <rFont val="宋体"/>
        <charset val="134"/>
      </rPr>
      <t>点魔法值；作为</t>
    </r>
    <r>
      <rPr>
        <sz val="14"/>
        <color rgb="FF000000"/>
        <rFont val="Resource Han Rounded CN Normal"/>
        <charset val="134"/>
      </rPr>
      <t>25</t>
    </r>
    <r>
      <rPr>
        <sz val="14"/>
        <color rgb="FF000000"/>
        <rFont val="宋体"/>
        <charset val="134"/>
      </rPr>
      <t>点</t>
    </r>
    <r>
      <rPr>
        <sz val="14"/>
        <color rgb="FF000000"/>
        <rFont val="Resource Han Rounded CN Normal"/>
        <charset val="134"/>
      </rPr>
      <t>POW</t>
    </r>
    <r>
      <rPr>
        <sz val="14"/>
        <color rgb="FF000000"/>
        <rFont val="宋体"/>
        <charset val="134"/>
      </rPr>
      <t>投入十字架的结果，施法者获得</t>
    </r>
    <r>
      <rPr>
        <sz val="14"/>
        <color rgb="FF000000"/>
        <rFont val="Resource Han Rounded CN Normal"/>
        <charset val="134"/>
      </rPr>
      <t>5</t>
    </r>
    <r>
      <rPr>
        <sz val="14"/>
        <color rgb="FF000000"/>
        <rFont val="宋体"/>
        <charset val="134"/>
      </rPr>
      <t>点</t>
    </r>
    <r>
      <rPr>
        <sz val="14"/>
        <color rgb="FF000000"/>
        <rFont val="Resource Han Rounded CN Normal"/>
        <charset val="134"/>
      </rPr>
      <t>“</t>
    </r>
    <r>
      <rPr>
        <sz val="14"/>
        <color rgb="FF000000"/>
        <rFont val="宋体"/>
        <charset val="134"/>
      </rPr>
      <t>自由</t>
    </r>
    <r>
      <rPr>
        <sz val="14"/>
        <color rgb="FF000000"/>
        <rFont val="Resource Han Rounded CN Normal"/>
        <charset val="134"/>
      </rPr>
      <t>”</t>
    </r>
    <r>
      <rPr>
        <sz val="14"/>
        <color rgb="FF000000"/>
        <rFont val="宋体"/>
        <charset val="134"/>
      </rPr>
      <t>魔法值。施法者须和目标进行一次</t>
    </r>
    <r>
      <rPr>
        <sz val="14"/>
        <color rgb="FF000000"/>
        <rFont val="Resource Han Rounded CN Normal"/>
        <charset val="134"/>
      </rPr>
      <t>POW</t>
    </r>
    <r>
      <rPr>
        <sz val="14"/>
        <color rgb="FF000000"/>
        <rFont val="宋体"/>
        <charset val="134"/>
      </rPr>
      <t>对抗检定并胜出，法术才能生效。如果魔法值消耗在目标</t>
    </r>
    <r>
      <rPr>
        <sz val="14"/>
        <color rgb="FF000000"/>
        <rFont val="Resource Han Rounded CN Normal"/>
        <charset val="134"/>
      </rPr>
      <t>POW</t>
    </r>
    <r>
      <rPr>
        <sz val="14"/>
        <color rgb="FF000000"/>
        <rFont val="宋体"/>
        <charset val="134"/>
      </rPr>
      <t>的五分之一以上，施法者在</t>
    </r>
    <r>
      <rPr>
        <sz val="14"/>
        <color rgb="FF000000"/>
        <rFont val="Resource Han Rounded CN Normal"/>
        <charset val="134"/>
      </rPr>
      <t>POW</t>
    </r>
    <r>
      <rPr>
        <sz val="14"/>
        <color rgb="FF000000"/>
        <rFont val="宋体"/>
        <charset val="134"/>
      </rPr>
      <t>对抗检定中获得一颗奖励骰。另外，施法者最多可以尝试对抗</t>
    </r>
    <r>
      <rPr>
        <sz val="14"/>
        <color rgb="FF000000"/>
        <rFont val="Resource Han Rounded CN Normal"/>
        <charset val="134"/>
      </rPr>
      <t>POW</t>
    </r>
    <r>
      <rPr>
        <sz val="14"/>
        <color rgb="FF000000"/>
        <rFont val="宋体"/>
        <charset val="134"/>
      </rPr>
      <t>比自己高</t>
    </r>
    <r>
      <rPr>
        <sz val="14"/>
        <color rgb="FF000000"/>
        <rFont val="Resource Han Rounded CN Normal"/>
        <charset val="134"/>
      </rPr>
      <t>200</t>
    </r>
    <r>
      <rPr>
        <sz val="14"/>
        <color rgb="FF000000"/>
        <rFont val="宋体"/>
        <charset val="134"/>
      </rPr>
      <t>点的生物。</t>
    </r>
    <r>
      <rPr>
        <sz val="14"/>
        <color rgb="FF000000"/>
        <rFont val="Resource Han Rounded CN Normal"/>
        <charset val="134"/>
      </rPr>
      <t xml:space="preserve">
</t>
    </r>
    <r>
      <rPr>
        <sz val="14"/>
        <color rgb="FF000000"/>
        <rFont val="宋体"/>
        <charset val="134"/>
      </rPr>
      <t>任何知道此附魔（但不是此法术）的人都可以使用此十字架并设法驱逐神话生物，但无法获得给施法者的</t>
    </r>
    <r>
      <rPr>
        <sz val="14"/>
        <color rgb="FF000000"/>
        <rFont val="Resource Han Rounded CN Normal"/>
        <charset val="134"/>
      </rPr>
      <t>5</t>
    </r>
    <r>
      <rPr>
        <sz val="14"/>
        <color rgb="FF000000"/>
        <rFont val="宋体"/>
        <charset val="134"/>
      </rPr>
      <t>点等效魔法值。若使用者和同伴战胜了神话生物，它会被遣返；否则，它会优先攻击十字架使用者，然后把注意力转移到在场的其他人身上。</t>
    </r>
    <r>
      <rPr>
        <sz val="14"/>
        <color rgb="FF000000"/>
        <rFont val="Resource Han Rounded CN Normal"/>
        <charset val="134"/>
      </rPr>
      <t xml:space="preserve">
</t>
    </r>
    <r>
      <rPr>
        <sz val="14"/>
        <color rgb="FF000000"/>
        <rFont val="宋体"/>
        <charset val="134"/>
      </rPr>
      <t>别名：放逐之印、逐出的记号</t>
    </r>
  </si>
  <si>
    <t>皮肤控制术〔变〕</t>
  </si>
  <si>
    <r>
      <rPr>
        <sz val="14"/>
        <color rgb="FF000000"/>
        <rFont val="Resource Han Rounded CN Normal"/>
        <charset val="134"/>
      </rPr>
      <t>30</t>
    </r>
    <r>
      <rPr>
        <sz val="14"/>
        <color rgb="FF000000"/>
        <rFont val="宋体"/>
        <charset val="134"/>
      </rPr>
      <t>分钟；头部、躯干、右臂、左臂、右腿、左腿</t>
    </r>
  </si>
  <si>
    <t>皮行术、皮肉融合、血肉雕刻</t>
  </si>
  <si>
    <t>ELDER SIGN</t>
  </si>
  <si>
    <t>旧印开光术</t>
  </si>
  <si>
    <r>
      <rPr>
        <sz val="14"/>
        <color rgb="FF000000"/>
        <rFont val="宋体"/>
        <charset val="134"/>
      </rPr>
      <t>旧</t>
    </r>
    <r>
      <rPr>
        <sz val="14"/>
        <color rgb="FF000000"/>
        <rFont val="MS Gothic"/>
        <charset val="134"/>
      </rPr>
      <t>き</t>
    </r>
    <r>
      <rPr>
        <sz val="14"/>
        <color rgb="FF000000"/>
        <rFont val="宋体"/>
        <charset val="134"/>
      </rPr>
      <t>印</t>
    </r>
  </si>
  <si>
    <r>
      <rPr>
        <sz val="14"/>
        <color rgb="FF000000"/>
        <rFont val="宋体"/>
        <charset val="134"/>
      </rPr>
      <t>旧印开光术〔保〕</t>
    </r>
    <r>
      <rPr>
        <sz val="14"/>
        <color rgb="FF000000"/>
        <rFont val="Resource Han Rounded CN Normal"/>
        <charset val="134"/>
      </rPr>
      <t xml:space="preserve">
Elder Sign,the
</t>
    </r>
    <r>
      <rPr>
        <sz val="14"/>
        <color rgb="FF000000"/>
        <rFont val="宋体"/>
        <charset val="134"/>
      </rPr>
      <t>消耗：</t>
    </r>
    <r>
      <rPr>
        <sz val="14"/>
        <color rgb="FF000000"/>
        <rFont val="Resource Han Rounded CN Normal"/>
        <charset val="134"/>
      </rPr>
      <t>10</t>
    </r>
    <r>
      <rPr>
        <sz val="14"/>
        <color rgb="FF000000"/>
        <rFont val="宋体"/>
        <charset val="134"/>
      </rPr>
      <t>点</t>
    </r>
    <r>
      <rPr>
        <sz val="14"/>
        <color rgb="FF000000"/>
        <rFont val="Resource Han Rounded CN Normal"/>
        <charset val="134"/>
      </rPr>
      <t xml:space="preserve">POW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本法术用来激活旧印。旧印可以做成铅封、雕刻在石头上、铸造在钢材上，等等。当它在时空裂缝</t>
    </r>
    <r>
      <rPr>
        <sz val="14"/>
        <color rgb="FF000000"/>
        <rFont val="Resource Han Rounded CN Normal"/>
        <charset val="134"/>
      </rPr>
      <t>(opening)</t>
    </r>
    <r>
      <rPr>
        <sz val="14"/>
        <color rgb="FF000000"/>
        <rFont val="宋体"/>
        <charset val="134"/>
      </rPr>
      <t>和时空门附近激活时，它会令旧日支配者、外神的仆役以及它们本尊无法使用这些通道。没有本法术，旧印本身毫无意义，没有任何效果。</t>
    </r>
    <r>
      <rPr>
        <sz val="14"/>
        <color rgb="FF000000"/>
        <rFont val="Resource Han Rounded CN Normal"/>
        <charset val="134"/>
      </rPr>
      <t xml:space="preserve">
</t>
    </r>
    <r>
      <rPr>
        <sz val="14"/>
        <color rgb="FF000000"/>
        <rFont val="宋体"/>
        <charset val="134"/>
      </rPr>
      <t>除掉一些抄本叙述的内容不谈，如果怪物和仆役能回避旧印，它在个人防御当中就是无用的。比如，把旧印戴在脖子上，可能会为它接触的皮肤周围几平方英寸的肉体提供保护；但是，佩戴者的其他身体部位则是完全没有保护的。有时人们会使用旧印作为警告的方法，提示无知的人前面有</t>
    </r>
    <r>
      <rPr>
        <sz val="14"/>
        <color rgb="FF000000"/>
        <rFont val="Resource Han Rounded CN Normal"/>
        <charset val="134"/>
      </rPr>
      <t>“</t>
    </r>
    <r>
      <rPr>
        <sz val="14"/>
        <color rgb="FF000000"/>
        <rFont val="宋体"/>
        <charset val="134"/>
      </rPr>
      <t>危险</t>
    </r>
    <r>
      <rPr>
        <sz val="14"/>
        <color rgb="FF000000"/>
        <rFont val="Resource Han Rounded CN Normal"/>
        <charset val="134"/>
      </rPr>
      <t>”</t>
    </r>
    <r>
      <rPr>
        <sz val="14"/>
        <color rgb="FF000000"/>
        <rFont val="宋体"/>
        <charset val="134"/>
      </rPr>
      <t>。</t>
    </r>
    <r>
      <rPr>
        <sz val="14"/>
        <color rgb="FF000000"/>
        <rFont val="Resource Han Rounded CN Normal"/>
        <charset val="134"/>
      </rPr>
      <t xml:space="preserve">
</t>
    </r>
    <r>
      <rPr>
        <sz val="14"/>
        <color rgb="FF000000"/>
        <rFont val="宋体"/>
        <charset val="134"/>
      </rPr>
      <t>别名：远古之印、凶兆枝杈、智慧的五角星</t>
    </r>
  </si>
  <si>
    <t>生魂棒创建术〔附〕</t>
  </si>
  <si>
    <r>
      <rPr>
        <sz val="14"/>
        <color rgb="FF000000"/>
        <rFont val="Resource Han Rounded CN Normal"/>
        <charset val="134"/>
      </rPr>
      <t>10</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20</t>
    </r>
    <r>
      <rPr>
        <sz val="14"/>
        <color rgb="FF000000"/>
        <rFont val="宋体"/>
        <charset val="134"/>
      </rPr>
      <t>点理智值</t>
    </r>
  </si>
  <si>
    <r>
      <rPr>
        <sz val="14"/>
        <color rgb="FF000000"/>
        <rFont val="Resource Han Rounded CN Normal"/>
        <charset val="134"/>
      </rPr>
      <t>1</t>
    </r>
    <r>
      <rPr>
        <sz val="14"/>
        <color rgb="FF000000"/>
        <rFont val="宋体"/>
        <charset val="134"/>
      </rPr>
      <t>年</t>
    </r>
  </si>
  <si>
    <t>死亡棍、制造死人克星、长矛附魔术</t>
  </si>
  <si>
    <t>POSE MUNDANE/MASK</t>
  </si>
  <si>
    <t>平凡无奇术</t>
  </si>
  <si>
    <r>
      <rPr>
        <sz val="14"/>
        <color rgb="FF000000"/>
        <rFont val="宋体"/>
        <charset val="134"/>
      </rPr>
      <t>平凡</t>
    </r>
    <r>
      <rPr>
        <sz val="14"/>
        <color rgb="FF000000"/>
        <rFont val="MS Gothic"/>
        <charset val="134"/>
      </rPr>
      <t>な</t>
    </r>
    <r>
      <rPr>
        <sz val="14"/>
        <color rgb="FF000000"/>
        <rFont val="宋体"/>
        <charset val="134"/>
      </rPr>
      <t>見</t>
    </r>
    <r>
      <rPr>
        <sz val="14"/>
        <color rgb="FF000000"/>
        <rFont val="MS Gothic"/>
        <charset val="134"/>
      </rPr>
      <t>せかけ</t>
    </r>
    <r>
      <rPr>
        <sz val="14"/>
        <color rgb="FF000000"/>
        <rFont val="宋体"/>
        <charset val="134"/>
      </rPr>
      <t>／仮面</t>
    </r>
  </si>
  <si>
    <r>
      <rPr>
        <sz val="14"/>
        <color rgb="FF000000"/>
        <rFont val="宋体"/>
        <charset val="134"/>
      </rPr>
      <t>平凡无奇术〔变〕</t>
    </r>
    <r>
      <rPr>
        <sz val="14"/>
        <color rgb="FF000000"/>
        <rFont val="Resource Han Rounded CN Normal"/>
        <charset val="134"/>
      </rPr>
      <t xml:space="preserve">
Pose Mundane
</t>
    </r>
    <r>
      <rPr>
        <sz val="14"/>
        <color rgb="FF000000"/>
        <rFont val="宋体"/>
        <charset val="134"/>
      </rPr>
      <t>消耗：可变的魔法值；</t>
    </r>
    <r>
      <rPr>
        <sz val="14"/>
        <color rgb="FF000000"/>
        <rFont val="Resource Han Rounded CN Normal"/>
        <charset val="134"/>
      </rPr>
      <t>1D6</t>
    </r>
    <r>
      <rPr>
        <sz val="14"/>
        <color rgb="FF000000"/>
        <rFont val="宋体"/>
        <charset val="134"/>
      </rPr>
      <t>点理智值施法用时：</t>
    </r>
    <r>
      <rPr>
        <sz val="14"/>
        <color rgb="FF000000"/>
        <rFont val="Resource Han Rounded CN Normal"/>
        <charset val="134"/>
      </rPr>
      <t>2</t>
    </r>
    <r>
      <rPr>
        <sz val="14"/>
        <color rgb="FF000000"/>
        <rFont val="宋体"/>
        <charset val="134"/>
      </rPr>
      <t>轮</t>
    </r>
    <r>
      <rPr>
        <sz val="14"/>
        <color rgb="FF000000"/>
        <rFont val="Resource Han Rounded CN Normal"/>
        <charset val="134"/>
      </rPr>
      <t xml:space="preserve">
</t>
    </r>
    <r>
      <rPr>
        <sz val="14"/>
        <color rgb="FF000000"/>
        <rFont val="宋体"/>
        <charset val="134"/>
      </rPr>
      <t>让一个生物或物体变得在观察者眼中完全不值得注意。施法者必须牺牲等同于目标生物</t>
    </r>
    <r>
      <rPr>
        <sz val="14"/>
        <color rgb="FF000000"/>
        <rFont val="Resource Han Rounded CN Normal"/>
        <charset val="134"/>
      </rPr>
      <t>SIZ</t>
    </r>
    <r>
      <rPr>
        <sz val="14"/>
        <color rgb="FF000000"/>
        <rFont val="宋体"/>
        <charset val="134"/>
      </rPr>
      <t>五分之一的魔法值，每维持效果一轮就要额外消耗</t>
    </r>
    <r>
      <rPr>
        <sz val="14"/>
        <color rgb="FF000000"/>
        <rFont val="Resource Han Rounded CN Normal"/>
        <charset val="134"/>
      </rPr>
      <t>1</t>
    </r>
    <r>
      <rPr>
        <sz val="14"/>
        <color rgb="FF000000"/>
        <rFont val="宋体"/>
        <charset val="134"/>
      </rPr>
      <t>点魔法值。对于无生命的物体，在施法中牺牲</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可以让它长期遮蔽。</t>
    </r>
    <r>
      <rPr>
        <sz val="14"/>
        <color rgb="FF000000"/>
        <rFont val="Resource Han Rounded CN Normal"/>
        <charset val="134"/>
      </rPr>
      <t xml:space="preserve">
</t>
    </r>
    <r>
      <rPr>
        <sz val="14"/>
        <color rgb="FF000000"/>
        <rFont val="宋体"/>
        <charset val="134"/>
      </rPr>
      <t>接近被遮蔽物体或生物的人会被欺骗，注意不到它</t>
    </r>
    <r>
      <rPr>
        <sz val="14"/>
        <color rgb="FF000000"/>
        <rFont val="Resource Han Rounded CN Normal"/>
        <charset val="134"/>
      </rPr>
      <t>——</t>
    </r>
    <r>
      <rPr>
        <sz val="14"/>
        <color rgb="FF000000"/>
        <rFont val="宋体"/>
        <charset val="134"/>
      </rPr>
      <t>它对他们基本是隐形的。不过，如果对物体进行频繁接触（比如挨着它站着），人们会感觉到（</t>
    </r>
    <r>
      <rPr>
        <sz val="14"/>
        <color rgb="FF000000"/>
        <rFont val="Resource Han Rounded CN Normal"/>
        <charset val="134"/>
      </rPr>
      <t>POW</t>
    </r>
    <r>
      <rPr>
        <sz val="14"/>
        <color rgb="FF000000"/>
        <rFont val="宋体"/>
        <charset val="134"/>
      </rPr>
      <t>检定）他们</t>
    </r>
    <r>
      <rPr>
        <sz val="14"/>
        <color rgb="FF000000"/>
        <rFont val="Resource Han Rounded CN Normal"/>
        <charset val="134"/>
      </rPr>
      <t>“</t>
    </r>
    <r>
      <rPr>
        <sz val="14"/>
        <color rgb="FF000000"/>
        <rFont val="宋体"/>
        <charset val="134"/>
      </rPr>
      <t>身边</t>
    </r>
    <r>
      <rPr>
        <sz val="14"/>
        <color rgb="FF000000"/>
        <rFont val="Resource Han Rounded CN Normal"/>
        <charset val="134"/>
      </rPr>
      <t>”</t>
    </r>
    <r>
      <rPr>
        <sz val="14"/>
        <color rgb="FF000000"/>
        <rFont val="宋体"/>
        <charset val="134"/>
      </rPr>
      <t>有什么东西异常、不对劲。</t>
    </r>
    <r>
      <rPr>
        <sz val="14"/>
        <color rgb="FF000000"/>
        <rFont val="Resource Han Rounded CN Normal"/>
        <charset val="134"/>
      </rPr>
      <t xml:space="preserve">
</t>
    </r>
    <r>
      <rPr>
        <sz val="14"/>
        <color rgb="FF000000"/>
        <rFont val="宋体"/>
        <charset val="134"/>
      </rPr>
      <t>深层魔法：如果本法术的人类目标长期生活在对外界的</t>
    </r>
    <r>
      <rPr>
        <sz val="14"/>
        <color rgb="FF000000"/>
        <rFont val="Resource Han Rounded CN Normal"/>
        <charset val="134"/>
      </rPr>
      <t>“</t>
    </r>
    <r>
      <rPr>
        <sz val="14"/>
        <color rgb="FF000000"/>
        <rFont val="宋体"/>
        <charset val="134"/>
      </rPr>
      <t>隐形</t>
    </r>
    <r>
      <rPr>
        <sz val="14"/>
        <color rgb="FF000000"/>
        <rFont val="Resource Han Rounded CN Normal"/>
        <charset val="134"/>
      </rPr>
      <t>”</t>
    </r>
    <r>
      <rPr>
        <sz val="14"/>
        <color rgb="FF000000"/>
        <rFont val="宋体"/>
        <charset val="134"/>
      </rPr>
      <t>之中，他可能会疯掉。每在本法术影响下度过一天，目标都要进行一次理智检定（损失</t>
    </r>
    <r>
      <rPr>
        <sz val="14"/>
        <color rgb="FF000000"/>
        <rFont val="Resource Han Rounded CN Normal"/>
        <charset val="134"/>
      </rPr>
      <t>0/1D4</t>
    </r>
    <r>
      <rPr>
        <sz val="14"/>
        <color rgb="FF000000"/>
        <rFont val="宋体"/>
        <charset val="134"/>
      </rPr>
      <t>点）</t>
    </r>
    <r>
      <rPr>
        <sz val="14"/>
        <color rgb="FF000000"/>
        <rFont val="Resource Han Rounded CN Normal"/>
        <charset val="134"/>
      </rPr>
      <t>——</t>
    </r>
    <r>
      <rPr>
        <sz val="14"/>
        <color rgb="FF000000"/>
        <rFont val="宋体"/>
        <charset val="134"/>
      </rPr>
      <t>一旦此检定失败，目标每天自动失去</t>
    </r>
    <r>
      <rPr>
        <sz val="14"/>
        <color rgb="FF000000"/>
        <rFont val="Resource Han Rounded CN Normal"/>
        <charset val="134"/>
      </rPr>
      <t>1</t>
    </r>
    <r>
      <rPr>
        <sz val="14"/>
        <color rgb="FF000000"/>
        <rFont val="宋体"/>
        <charset val="134"/>
      </rPr>
      <t>点理智值，直到法术终止或他永久疯狂为止。</t>
    </r>
    <r>
      <rPr>
        <sz val="14"/>
        <color rgb="FF000000"/>
        <rFont val="Resource Han Rounded CN Normal"/>
        <charset val="134"/>
      </rPr>
      <t xml:space="preserve">
</t>
    </r>
    <r>
      <rPr>
        <sz val="14"/>
        <color rgb="FF000000"/>
        <rFont val="宋体"/>
        <charset val="134"/>
      </rPr>
      <t>别名：掩藏术、伊波恩的黑暗面罩、众目睽睽下的隐藏</t>
    </r>
  </si>
  <si>
    <t>守卫术（守护石）〔保〕</t>
  </si>
  <si>
    <r>
      <rPr>
        <sz val="14"/>
        <color rgb="FF000000"/>
        <rFont val="宋体"/>
        <charset val="134"/>
      </rPr>
      <t>每块石头</t>
    </r>
    <r>
      <rPr>
        <sz val="14"/>
        <color rgb="FF000000"/>
        <rFont val="Resource Han Rounded CN Normal"/>
        <charset val="134"/>
      </rPr>
      <t>1</t>
    </r>
    <r>
      <rPr>
        <sz val="14"/>
        <color rgb="FF000000"/>
        <rFont val="宋体"/>
        <charset val="134"/>
      </rPr>
      <t>点魔法值</t>
    </r>
  </si>
  <si>
    <t>保险石、遗石以为障、保护圈</t>
  </si>
  <si>
    <t>BANEFUL DUST OF HERMES TRISMEGISTU</t>
  </si>
  <si>
    <r>
      <rPr>
        <sz val="14"/>
        <color rgb="FF000000"/>
        <rFont val="宋体"/>
        <charset val="134"/>
      </rPr>
      <t>赫耳墨斯</t>
    </r>
    <r>
      <rPr>
        <sz val="14"/>
        <color rgb="FF000000"/>
        <rFont val="Resource Han Rounded CN Normal"/>
        <charset val="134"/>
      </rPr>
      <t>·</t>
    </r>
    <r>
      <rPr>
        <sz val="14"/>
        <color rgb="FF000000"/>
        <rFont val="宋体"/>
        <charset val="134"/>
      </rPr>
      <t>特里斯墨吉斯忒斯的毒尘</t>
    </r>
  </si>
  <si>
    <r>
      <rPr>
        <sz val="14"/>
        <color rgb="FF000000"/>
        <rFont val="MS Gothic"/>
        <charset val="134"/>
      </rPr>
      <t>ヘルメス・トリスメギストスの</t>
    </r>
    <r>
      <rPr>
        <sz val="14"/>
        <color rgb="FF000000"/>
        <rFont val="宋体"/>
        <charset val="134"/>
      </rPr>
      <t>毒塵</t>
    </r>
  </si>
  <si>
    <r>
      <rPr>
        <sz val="14"/>
        <color rgb="FF000000"/>
        <rFont val="宋体"/>
        <charset val="134"/>
      </rPr>
      <t>赫耳墨斯</t>
    </r>
    <r>
      <rPr>
        <sz val="14"/>
        <color rgb="FF000000"/>
        <rFont val="Resource Han Rounded CN Normal"/>
        <charset val="134"/>
      </rPr>
      <t>·</t>
    </r>
    <r>
      <rPr>
        <sz val="14"/>
        <color rgb="FF000000"/>
        <rFont val="宋体"/>
        <charset val="134"/>
      </rPr>
      <t>特里斯墨吉斯忒斯的毒尘〔战〕</t>
    </r>
    <r>
      <rPr>
        <sz val="14"/>
        <color rgb="FF000000"/>
        <rFont val="Resource Han Rounded CN Normal"/>
        <charset val="134"/>
      </rPr>
      <t xml:space="preserve">
Baneful Dust of Hermes Trismegistus
</t>
    </r>
    <r>
      <rPr>
        <sz val="14"/>
        <color rgb="FF000000"/>
        <rFont val="宋体"/>
        <charset val="134"/>
      </rPr>
      <t>消耗：</t>
    </r>
    <r>
      <rPr>
        <sz val="14"/>
        <color rgb="FF000000"/>
        <rFont val="Resource Han Rounded CN Normal"/>
        <charset val="134"/>
      </rPr>
      <t>4</t>
    </r>
    <r>
      <rPr>
        <sz val="14"/>
        <color rgb="FF000000"/>
        <rFont val="宋体"/>
        <charset val="134"/>
      </rPr>
      <t>点魔法值施法用时：</t>
    </r>
    <r>
      <rPr>
        <sz val="14"/>
        <color rgb="FF000000"/>
        <rFont val="Resource Han Rounded CN Normal"/>
        <charset val="134"/>
      </rPr>
      <t>24</t>
    </r>
    <r>
      <rPr>
        <sz val="14"/>
        <color rgb="FF000000"/>
        <rFont val="宋体"/>
        <charset val="134"/>
      </rPr>
      <t>小时（使用需要</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本法术和</t>
    </r>
    <r>
      <rPr>
        <sz val="14"/>
        <color rgb="FF000000"/>
        <rFont val="Resource Han Rounded CN Normal"/>
        <charset val="134"/>
      </rPr>
      <t>“</t>
    </r>
    <r>
      <rPr>
        <sz val="14"/>
        <color rgb="FF000000"/>
        <rFont val="宋体"/>
        <charset val="134"/>
      </rPr>
      <t>苏莱曼之尘</t>
    </r>
    <r>
      <rPr>
        <sz val="14"/>
        <color rgb="FF000000"/>
        <rFont val="Resource Han Rounded CN Normal"/>
        <charset val="134"/>
      </rPr>
      <t>”(P102)</t>
    </r>
    <r>
      <rPr>
        <sz val="14"/>
        <color rgb="FF000000"/>
        <rFont val="宋体"/>
        <charset val="134"/>
      </rPr>
      <t>类似，仅作用于不源自地球的生物（不包括人类、深潜者、食尸鬼、潜沙怪、蛇人等等，但包括飞水螅、古老者、米</t>
    </r>
    <r>
      <rPr>
        <sz val="14"/>
        <color rgb="FF000000"/>
        <rFont val="Resource Han Rounded CN Normal"/>
        <charset val="134"/>
      </rPr>
      <t>-</t>
    </r>
    <r>
      <rPr>
        <sz val="14"/>
        <color rgb="FF000000"/>
        <rFont val="宋体"/>
        <charset val="134"/>
      </rPr>
      <t>戈、克苏鲁的星之眷属等等）。法术制造的金色粉尘任何人都可以使用。</t>
    </r>
    <r>
      <rPr>
        <sz val="14"/>
        <color rgb="FF000000"/>
        <rFont val="Resource Han Rounded CN Normal"/>
        <charset val="134"/>
      </rPr>
      <t xml:space="preserve">
</t>
    </r>
    <r>
      <rPr>
        <sz val="14"/>
        <color rgb="FF000000"/>
        <rFont val="宋体"/>
        <charset val="134"/>
      </rPr>
      <t>粉尘的效果极其恐怖，敏感的观察者看到效果时会损失</t>
    </r>
    <r>
      <rPr>
        <sz val="14"/>
        <color rgb="FF000000"/>
        <rFont val="Resource Han Rounded CN Normal"/>
        <charset val="134"/>
      </rPr>
      <t>0/1D3</t>
    </r>
    <r>
      <rPr>
        <sz val="14"/>
        <color rgb="FF000000"/>
        <rFont val="宋体"/>
        <charset val="134"/>
      </rPr>
      <t>点理智值。被撒到的怪物会退缩、舞动，有时还会尖叫。它的身体好像被强酸腐蚀一样，发出烟雾并烧灼。用过这种可怕的粉尘之后，只有最令人生畏的生物还能够继续战斗。</t>
    </r>
    <r>
      <rPr>
        <sz val="14"/>
        <color rgb="FF000000"/>
        <rFont val="Resource Han Rounded CN Normal"/>
        <charset val="134"/>
      </rPr>
      <t xml:space="preserve">
</t>
    </r>
    <r>
      <rPr>
        <sz val="14"/>
        <color rgb="FF000000"/>
        <rFont val="宋体"/>
        <charset val="134"/>
      </rPr>
      <t>要使用这种粉尘，目标必须在施法者投掷的范围之内。若「投掷」检定成功，本粉尘会灼烧该外星生物，造成</t>
    </r>
    <r>
      <rPr>
        <sz val="14"/>
        <color rgb="FF000000"/>
        <rFont val="Resource Han Rounded CN Normal"/>
        <charset val="134"/>
      </rPr>
      <t>2D6</t>
    </r>
    <r>
      <rPr>
        <sz val="14"/>
        <color rgb="FF000000"/>
        <rFont val="宋体"/>
        <charset val="134"/>
      </rPr>
      <t>点伤害。护甲对本粉尘无效。</t>
    </r>
    <r>
      <rPr>
        <sz val="14"/>
        <color rgb="FF000000"/>
        <rFont val="Resource Han Rounded CN Normal"/>
        <charset val="134"/>
      </rPr>
      <t xml:space="preserve">
</t>
    </r>
    <r>
      <rPr>
        <sz val="14"/>
        <color rgb="FF000000"/>
        <rFont val="宋体"/>
        <charset val="134"/>
      </rPr>
      <t>每次成功投掷本粉尘都会造成相同的伤害。如果投掷失败，粉尘的烟气仍能造成</t>
    </r>
    <r>
      <rPr>
        <sz val="14"/>
        <color rgb="FF000000"/>
        <rFont val="Resource Han Rounded CN Normal"/>
        <charset val="134"/>
      </rPr>
      <t>1</t>
    </r>
    <r>
      <rPr>
        <sz val="14"/>
        <color rgb="FF000000"/>
        <rFont val="宋体"/>
        <charset val="134"/>
      </rPr>
      <t>点耐久伤害。生物只有在「投掷」检定大失败时才能逃过伤害。</t>
    </r>
    <r>
      <rPr>
        <sz val="14"/>
        <color rgb="FF000000"/>
        <rFont val="Resource Han Rounded CN Normal"/>
        <charset val="134"/>
      </rPr>
      <t xml:space="preserve">
</t>
    </r>
    <r>
      <rPr>
        <sz val="14"/>
        <color rgb="FF000000"/>
        <rFont val="宋体"/>
        <charset val="134"/>
      </rPr>
      <t>粉尘的配方需要总重约两磅的罕见的化学药品和配料按比例混合。两盎司的混合物足够一剂使用。每次根据配方制作时，可以制成十六剂</t>
    </r>
    <r>
      <rPr>
        <sz val="14"/>
        <color rgb="FF000000"/>
        <rFont val="Resource Han Rounded CN Normal"/>
        <charset val="134"/>
      </rPr>
      <t>[5]</t>
    </r>
    <r>
      <rPr>
        <sz val="14"/>
        <color rgb="FF000000"/>
        <rFont val="宋体"/>
        <charset val="134"/>
      </rPr>
      <t>。酿造本粉尘是费时费力的工作，需要</t>
    </r>
    <r>
      <rPr>
        <sz val="14"/>
        <color rgb="FF000000"/>
        <rFont val="Resource Han Rounded CN Normal"/>
        <charset val="134"/>
      </rPr>
      <t>24</t>
    </r>
    <r>
      <rPr>
        <sz val="14"/>
        <color rgb="FF000000"/>
        <rFont val="宋体"/>
        <charset val="134"/>
      </rPr>
      <t>小时来准备并烘干混合物。投入</t>
    </r>
    <r>
      <rPr>
        <sz val="14"/>
        <color rgb="FF000000"/>
        <rFont val="Resource Han Rounded CN Normal"/>
        <charset val="134"/>
      </rPr>
      <t>4</t>
    </r>
    <r>
      <rPr>
        <sz val="14"/>
        <color rgb="FF000000"/>
        <rFont val="宋体"/>
        <charset val="134"/>
      </rPr>
      <t>点魔法值，并进行一次「科学（化学、药学）」或「医学」检定，本批粉尘才能生效；</t>
    </r>
    <r>
      <rPr>
        <sz val="14"/>
        <color rgb="FF000000"/>
        <rFont val="Resource Han Rounded CN Normal"/>
        <charset val="134"/>
      </rPr>
      <t>KP</t>
    </r>
    <r>
      <rPr>
        <sz val="14"/>
        <color rgb="FF000000"/>
        <rFont val="宋体"/>
        <charset val="134"/>
      </rPr>
      <t>需要暗骰此检定，因为施法者无从得知本批次粉尘是否有效。</t>
    </r>
    <r>
      <rPr>
        <sz val="14"/>
        <color rgb="FF000000"/>
        <rFont val="Resource Han Rounded CN Normal"/>
        <charset val="134"/>
      </rPr>
      <t xml:space="preserve">
</t>
    </r>
    <r>
      <rPr>
        <sz val="14"/>
        <color rgb="FF000000"/>
        <rFont val="宋体"/>
        <charset val="134"/>
      </rPr>
      <t>别名：末日之雨、七感的诅咒、地狱之子的毒药</t>
    </r>
  </si>
  <si>
    <t>复活术〔续、造〕</t>
  </si>
  <si>
    <r>
      <rPr>
        <sz val="14"/>
        <color rgb="FF000000"/>
        <rFont val="Resource Han Rounded CN Normal"/>
        <charset val="134"/>
      </rPr>
      <t>3</t>
    </r>
    <r>
      <rPr>
        <sz val="14"/>
        <color rgb="FF000000"/>
        <rFont val="宋体"/>
        <charset val="134"/>
      </rPr>
      <t>点魔法值；</t>
    </r>
    <r>
      <rPr>
        <sz val="14"/>
        <color rgb="FF000000"/>
        <rFont val="Resource Han Rounded CN Normal"/>
        <charset val="134"/>
      </rPr>
      <t>1D10</t>
    </r>
    <r>
      <rPr>
        <sz val="14"/>
        <color rgb="FF000000"/>
        <rFont val="宋体"/>
        <charset val="134"/>
      </rPr>
      <t>点理智值</t>
    </r>
  </si>
  <si>
    <r>
      <rPr>
        <sz val="14"/>
        <color rgb="FF000000"/>
        <rFont val="Resource Han Rounded CN Normal"/>
        <charset val="134"/>
      </rPr>
      <t>1</t>
    </r>
    <r>
      <rPr>
        <sz val="14"/>
        <color rgb="FF000000"/>
        <rFont val="宋体"/>
        <charset val="134"/>
      </rPr>
      <t>或</t>
    </r>
    <r>
      <rPr>
        <sz val="14"/>
        <color rgb="FF000000"/>
        <rFont val="Resource Han Rounded CN Normal"/>
        <charset val="134"/>
      </rPr>
      <t>2</t>
    </r>
    <r>
      <rPr>
        <sz val="14"/>
        <color rgb="FF000000"/>
        <rFont val="宋体"/>
        <charset val="134"/>
      </rPr>
      <t>轮</t>
    </r>
  </si>
  <si>
    <t>久佚知识之仪式、重现术、盐之仪式</t>
  </si>
  <si>
    <t>WAVE OF OBLIVION</t>
  </si>
  <si>
    <t>忘却之波</t>
  </si>
  <si>
    <r>
      <rPr>
        <sz val="14"/>
        <color rgb="FF000000"/>
        <rFont val="宋体"/>
        <charset val="134"/>
      </rPr>
      <t>忘却</t>
    </r>
    <r>
      <rPr>
        <sz val="14"/>
        <color rgb="FF000000"/>
        <rFont val="MS Gothic"/>
        <charset val="134"/>
      </rPr>
      <t>の</t>
    </r>
    <r>
      <rPr>
        <sz val="14"/>
        <color rgb="FF000000"/>
        <rFont val="宋体"/>
        <charset val="134"/>
      </rPr>
      <t>波</t>
    </r>
  </si>
  <si>
    <r>
      <rPr>
        <sz val="14"/>
        <color rgb="FF000000"/>
        <rFont val="宋体"/>
        <charset val="134"/>
      </rPr>
      <t>忘却之波〔环〕</t>
    </r>
    <r>
      <rPr>
        <sz val="14"/>
        <color rgb="FF000000"/>
        <rFont val="Resource Han Rounded CN Normal"/>
        <charset val="134"/>
      </rPr>
      <t xml:space="preserve">
Wave of Oblivion
</t>
    </r>
    <r>
      <rPr>
        <sz val="14"/>
        <color rgb="FF000000"/>
        <rFont val="宋体"/>
        <charset val="134"/>
      </rPr>
      <t>消耗：</t>
    </r>
    <r>
      <rPr>
        <sz val="14"/>
        <color rgb="FF000000"/>
        <rFont val="Resource Han Rounded CN Normal"/>
        <charset val="134"/>
      </rPr>
      <t>30</t>
    </r>
    <r>
      <rPr>
        <sz val="14"/>
        <color rgb="FF000000"/>
        <rFont val="宋体"/>
        <charset val="134"/>
      </rPr>
      <t>点魔法值；</t>
    </r>
    <r>
      <rPr>
        <sz val="14"/>
        <color rgb="FF000000"/>
        <rFont val="Resource Han Rounded CN Normal"/>
        <charset val="134"/>
      </rPr>
      <t>1D8</t>
    </r>
    <r>
      <rPr>
        <sz val="14"/>
        <color rgb="FF000000"/>
        <rFont val="宋体"/>
        <charset val="134"/>
      </rPr>
      <t>点理智值施法用时：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一种强大的法术，可以让一股汹涌的海浪往施法者的方向撞击过去。目标须在施法者的视野范围内，且有足量的咸水来制造海浪。施法者要站在水中施法。</t>
    </r>
    <r>
      <rPr>
        <sz val="14"/>
        <color rgb="FF000000"/>
        <rFont val="Resource Han Rounded CN Normal"/>
        <charset val="134"/>
      </rPr>
      <t xml:space="preserve">
</t>
    </r>
    <r>
      <rPr>
        <sz val="14"/>
        <color rgb="FF000000"/>
        <rFont val="宋体"/>
        <charset val="134"/>
      </rPr>
      <t>海浪的体量有</t>
    </r>
    <r>
      <rPr>
        <sz val="14"/>
        <color rgb="FF000000"/>
        <rFont val="Resource Han Rounded CN Normal"/>
        <charset val="134"/>
      </rPr>
      <t>3000</t>
    </r>
    <r>
      <rPr>
        <sz val="14"/>
        <color rgb="FF000000"/>
        <rFont val="宋体"/>
        <charset val="134"/>
      </rPr>
      <t>立方英尺（约</t>
    </r>
    <r>
      <rPr>
        <sz val="14"/>
        <color rgb="FF000000"/>
        <rFont val="Resource Han Rounded CN Normal"/>
        <charset val="134"/>
      </rPr>
      <t>85</t>
    </r>
    <r>
      <rPr>
        <sz val="14"/>
        <color rgb="FF000000"/>
        <rFont val="宋体"/>
        <charset val="134"/>
      </rPr>
      <t>立方米），足够淹没打翻一艘小帆船。不消说，被这等海浪吞噬的人将永远消失在水底。</t>
    </r>
    <r>
      <rPr>
        <sz val="14"/>
        <color rgb="FF000000"/>
        <rFont val="Resource Han Rounded CN Normal"/>
        <charset val="134"/>
      </rPr>
      <t xml:space="preserve">
</t>
    </r>
    <r>
      <rPr>
        <sz val="14"/>
        <color rgb="FF000000"/>
        <rFont val="宋体"/>
        <charset val="134"/>
      </rPr>
      <t>其他人可以为法术贡献魔法值，创造更大的波浪，足够打沉远洋轮船、战舰甚至曼哈顿岛。知道本法术的人可以贡献任意数量的魔法值，必须消耗</t>
    </r>
    <r>
      <rPr>
        <sz val="14"/>
        <color rgb="FF000000"/>
        <rFont val="Resource Han Rounded CN Normal"/>
        <charset val="134"/>
      </rPr>
      <t>1D8</t>
    </r>
    <r>
      <rPr>
        <sz val="14"/>
        <color rgb="FF000000"/>
        <rFont val="宋体"/>
        <charset val="134"/>
      </rPr>
      <t>点理智值。不知道本法术的每人可以贡献</t>
    </r>
    <r>
      <rPr>
        <sz val="14"/>
        <color rgb="FF000000"/>
        <rFont val="Resource Han Rounded CN Normal"/>
        <charset val="134"/>
      </rPr>
      <t>1</t>
    </r>
    <r>
      <rPr>
        <sz val="14"/>
        <color rgb="FF000000"/>
        <rFont val="宋体"/>
        <charset val="134"/>
      </rPr>
      <t>点魔法值。最低限度是</t>
    </r>
    <r>
      <rPr>
        <sz val="14"/>
        <color rgb="FF000000"/>
        <rFont val="Resource Han Rounded CN Normal"/>
        <charset val="134"/>
      </rPr>
      <t>30</t>
    </r>
    <r>
      <rPr>
        <sz val="14"/>
        <color rgb="FF000000"/>
        <rFont val="宋体"/>
        <charset val="134"/>
      </rPr>
      <t>点魔法值，产生的波浪是</t>
    </r>
    <r>
      <rPr>
        <sz val="14"/>
        <color rgb="FF000000"/>
        <rFont val="Resource Han Rounded CN Normal"/>
        <charset val="134"/>
      </rPr>
      <t>10</t>
    </r>
    <r>
      <rPr>
        <sz val="14"/>
        <color rgb="FF000000"/>
        <rFont val="宋体"/>
        <charset val="134"/>
      </rPr>
      <t>尺长、</t>
    </r>
    <r>
      <rPr>
        <sz val="14"/>
        <color rgb="FF000000"/>
        <rFont val="Resource Han Rounded CN Normal"/>
        <charset val="134"/>
      </rPr>
      <t>10</t>
    </r>
    <r>
      <rPr>
        <sz val="14"/>
        <color rgb="FF000000"/>
        <rFont val="宋体"/>
        <charset val="134"/>
      </rPr>
      <t>尺宽，</t>
    </r>
    <r>
      <rPr>
        <sz val="14"/>
        <color rgb="FF000000"/>
        <rFont val="Resource Han Rounded CN Normal"/>
        <charset val="134"/>
      </rPr>
      <t>30</t>
    </r>
    <r>
      <rPr>
        <sz val="14"/>
        <color rgb="FF000000"/>
        <rFont val="宋体"/>
        <charset val="134"/>
      </rPr>
      <t>尺（</t>
    </r>
    <r>
      <rPr>
        <sz val="14"/>
        <color rgb="FF000000"/>
        <rFont val="Resource Han Rounded CN Normal"/>
        <charset val="134"/>
      </rPr>
      <t>9</t>
    </r>
    <r>
      <rPr>
        <sz val="14"/>
        <color rgb="FF000000"/>
        <rFont val="宋体"/>
        <charset val="134"/>
      </rPr>
      <t>米）高。每增加</t>
    </r>
    <r>
      <rPr>
        <sz val="14"/>
        <color rgb="FF000000"/>
        <rFont val="Resource Han Rounded CN Normal"/>
        <charset val="134"/>
      </rPr>
      <t>1</t>
    </r>
    <r>
      <rPr>
        <sz val="14"/>
        <color rgb="FF000000"/>
        <rFont val="宋体"/>
        <charset val="134"/>
      </rPr>
      <t>点魔法值，波浪的长宽增加一尺。</t>
    </r>
    <r>
      <rPr>
        <sz val="14"/>
        <color rgb="FF000000"/>
        <rFont val="Resource Han Rounded CN Normal"/>
        <charset val="134"/>
      </rPr>
      <t xml:space="preserve">
</t>
    </r>
    <r>
      <rPr>
        <sz val="14"/>
        <color rgb="FF000000"/>
        <rFont val="宋体"/>
        <charset val="134"/>
      </rPr>
      <t>别名：海拳之歌、盐的馈赠、汝之潮湿劫数</t>
    </r>
  </si>
  <si>
    <t>蒲林的埃及十字架〔驱〕</t>
  </si>
  <si>
    <r>
      <rPr>
        <sz val="14"/>
        <color rgb="FF000000"/>
        <rFont val="Resource Han Rounded CN Normal"/>
        <charset val="134"/>
      </rPr>
      <t>25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1D6</t>
    </r>
    <r>
      <rPr>
        <sz val="14"/>
        <color rgb="FF000000"/>
        <rFont val="宋体"/>
        <charset val="134"/>
      </rPr>
      <t>点理智值</t>
    </r>
  </si>
  <si>
    <t>可变的日数</t>
  </si>
  <si>
    <t>放逐之印、逐出的记号</t>
  </si>
  <si>
    <t>COMMAND GHOST</t>
  </si>
  <si>
    <t>鬼魂号令法</t>
  </si>
  <si>
    <r>
      <rPr>
        <sz val="14"/>
        <color rgb="FF000000"/>
        <rFont val="宋体"/>
        <charset val="134"/>
      </rPr>
      <t>亡霊</t>
    </r>
    <r>
      <rPr>
        <sz val="14"/>
        <color rgb="FF000000"/>
        <rFont val="MS Gothic"/>
        <charset val="134"/>
      </rPr>
      <t>に</t>
    </r>
    <r>
      <rPr>
        <sz val="14"/>
        <color rgb="FF000000"/>
        <rFont val="宋体"/>
        <charset val="134"/>
      </rPr>
      <t>命令</t>
    </r>
    <r>
      <rPr>
        <sz val="14"/>
        <color rgb="FF000000"/>
        <rFont val="MS Gothic"/>
        <charset val="134"/>
      </rPr>
      <t>する</t>
    </r>
  </si>
  <si>
    <r>
      <rPr>
        <sz val="14"/>
        <color rgb="FF000000"/>
        <rFont val="宋体"/>
        <charset val="134"/>
      </rPr>
      <t>鬼魂号令法（民俗）〔民〕</t>
    </r>
    <r>
      <rPr>
        <sz val="14"/>
        <color rgb="FF000000"/>
        <rFont val="Resource Han Rounded CN Normal"/>
        <charset val="134"/>
      </rPr>
      <t xml:space="preserve">
Command Ghost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1D3</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10</t>
    </r>
    <r>
      <rPr>
        <sz val="14"/>
        <color rgb="FF000000"/>
        <rFont val="宋体"/>
        <charset val="134"/>
      </rPr>
      <t>分钟</t>
    </r>
    <r>
      <rPr>
        <sz val="14"/>
        <color rgb="FF000000"/>
        <rFont val="Resource Han Rounded CN Normal"/>
        <charset val="134"/>
      </rPr>
      <t xml:space="preserve">
</t>
    </r>
    <r>
      <rPr>
        <sz val="14"/>
        <color rgb="FF000000"/>
        <rFont val="宋体"/>
        <charset val="134"/>
      </rPr>
      <t>驱使一只鬼魂前来回答特定问题。本法术必须在夜间施放。施法者要在想接触的人的墓或骨灰上面泼洒一只哺乳动物的血液。灵魂可能抗拒重新返回世间，所以施法者须和目标进行一次</t>
    </r>
    <r>
      <rPr>
        <sz val="14"/>
        <color rgb="FF000000"/>
        <rFont val="Resource Han Rounded CN Normal"/>
        <charset val="134"/>
      </rPr>
      <t>POW</t>
    </r>
    <r>
      <rPr>
        <sz val="14"/>
        <color rgb="FF000000"/>
        <rFont val="宋体"/>
        <charset val="134"/>
      </rPr>
      <t>对抗检定并胜出，法术才能生效，迫使它出现。鬼魂以它死亡时的样貌出现，目击鬼魂造成的理智检定各不相同。</t>
    </r>
    <r>
      <rPr>
        <sz val="14"/>
        <color rgb="FF000000"/>
        <rFont val="Resource Han Rounded CN Normal"/>
        <charset val="134"/>
      </rPr>
      <t xml:space="preserve">
</t>
    </r>
    <r>
      <rPr>
        <sz val="14"/>
        <color rgb="FF000000"/>
        <rFont val="宋体"/>
        <charset val="134"/>
      </rPr>
      <t>被此法术召唤的鬼魂会回答与自己生前发生的事件相关的问题。每次问答消耗施法者一点魔法值（根据</t>
    </r>
    <r>
      <rPr>
        <sz val="14"/>
        <color rgb="FF000000"/>
        <rFont val="Resource Han Rounded CN Normal"/>
        <charset val="134"/>
      </rPr>
      <t>KP</t>
    </r>
    <r>
      <rPr>
        <sz val="14"/>
        <color rgb="FF000000"/>
        <rFont val="宋体"/>
        <charset val="134"/>
      </rPr>
      <t>裁定，如果问题会对鬼魂造成困扰，还需要一次</t>
    </r>
    <r>
      <rPr>
        <sz val="14"/>
        <color rgb="FF000000"/>
        <rFont val="Resource Han Rounded CN Normal"/>
        <charset val="134"/>
      </rPr>
      <t>POW</t>
    </r>
    <r>
      <rPr>
        <sz val="14"/>
        <color rgb="FF000000"/>
        <rFont val="宋体"/>
        <charset val="134"/>
      </rPr>
      <t>对抗检定）。若施法者在</t>
    </r>
    <r>
      <rPr>
        <sz val="14"/>
        <color rgb="FF000000"/>
        <rFont val="Resource Han Rounded CN Normal"/>
        <charset val="134"/>
      </rPr>
      <t>POW</t>
    </r>
    <r>
      <rPr>
        <sz val="14"/>
        <color rgb="FF000000"/>
        <rFont val="宋体"/>
        <charset val="134"/>
      </rPr>
      <t>检定失败，鬼魂会离去。</t>
    </r>
    <r>
      <rPr>
        <sz val="14"/>
        <color rgb="FF000000"/>
        <rFont val="Resource Han Rounded CN Normal"/>
        <charset val="134"/>
      </rPr>
      <t xml:space="preserve">
</t>
    </r>
    <r>
      <rPr>
        <sz val="14"/>
        <color rgb="FF000000"/>
        <rFont val="宋体"/>
        <charset val="134"/>
      </rPr>
      <t>别名：灵魂屈服术、灰烬的低语、死者之舌</t>
    </r>
  </si>
  <si>
    <t>旧印开光术〔保〕</t>
  </si>
  <si>
    <r>
      <rPr>
        <sz val="14"/>
        <color rgb="FF000000"/>
        <rFont val="Resource Han Rounded CN Normal"/>
        <charset val="134"/>
      </rPr>
      <t>10</t>
    </r>
    <r>
      <rPr>
        <sz val="14"/>
        <color rgb="FF000000"/>
        <rFont val="宋体"/>
        <charset val="134"/>
      </rPr>
      <t>点</t>
    </r>
    <r>
      <rPr>
        <sz val="14"/>
        <color rgb="FF000000"/>
        <rFont val="Resource Han Rounded CN Normal"/>
        <charset val="134"/>
      </rPr>
      <t>POW</t>
    </r>
  </si>
  <si>
    <t>远古之印、凶兆枝杈、智慧的五角星</t>
  </si>
  <si>
    <t>AUGUR</t>
  </si>
  <si>
    <t>占卜法</t>
  </si>
  <si>
    <t>卜占</t>
  </si>
  <si>
    <r>
      <rPr>
        <sz val="14"/>
        <color rgb="FF000000"/>
        <rFont val="宋体"/>
        <charset val="134"/>
      </rPr>
      <t>占卜法（民俗）〔民〕</t>
    </r>
    <r>
      <rPr>
        <sz val="14"/>
        <color rgb="FF000000"/>
        <rFont val="Resource Han Rounded CN Normal"/>
        <charset val="134"/>
      </rPr>
      <t xml:space="preserve">
Augury
</t>
    </r>
    <r>
      <rPr>
        <sz val="14"/>
        <color rgb="FF000000"/>
        <rFont val="宋体"/>
        <charset val="134"/>
      </rPr>
      <t>消耗：</t>
    </r>
    <r>
      <rPr>
        <sz val="14"/>
        <color rgb="FF000000"/>
        <rFont val="Resource Han Rounded CN Normal"/>
        <charset val="134"/>
      </rPr>
      <t>4</t>
    </r>
    <r>
      <rPr>
        <sz val="14"/>
        <color rgb="FF000000"/>
        <rFont val="宋体"/>
        <charset val="134"/>
      </rPr>
      <t>点魔法值；</t>
    </r>
    <r>
      <rPr>
        <sz val="14"/>
        <color rgb="FF000000"/>
        <rFont val="Resource Han Rounded CN Normal"/>
        <charset val="134"/>
      </rPr>
      <t>1D2</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分钟</t>
    </r>
    <r>
      <rPr>
        <sz val="14"/>
        <color rgb="FF000000"/>
        <rFont val="Resource Han Rounded CN Normal"/>
        <charset val="134"/>
      </rPr>
      <t xml:space="preserve">
</t>
    </r>
    <r>
      <rPr>
        <sz val="14"/>
        <color rgb="FF000000"/>
        <rFont val="宋体"/>
        <charset val="134"/>
      </rPr>
      <t>法术揭示未来的预兆</t>
    </r>
    <r>
      <rPr>
        <sz val="14"/>
        <color rgb="FF000000"/>
        <rFont val="Resource Han Rounded CN Normal"/>
        <charset val="134"/>
      </rPr>
      <t>——</t>
    </r>
    <r>
      <rPr>
        <sz val="14"/>
        <color rgb="FF000000"/>
        <rFont val="宋体"/>
        <charset val="134"/>
      </rPr>
      <t>要施法者有足够悟性才能理解。占卜的工具有很多种，比如占卜镜、塔罗牌、动物内脏、茶叶、符文，或者飞鸟的排列次序，任何一种都可以。是否理解占卜的预兆，需要一次检定，结果在占卜者的</t>
    </r>
    <r>
      <rPr>
        <sz val="14"/>
        <color rgb="FF000000"/>
        <rFont val="Resource Han Rounded CN Normal"/>
        <charset val="134"/>
      </rPr>
      <t>POW</t>
    </r>
    <r>
      <rPr>
        <sz val="14"/>
        <color rgb="FF000000"/>
        <rFont val="宋体"/>
        <charset val="134"/>
      </rPr>
      <t>以下方为成功。这预兆可能是模糊的、微妙的、梦幻的或隐晦的诗句</t>
    </r>
    <r>
      <rPr>
        <sz val="14"/>
        <color rgb="FF000000"/>
        <rFont val="Resource Han Rounded CN Normal"/>
        <charset val="134"/>
      </rPr>
      <t>——</t>
    </r>
    <r>
      <rPr>
        <sz val="14"/>
        <color rgb="FF000000"/>
        <rFont val="宋体"/>
        <charset val="134"/>
      </rPr>
      <t>未来不是印在书上的白纸黑字，而是印在施法者头脑当中的信息或印象。使用该魔法成功后</t>
    </r>
    <r>
      <rPr>
        <sz val="14"/>
        <color rgb="FF000000"/>
        <rFont val="Resource Han Rounded CN Normal"/>
        <charset val="134"/>
      </rPr>
      <t>,</t>
    </r>
    <r>
      <rPr>
        <sz val="14"/>
        <color rgb="FF000000"/>
        <rFont val="宋体"/>
        <charset val="134"/>
      </rPr>
      <t>调查员至少能获得一项有效信息。</t>
    </r>
    <r>
      <rPr>
        <sz val="14"/>
        <color rgb="FF000000"/>
        <rFont val="Resource Han Rounded CN Normal"/>
        <charset val="134"/>
      </rPr>
      <t xml:space="preserve">
</t>
    </r>
    <r>
      <rPr>
        <sz val="14"/>
        <color rgb="FF000000"/>
        <rFont val="宋体"/>
        <charset val="134"/>
      </rPr>
      <t>备注</t>
    </r>
    <r>
      <rPr>
        <sz val="14"/>
        <color rgb="FF000000"/>
        <rFont val="Resource Han Rounded CN Normal"/>
        <charset val="134"/>
      </rPr>
      <t>:KP</t>
    </r>
    <r>
      <rPr>
        <sz val="14"/>
        <color rgb="FF000000"/>
        <rFont val="宋体"/>
        <charset val="134"/>
      </rPr>
      <t>需要仔细准备预兆。泄露太多会让玩家失去自由意志的感觉</t>
    </r>
    <r>
      <rPr>
        <sz val="14"/>
        <color rgb="FF000000"/>
        <rFont val="Resource Han Rounded CN Normal"/>
        <charset val="134"/>
      </rPr>
      <t>,</t>
    </r>
    <r>
      <rPr>
        <sz val="14"/>
        <color rgb="FF000000"/>
        <rFont val="宋体"/>
        <charset val="134"/>
      </rPr>
      <t>也会束缚</t>
    </r>
    <r>
      <rPr>
        <sz val="14"/>
        <color rgb="FF000000"/>
        <rFont val="Resource Han Rounded CN Normal"/>
        <charset val="134"/>
      </rPr>
      <t>KP</t>
    </r>
    <r>
      <rPr>
        <sz val="14"/>
        <color rgb="FF000000"/>
        <rFont val="宋体"/>
        <charset val="134"/>
      </rPr>
      <t>行动的自由。泄露太少则没有意义，令人沮丧。仔细衡量过的预兆，可以在</t>
    </r>
    <r>
      <rPr>
        <sz val="14"/>
        <color rgb="FF000000"/>
        <rFont val="Resource Han Rounded CN Normal"/>
        <charset val="134"/>
      </rPr>
      <t>KP</t>
    </r>
    <r>
      <rPr>
        <sz val="14"/>
        <color rgb="FF000000"/>
        <rFont val="宋体"/>
        <charset val="134"/>
      </rPr>
      <t>展现似乎和预兆有关的后续事件时有意义地增加紧张感和战栗感。</t>
    </r>
    <r>
      <rPr>
        <sz val="14"/>
        <color rgb="FF000000"/>
        <rFont val="Resource Han Rounded CN Normal"/>
        <charset val="134"/>
      </rPr>
      <t xml:space="preserve">
</t>
    </r>
    <r>
      <rPr>
        <sz val="14"/>
        <color rgb="FF000000"/>
        <rFont val="宋体"/>
        <charset val="134"/>
      </rPr>
      <t>别名：卜卦法、预兆法、卢恩占卜、命运之眼</t>
    </r>
  </si>
  <si>
    <t>平凡无奇术〔变〕</t>
  </si>
  <si>
    <t>掩藏术、伊波恩的黑暗面罩、众目睽睽下的隐藏</t>
  </si>
  <si>
    <t>CLOAK OF FIRE</t>
  </si>
  <si>
    <t>火焰斗篷术</t>
  </si>
  <si>
    <r>
      <rPr>
        <sz val="14"/>
        <color rgb="FF000000"/>
        <rFont val="宋体"/>
        <charset val="134"/>
      </rPr>
      <t>炎</t>
    </r>
    <r>
      <rPr>
        <sz val="14"/>
        <color rgb="FF000000"/>
        <rFont val="MS Gothic"/>
        <charset val="134"/>
      </rPr>
      <t>の</t>
    </r>
    <r>
      <rPr>
        <sz val="14"/>
        <color rgb="FF000000"/>
        <rFont val="宋体"/>
        <charset val="134"/>
      </rPr>
      <t>外套</t>
    </r>
  </si>
  <si>
    <r>
      <rPr>
        <sz val="14"/>
        <color rgb="FF000000"/>
        <rFont val="宋体"/>
        <charset val="134"/>
      </rPr>
      <t>火焰斗篷术〔战〕</t>
    </r>
    <r>
      <rPr>
        <sz val="14"/>
        <color rgb="FF000000"/>
        <rFont val="Resource Han Rounded CN Normal"/>
        <charset val="134"/>
      </rPr>
      <t xml:space="preserve">
Cloak of Fire
</t>
    </r>
    <r>
      <rPr>
        <sz val="14"/>
        <color rgb="FF000000"/>
        <rFont val="宋体"/>
        <charset val="134"/>
      </rPr>
      <t>消耗：</t>
    </r>
    <r>
      <rPr>
        <sz val="14"/>
        <color rgb="FF000000"/>
        <rFont val="Resource Han Rounded CN Normal"/>
        <charset val="134"/>
      </rPr>
      <t>12</t>
    </r>
    <r>
      <rPr>
        <sz val="14"/>
        <color rgb="FF000000"/>
        <rFont val="宋体"/>
        <charset val="134"/>
      </rPr>
      <t>点魔法值；</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本法术会增加施法者的移动速度、增强战斗防御，不过会对他造成非常大的痛苦。只有施法者会从本法术中受益。施法需要一轮，效果持续</t>
    </r>
    <r>
      <rPr>
        <sz val="14"/>
        <color rgb="FF000000"/>
        <rFont val="Resource Han Rounded CN Normal"/>
        <charset val="134"/>
      </rPr>
      <t>4D4</t>
    </r>
    <r>
      <rPr>
        <sz val="14"/>
        <color rgb="FF000000"/>
        <rFont val="宋体"/>
        <charset val="134"/>
      </rPr>
      <t>轮。目睹生效中的斗篷需要损失</t>
    </r>
    <r>
      <rPr>
        <sz val="14"/>
        <color rgb="FF000000"/>
        <rFont val="Resource Han Rounded CN Normal"/>
        <charset val="134"/>
      </rPr>
      <t>1/1D3</t>
    </r>
    <r>
      <rPr>
        <sz val="14"/>
        <color rgb="FF000000"/>
        <rFont val="宋体"/>
        <charset val="134"/>
      </rPr>
      <t>点理智值。</t>
    </r>
    <r>
      <rPr>
        <sz val="14"/>
        <color rgb="FF000000"/>
        <rFont val="Resource Han Rounded CN Normal"/>
        <charset val="134"/>
      </rPr>
      <t xml:space="preserve">
</t>
    </r>
    <r>
      <rPr>
        <sz val="14"/>
        <color rgb="FF000000"/>
        <rFont val="宋体"/>
        <charset val="134"/>
      </rPr>
      <t>本法术用穿梭闪烁的光点环绕施法者，每颗光点都拖着明亮的尾巴，摇曳着白热的光。施法者被斗篷包裹起来，升到离地面几英寸的位置。但是，身体动作完全不受影响。斗篷的灵气令人极其痛苦，施法者要损失</t>
    </r>
    <r>
      <rPr>
        <sz val="14"/>
        <color rgb="FF000000"/>
        <rFont val="Resource Han Rounded CN Normal"/>
        <charset val="134"/>
      </rPr>
      <t>1D6</t>
    </r>
    <r>
      <rPr>
        <sz val="14"/>
        <color rgb="FF000000"/>
        <rFont val="宋体"/>
        <charset val="134"/>
      </rPr>
      <t>点理智值。</t>
    </r>
    <r>
      <rPr>
        <sz val="14"/>
        <color rgb="FF000000"/>
        <rFont val="Resource Han Rounded CN Normal"/>
        <charset val="134"/>
      </rPr>
      <t xml:space="preserve">
</t>
    </r>
    <r>
      <rPr>
        <sz val="14"/>
        <color rgb="FF000000"/>
        <rFont val="宋体"/>
        <charset val="134"/>
      </rPr>
      <t>在法术生效期间，施法者的</t>
    </r>
    <r>
      <rPr>
        <sz val="14"/>
        <color rgb="FF000000"/>
        <rFont val="Resource Han Rounded CN Normal"/>
        <charset val="134"/>
      </rPr>
      <t>MOV</t>
    </r>
    <r>
      <rPr>
        <sz val="14"/>
        <color rgb="FF000000"/>
        <rFont val="宋体"/>
        <charset val="134"/>
      </rPr>
      <t>加倍，并在所有</t>
    </r>
    <r>
      <rPr>
        <sz val="14"/>
        <color rgb="FF000000"/>
        <rFont val="Resource Han Rounded CN Normal"/>
        <charset val="134"/>
      </rPr>
      <t>DEX</t>
    </r>
    <r>
      <rPr>
        <sz val="14"/>
        <color rgb="FF000000"/>
        <rFont val="宋体"/>
        <charset val="134"/>
      </rPr>
      <t>检定中获得一颗奖励骰（同样影响「闪避」检定）。所有对施法者的攻击均获得一颗惩罚骰。任何试图用徒手（拳脚）攻击施法者的人，每次攻击时受到</t>
    </r>
    <r>
      <rPr>
        <sz val="14"/>
        <color rgb="FF000000"/>
        <rFont val="Resource Han Rounded CN Normal"/>
        <charset val="134"/>
      </rPr>
      <t>1D6</t>
    </r>
    <r>
      <rPr>
        <sz val="14"/>
        <color rgb="FF000000"/>
        <rFont val="宋体"/>
        <charset val="134"/>
      </rPr>
      <t>点伤害。</t>
    </r>
    <r>
      <rPr>
        <sz val="14"/>
        <color rgb="FF000000"/>
        <rFont val="Resource Han Rounded CN Normal"/>
        <charset val="134"/>
      </rPr>
      <t xml:space="preserve">
</t>
    </r>
    <r>
      <rPr>
        <sz val="14"/>
        <color rgb="FF000000"/>
        <rFont val="宋体"/>
        <charset val="134"/>
      </rPr>
      <t>如果施法者接触到某人，将此行动视为一次近战攻击，施法者使用自己的「格斗（斗殴）」技能，造成</t>
    </r>
    <r>
      <rPr>
        <sz val="14"/>
        <color rgb="FF000000"/>
        <rFont val="Resource Han Rounded CN Normal"/>
        <charset val="134"/>
      </rPr>
      <t>1D6</t>
    </r>
    <r>
      <rPr>
        <sz val="14"/>
        <color rgb="FF000000"/>
        <rFont val="宋体"/>
        <charset val="134"/>
      </rPr>
      <t>点伤害（加上一次幸运检定，确定目标有没有燃烧）；此行动每发生一次，施法者也要同时受到骰出伤害的一半（向下取整），因为他的皮肤会被斗篷的魔法表面烧蚀掉。施法者若因本法术损失过多耐久值，有可能死亡。</t>
    </r>
    <r>
      <rPr>
        <sz val="14"/>
        <color rgb="FF000000"/>
        <rFont val="Resource Han Rounded CN Normal"/>
        <charset val="134"/>
      </rPr>
      <t xml:space="preserve">
</t>
    </r>
    <r>
      <rPr>
        <sz val="14"/>
        <color rgb="FF000000"/>
        <rFont val="宋体"/>
        <charset val="134"/>
      </rPr>
      <t>深层魔法：施法者可以额外消耗</t>
    </r>
    <r>
      <rPr>
        <sz val="14"/>
        <color rgb="FF000000"/>
        <rFont val="Resource Han Rounded CN Normal"/>
        <charset val="134"/>
      </rPr>
      <t>6</t>
    </r>
    <r>
      <rPr>
        <sz val="14"/>
        <color rgb="FF000000"/>
        <rFont val="宋体"/>
        <charset val="134"/>
      </rPr>
      <t>点魔法值释放一只火焰触手伸向指定的目标。这是一次近战攻击，有一颗奖励骰。目标可以闪避或反击。这次燃烧的攻击造成</t>
    </r>
    <r>
      <rPr>
        <sz val="14"/>
        <color rgb="FF000000"/>
        <rFont val="Resource Han Rounded CN Normal"/>
        <charset val="134"/>
      </rPr>
      <t>1D8</t>
    </r>
    <r>
      <rPr>
        <sz val="14"/>
        <color rgb="FF000000"/>
        <rFont val="宋体"/>
        <charset val="134"/>
      </rPr>
      <t>点伤害（加上幸运检定避免燃烧），以恐怖的方式熔化皮肉。</t>
    </r>
    <r>
      <rPr>
        <sz val="14"/>
        <color rgb="FF000000"/>
        <rFont val="Resource Han Rounded CN Normal"/>
        <charset val="134"/>
      </rPr>
      <t xml:space="preserve">
</t>
    </r>
    <r>
      <rPr>
        <sz val="14"/>
        <color rgb="FF000000"/>
        <rFont val="宋体"/>
        <charset val="134"/>
      </rPr>
      <t>别名：克图格亚的拥抱、烈火死亡之舞、燃烧的时间</t>
    </r>
  </si>
  <si>
    <r>
      <rPr>
        <sz val="14"/>
        <color rgb="FF000000"/>
        <rFont val="宋体"/>
        <charset val="134"/>
      </rPr>
      <t>赫耳墨斯</t>
    </r>
    <r>
      <rPr>
        <sz val="14"/>
        <color rgb="FF000000"/>
        <rFont val="Resource Han Rounded CN Normal"/>
        <charset val="134"/>
      </rPr>
      <t>·</t>
    </r>
    <r>
      <rPr>
        <sz val="14"/>
        <color rgb="FF000000"/>
        <rFont val="宋体"/>
        <charset val="134"/>
      </rPr>
      <t>特里斯墨吉斯忒斯的毒尘〔战〕</t>
    </r>
  </si>
  <si>
    <r>
      <rPr>
        <sz val="14"/>
        <color rgb="FF000000"/>
        <rFont val="Resource Han Rounded CN Normal"/>
        <charset val="134"/>
      </rPr>
      <t>24</t>
    </r>
    <r>
      <rPr>
        <sz val="14"/>
        <color rgb="FF000000"/>
        <rFont val="宋体"/>
        <charset val="134"/>
      </rPr>
      <t>小时（使用需要</t>
    </r>
    <r>
      <rPr>
        <sz val="14"/>
        <color rgb="FF000000"/>
        <rFont val="Resource Han Rounded CN Normal"/>
        <charset val="134"/>
      </rPr>
      <t>1</t>
    </r>
    <r>
      <rPr>
        <sz val="14"/>
        <color rgb="FF000000"/>
        <rFont val="宋体"/>
        <charset val="134"/>
      </rPr>
      <t>轮）</t>
    </r>
  </si>
  <si>
    <t>末日之雨、七感的诅咒、地狱之子的毒药</t>
  </si>
  <si>
    <t>MINDBLAST</t>
  </si>
  <si>
    <t>精神震爆术</t>
  </si>
  <si>
    <t>マインドブラスト</t>
  </si>
  <si>
    <r>
      <rPr>
        <sz val="14"/>
        <color rgb="FF000000"/>
        <rFont val="宋体"/>
        <charset val="134"/>
      </rPr>
      <t>精神震爆术〔战〕</t>
    </r>
    <r>
      <rPr>
        <sz val="14"/>
        <color rgb="FF000000"/>
        <rFont val="Resource Han Rounded CN Normal"/>
        <charset val="134"/>
      </rPr>
      <t xml:space="preserve">
Mindblast
</t>
    </r>
    <r>
      <rPr>
        <sz val="14"/>
        <color rgb="FF000000"/>
        <rFont val="宋体"/>
        <charset val="134"/>
      </rPr>
      <t>消耗：</t>
    </r>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1D3</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本法术的目标会受到可怕的精神攻击，造成</t>
    </r>
    <r>
      <rPr>
        <sz val="14"/>
        <color rgb="FF000000"/>
        <rFont val="Resource Han Rounded CN Normal"/>
        <charset val="134"/>
      </rPr>
      <t>5</t>
    </r>
    <r>
      <rPr>
        <sz val="14"/>
        <color rgb="FF000000"/>
        <rFont val="宋体"/>
        <charset val="134"/>
      </rPr>
      <t>点理智值损失，并导致临时性疯狂。施法者须和目标进行一次</t>
    </r>
    <r>
      <rPr>
        <sz val="14"/>
        <color rgb="FF000000"/>
        <rFont val="Resource Han Rounded CN Normal"/>
        <charset val="134"/>
      </rPr>
      <t>POW</t>
    </r>
    <r>
      <rPr>
        <sz val="14"/>
        <color rgb="FF000000"/>
        <rFont val="宋体"/>
        <charset val="134"/>
      </rPr>
      <t>对抗检定并胜出，法术才能生效。</t>
    </r>
    <r>
      <rPr>
        <sz val="14"/>
        <color rgb="FF000000"/>
        <rFont val="Resource Han Rounded CN Normal"/>
        <charset val="134"/>
      </rPr>
      <t xml:space="preserve">
</t>
    </r>
    <r>
      <rPr>
        <sz val="14"/>
        <color rgb="FF000000"/>
        <rFont val="宋体"/>
        <charset val="134"/>
      </rPr>
      <t>目标将遵照临时性疯狂的规则来处理，从疯狂发作开始，并可能在接下来数天当中都受到闪回和梦魇等症状的折磨。</t>
    </r>
    <r>
      <rPr>
        <sz val="14"/>
        <color rgb="FF000000"/>
        <rFont val="Resource Han Rounded CN Normal"/>
        <charset val="134"/>
      </rPr>
      <t xml:space="preserve">
</t>
    </r>
    <r>
      <rPr>
        <sz val="14"/>
        <color rgb="FF000000"/>
        <rFont val="宋体"/>
        <charset val="134"/>
      </rPr>
      <t>别名：衰弱诅咒、厄运冲击波、心灵之眼的深渊</t>
    </r>
  </si>
  <si>
    <t>忘却之波〔环〕</t>
  </si>
  <si>
    <r>
      <rPr>
        <sz val="14"/>
        <color rgb="FF000000"/>
        <rFont val="Resource Han Rounded CN Normal"/>
        <charset val="134"/>
      </rPr>
      <t>30</t>
    </r>
    <r>
      <rPr>
        <sz val="14"/>
        <color rgb="FF000000"/>
        <rFont val="宋体"/>
        <charset val="134"/>
      </rPr>
      <t>点魔法值；</t>
    </r>
    <r>
      <rPr>
        <sz val="14"/>
        <color rgb="FF000000"/>
        <rFont val="Resource Han Rounded CN Normal"/>
        <charset val="134"/>
      </rPr>
      <t>1D8</t>
    </r>
    <r>
      <rPr>
        <sz val="14"/>
        <color rgb="FF000000"/>
        <rFont val="宋体"/>
        <charset val="134"/>
      </rPr>
      <t>点理智值</t>
    </r>
  </si>
  <si>
    <t>海拳之歌、盐的馈赠、汝之潮湿劫数</t>
  </si>
  <si>
    <t>CREATE GATE WINDOW</t>
  </si>
  <si>
    <t>时空窗创建术</t>
  </si>
  <si>
    <r>
      <rPr>
        <sz val="14"/>
        <color rgb="FF000000"/>
        <rFont val="宋体"/>
        <charset val="134"/>
      </rPr>
      <t>窓</t>
    </r>
    <r>
      <rPr>
        <sz val="14"/>
        <color rgb="FF000000"/>
        <rFont val="MS Gothic"/>
        <charset val="134"/>
      </rPr>
      <t>の</t>
    </r>
    <r>
      <rPr>
        <sz val="14"/>
        <color rgb="FF000000"/>
        <rFont val="宋体"/>
        <charset val="134"/>
      </rPr>
      <t>創造</t>
    </r>
  </si>
  <si>
    <r>
      <rPr>
        <sz val="14"/>
        <color rgb="FF000000"/>
        <rFont val="宋体"/>
        <charset val="134"/>
      </rPr>
      <t>时空窗创建术（神话神祇</t>
    </r>
    <r>
      <rPr>
        <sz val="14"/>
        <color rgb="FF000000"/>
        <rFont val="Resource Han Rounded CN Normal"/>
        <charset val="134"/>
      </rPr>
      <t>/</t>
    </r>
    <r>
      <rPr>
        <sz val="14"/>
        <color rgb="FF000000"/>
        <rFont val="宋体"/>
        <charset val="134"/>
      </rPr>
      <t>极其强大的巫师）</t>
    </r>
    <r>
      <rPr>
        <sz val="14"/>
        <color rgb="FF000000"/>
        <rFont val="Resource Han Rounded CN Normal"/>
        <charset val="134"/>
      </rPr>
      <t xml:space="preserve">
Create Gate Window
</t>
    </r>
    <r>
      <rPr>
        <sz val="14"/>
        <color rgb="FF000000"/>
        <rFont val="宋体"/>
        <charset val="134"/>
      </rPr>
      <t>消耗：无</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这是</t>
    </r>
    <r>
      <rPr>
        <sz val="14"/>
        <color rgb="FF000000"/>
        <rFont val="Resource Han Rounded CN Normal"/>
        <charset val="134"/>
      </rPr>
      <t>“</t>
    </r>
    <r>
      <rPr>
        <sz val="14"/>
        <color rgb="FF000000"/>
        <rFont val="宋体"/>
        <charset val="134"/>
      </rPr>
      <t>时空门</t>
    </r>
    <r>
      <rPr>
        <sz val="14"/>
        <color rgb="FF000000"/>
        <rFont val="Resource Han Rounded CN Normal"/>
        <charset val="134"/>
      </rPr>
      <t>”</t>
    </r>
    <r>
      <rPr>
        <sz val="14"/>
        <color rgb="FF000000"/>
        <rFont val="宋体"/>
        <charset val="134"/>
      </rPr>
      <t>法术</t>
    </r>
    <r>
      <rPr>
        <sz val="14"/>
        <color rgb="FF000000"/>
        <rFont val="Resource Han Rounded CN Normal"/>
        <charset val="134"/>
      </rPr>
      <t>(P120)</t>
    </r>
    <r>
      <rPr>
        <sz val="14"/>
        <color rgb="FF000000"/>
        <rFont val="宋体"/>
        <charset val="134"/>
      </rPr>
      <t>的一个版本，神话诸神和伟大的巫师仅靠意志（至少</t>
    </r>
    <r>
      <rPr>
        <sz val="14"/>
        <color rgb="FF000000"/>
        <rFont val="Resource Han Rounded CN Normal"/>
        <charset val="134"/>
      </rPr>
      <t>125</t>
    </r>
    <r>
      <rPr>
        <sz val="14"/>
        <color rgb="FF000000"/>
        <rFont val="宋体"/>
        <charset val="134"/>
      </rPr>
      <t>点）就能随意打开，并任意操作。创建这种时空门的消耗是调查员和其他人类所望尘莫及的。</t>
    </r>
    <r>
      <rPr>
        <sz val="14"/>
        <color rgb="FF000000"/>
        <rFont val="Resource Han Rounded CN Normal"/>
        <charset val="134"/>
      </rPr>
      <t xml:space="preserve">
</t>
    </r>
    <r>
      <rPr>
        <sz val="14"/>
        <color rgb="FF000000"/>
        <rFont val="宋体"/>
        <charset val="134"/>
      </rPr>
      <t>这个版本的时空门所用的能量来自神祇或者巫师，而不是使用时空窗的人</t>
    </r>
    <r>
      <rPr>
        <sz val="14"/>
        <color rgb="FF000000"/>
        <rFont val="Resource Han Rounded CN Normal"/>
        <charset val="134"/>
      </rPr>
      <t>——</t>
    </r>
    <r>
      <rPr>
        <sz val="14"/>
        <color rgb="FF000000"/>
        <rFont val="宋体"/>
        <charset val="134"/>
      </rPr>
      <t>旅行者穿越时空的距离不受旅行者自身的</t>
    </r>
    <r>
      <rPr>
        <sz val="14"/>
        <color rgb="FF000000"/>
        <rFont val="Resource Han Rounded CN Normal"/>
        <charset val="134"/>
      </rPr>
      <t>POW</t>
    </r>
    <r>
      <rPr>
        <sz val="14"/>
        <color rgb="FF000000"/>
        <rFont val="宋体"/>
        <charset val="134"/>
      </rPr>
      <t>限制。因为创建者可以随心操纵，所以出入口无需任何标志和记号，开关也全凭创建者的意志。时空门是单向还是双向也根据创建者的意愿决定。</t>
    </r>
    <r>
      <rPr>
        <sz val="14"/>
        <color rgb="FF000000"/>
        <rFont val="Resource Han Rounded CN Normal"/>
        <charset val="134"/>
      </rPr>
      <t xml:space="preserve">
</t>
    </r>
    <r>
      <rPr>
        <sz val="14"/>
        <color rgb="FF000000"/>
        <rFont val="宋体"/>
        <charset val="134"/>
      </rPr>
      <t>别名：不详。</t>
    </r>
  </si>
  <si>
    <t>鬼魂号令法（民俗）〔民〕</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</si>
  <si>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1D3</t>
    </r>
    <r>
      <rPr>
        <sz val="14"/>
        <color rgb="FF000000"/>
        <rFont val="宋体"/>
        <charset val="134"/>
      </rPr>
      <t>点理智值</t>
    </r>
  </si>
  <si>
    <r>
      <rPr>
        <sz val="14"/>
        <color rgb="FF000000"/>
        <rFont val="Resource Han Rounded CN Normal"/>
        <charset val="134"/>
      </rPr>
      <t>10</t>
    </r>
    <r>
      <rPr>
        <sz val="14"/>
        <color rgb="FF000000"/>
        <rFont val="宋体"/>
        <charset val="134"/>
      </rPr>
      <t>分钟</t>
    </r>
  </si>
  <si>
    <t>灵魂屈服术、灰烬的低语、死者之舌</t>
  </si>
  <si>
    <t>MI-GO HYPNOSIS</t>
  </si>
  <si>
    <r>
      <rPr>
        <sz val="14"/>
        <color rgb="FF000000"/>
        <rFont val="宋体"/>
        <charset val="134"/>
      </rPr>
      <t>米</t>
    </r>
    <r>
      <rPr>
        <sz val="14"/>
        <color rgb="FF000000"/>
        <rFont val="Resource Han Rounded CN Normal"/>
        <charset val="134"/>
      </rPr>
      <t>-</t>
    </r>
    <r>
      <rPr>
        <sz val="14"/>
        <color rgb="FF000000"/>
        <rFont val="宋体"/>
        <charset val="134"/>
      </rPr>
      <t>戈催眠术</t>
    </r>
  </si>
  <si>
    <r>
      <rPr>
        <sz val="14"/>
        <color rgb="FF000000"/>
        <rFont val="MS Gothic"/>
        <charset val="134"/>
      </rPr>
      <t>ミ</t>
    </r>
    <r>
      <rPr>
        <sz val="14"/>
        <color rgb="FF000000"/>
        <rFont val="宋体"/>
        <charset val="134"/>
      </rPr>
      <t>＝</t>
    </r>
    <r>
      <rPr>
        <sz val="14"/>
        <color rgb="FF000000"/>
        <rFont val="MS Gothic"/>
        <charset val="134"/>
      </rPr>
      <t>ゴの</t>
    </r>
    <r>
      <rPr>
        <sz val="14"/>
        <color rgb="FF000000"/>
        <rFont val="宋体"/>
        <charset val="134"/>
      </rPr>
      <t>催眠術</t>
    </r>
  </si>
  <si>
    <r>
      <rPr>
        <sz val="14"/>
        <color rgb="FF000000"/>
        <rFont val="宋体"/>
        <charset val="134"/>
      </rPr>
      <t>米</t>
    </r>
    <r>
      <rPr>
        <sz val="14"/>
        <color rgb="FF000000"/>
        <rFont val="Resource Han Rounded CN Normal"/>
        <charset val="134"/>
      </rPr>
      <t>-</t>
    </r>
    <r>
      <rPr>
        <sz val="14"/>
        <color rgb="FF000000"/>
        <rFont val="宋体"/>
        <charset val="134"/>
      </rPr>
      <t>戈催眠术</t>
    </r>
    <r>
      <rPr>
        <sz val="14"/>
        <color rgb="FF000000"/>
        <rFont val="Resource Han Rounded CN Normal"/>
        <charset val="134"/>
      </rPr>
      <t xml:space="preserve">
Mi-Go Hypnosis
</t>
    </r>
    <r>
      <rPr>
        <sz val="14"/>
        <color rgb="FF000000"/>
        <rFont val="宋体"/>
        <charset val="134"/>
      </rPr>
      <t>米</t>
    </r>
    <r>
      <rPr>
        <sz val="14"/>
        <color rgb="FF000000"/>
        <rFont val="Resource Han Rounded CN Normal"/>
        <charset val="134"/>
      </rPr>
      <t>-</t>
    </r>
    <r>
      <rPr>
        <sz val="14"/>
        <color rgb="FF000000"/>
        <rFont val="宋体"/>
        <charset val="134"/>
      </rPr>
      <t>戈可以在嗡鸣声中加入频率极高或极低的声调，让听到其声音的一名或数名人类陷入被催眠的状态。在米</t>
    </r>
    <r>
      <rPr>
        <sz val="14"/>
        <color rgb="FF000000"/>
        <rFont val="Resource Han Rounded CN Normal"/>
        <charset val="134"/>
      </rPr>
      <t>-</t>
    </r>
    <r>
      <rPr>
        <sz val="14"/>
        <color rgb="FF000000"/>
        <rFont val="宋体"/>
        <charset val="134"/>
      </rPr>
      <t>戈的嗡鸣声周围</t>
    </r>
    <r>
      <rPr>
        <sz val="14"/>
        <color rgb="FF000000"/>
        <rFont val="Resource Han Rounded CN Normal"/>
        <charset val="134"/>
      </rPr>
      <t>40</t>
    </r>
    <r>
      <rPr>
        <sz val="14"/>
        <color rgb="FF000000"/>
        <rFont val="宋体"/>
        <charset val="134"/>
      </rPr>
      <t>英尺范围内的调查员必须进行成功的</t>
    </r>
    <r>
      <rPr>
        <sz val="14"/>
        <color rgb="FF000000"/>
        <rFont val="Resource Han Rounded CN Normal"/>
        <charset val="134"/>
      </rPr>
      <t>POW</t>
    </r>
    <r>
      <rPr>
        <sz val="14"/>
        <color rgb="FF000000"/>
        <rFont val="宋体"/>
        <charset val="134"/>
      </rPr>
      <t>对抗检定，否则就会失去行动能力。米</t>
    </r>
    <r>
      <rPr>
        <sz val="14"/>
        <color rgb="FF000000"/>
        <rFont val="Resource Han Rounded CN Normal"/>
        <charset val="134"/>
      </rPr>
      <t>-</t>
    </r>
    <r>
      <rPr>
        <sz val="14"/>
        <color rgb="FF000000"/>
        <rFont val="宋体"/>
        <charset val="134"/>
      </rPr>
      <t>戈可以用传心术和人类对话，每</t>
    </r>
    <r>
      <rPr>
        <sz val="14"/>
        <color rgb="FF000000"/>
        <rFont val="Resource Han Rounded CN Normal"/>
        <charset val="134"/>
      </rPr>
      <t>5</t>
    </r>
    <r>
      <rPr>
        <sz val="14"/>
        <color rgb="FF000000"/>
        <rFont val="宋体"/>
        <charset val="134"/>
      </rPr>
      <t>回合耗费</t>
    </r>
    <r>
      <rPr>
        <sz val="14"/>
        <color rgb="FF000000"/>
        <rFont val="Resource Han Rounded CN Normal"/>
        <charset val="134"/>
      </rPr>
      <t>1</t>
    </r>
    <r>
      <rPr>
        <sz val="14"/>
        <color rgb="FF000000"/>
        <rFont val="宋体"/>
        <charset val="134"/>
      </rPr>
      <t>点魔法值。人类可以通过</t>
    </r>
    <r>
      <rPr>
        <sz val="14"/>
        <color rgb="FF000000"/>
        <rFont val="Resource Han Rounded CN Normal"/>
        <charset val="134"/>
      </rPr>
      <t>POW</t>
    </r>
    <r>
      <rPr>
        <sz val="14"/>
        <color rgb="FF000000"/>
        <rFont val="宋体"/>
        <charset val="134"/>
      </rPr>
      <t>对抗检定来抵抗米</t>
    </r>
    <r>
      <rPr>
        <sz val="14"/>
        <color rgb="FF000000"/>
        <rFont val="Resource Han Rounded CN Normal"/>
        <charset val="134"/>
      </rPr>
      <t>-</t>
    </r>
    <r>
      <rPr>
        <sz val="14"/>
        <color rgb="FF000000"/>
        <rFont val="宋体"/>
        <charset val="134"/>
      </rPr>
      <t>戈的传心术。</t>
    </r>
  </si>
  <si>
    <t>占卜法（民俗）〔民〕</t>
  </si>
  <si>
    <r>
      <rPr>
        <sz val="14"/>
        <color rgb="FF000000"/>
        <rFont val="Resource Han Rounded CN Normal"/>
        <charset val="134"/>
      </rPr>
      <t>4</t>
    </r>
    <r>
      <rPr>
        <sz val="14"/>
        <color rgb="FF000000"/>
        <rFont val="宋体"/>
        <charset val="134"/>
      </rPr>
      <t>点魔法值；</t>
    </r>
    <r>
      <rPr>
        <sz val="14"/>
        <color rgb="FF000000"/>
        <rFont val="Resource Han Rounded CN Normal"/>
        <charset val="134"/>
      </rPr>
      <t>1D2</t>
    </r>
    <r>
      <rPr>
        <sz val="14"/>
        <color rgb="FF000000"/>
        <rFont val="宋体"/>
        <charset val="134"/>
      </rPr>
      <t>点理智值</t>
    </r>
  </si>
  <si>
    <r>
      <rPr>
        <sz val="14"/>
        <color rgb="FF000000"/>
        <rFont val="Resource Han Rounded CN Normal"/>
        <charset val="134"/>
      </rPr>
      <t>5+</t>
    </r>
    <r>
      <rPr>
        <sz val="14"/>
        <color rgb="FF000000"/>
        <rFont val="宋体"/>
        <charset val="134"/>
      </rPr>
      <t>分钟</t>
    </r>
  </si>
  <si>
    <t>卜卦法、预兆法、卢恩占卜、命运之眼</t>
  </si>
  <si>
    <t>LOOK TO THE FUTURE</t>
  </si>
  <si>
    <t>未来观测术</t>
  </si>
  <si>
    <r>
      <rPr>
        <sz val="14"/>
        <color rgb="FF000000"/>
        <rFont val="宋体"/>
        <charset val="134"/>
      </rPr>
      <t>未来</t>
    </r>
    <r>
      <rPr>
        <sz val="14"/>
        <color rgb="FF000000"/>
        <rFont val="MS Gothic"/>
        <charset val="134"/>
      </rPr>
      <t>の</t>
    </r>
    <r>
      <rPr>
        <sz val="14"/>
        <color rgb="FF000000"/>
        <rFont val="宋体"/>
        <charset val="134"/>
      </rPr>
      <t>視察</t>
    </r>
  </si>
  <si>
    <r>
      <rPr>
        <sz val="14"/>
        <color rgb="FF000000"/>
        <rFont val="宋体"/>
        <charset val="134"/>
      </rPr>
      <t>未来观测术〔时〕</t>
    </r>
    <r>
      <rPr>
        <sz val="14"/>
        <color rgb="FF000000"/>
        <rFont val="Resource Han Rounded CN Normal"/>
        <charset val="134"/>
      </rPr>
      <t xml:space="preserve">
Look to the Future
</t>
    </r>
    <r>
      <rPr>
        <sz val="14"/>
        <color rgb="FF000000"/>
        <rFont val="宋体"/>
        <charset val="134"/>
      </rPr>
      <t>消耗：每名参与者</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2D6</t>
    </r>
    <r>
      <rPr>
        <sz val="14"/>
        <color rgb="FF000000"/>
        <rFont val="宋体"/>
        <charset val="134"/>
      </rPr>
      <t>点理智值（仅施法者）</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施放本法术会将一名自愿的目标丢到不定年数后的未来。在一小时的群体吟唱之后，施法者以外每名参与仪式的人失去</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，施法者则不失去</t>
    </r>
    <r>
      <rPr>
        <sz val="14"/>
        <color rgb="FF000000"/>
        <rFont val="Resource Han Rounded CN Normal"/>
        <charset val="134"/>
      </rPr>
      <t>POW</t>
    </r>
    <r>
      <rPr>
        <sz val="14"/>
        <color rgb="FF000000"/>
        <rFont val="宋体"/>
        <charset val="134"/>
      </rPr>
      <t>而是失去</t>
    </r>
    <r>
      <rPr>
        <sz val="14"/>
        <color rgb="FF000000"/>
        <rFont val="Resource Han Rounded CN Normal"/>
        <charset val="134"/>
      </rPr>
      <t>2D6</t>
    </r>
    <r>
      <rPr>
        <sz val="14"/>
        <color rgb="FF000000"/>
        <rFont val="宋体"/>
        <charset val="134"/>
      </rPr>
      <t>点理智值。吟唱结束后，选定的志愿者（他不需要吟唱）的肉体将会被丢到过去或未来。每在仪式中花费</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，他就可以穿越一年。</t>
    </r>
    <r>
      <rPr>
        <sz val="14"/>
        <color rgb="FF000000"/>
        <rFont val="Resource Han Rounded CN Normal"/>
        <charset val="134"/>
      </rPr>
      <t xml:space="preserve">
</t>
    </r>
    <r>
      <rPr>
        <sz val="14"/>
        <color rgb="FF000000"/>
        <rFont val="宋体"/>
        <charset val="134"/>
      </rPr>
      <t>此法术并不准确：在预计的目标日期上减去</t>
    </r>
    <r>
      <rPr>
        <sz val="14"/>
        <color rgb="FF000000"/>
        <rFont val="Resource Han Rounded CN Normal"/>
        <charset val="134"/>
      </rPr>
      <t>1D10</t>
    </r>
    <r>
      <rPr>
        <sz val="14"/>
        <color rgb="FF000000"/>
        <rFont val="宋体"/>
        <charset val="134"/>
      </rPr>
      <t>年</t>
    </r>
    <r>
      <rPr>
        <sz val="14"/>
        <color rgb="FF000000"/>
        <rFont val="Resource Han Rounded CN Normal"/>
        <charset val="134"/>
      </rPr>
      <t>——</t>
    </r>
    <r>
      <rPr>
        <sz val="14"/>
        <color rgb="FF000000"/>
        <rFont val="宋体"/>
        <charset val="134"/>
      </rPr>
      <t>如果结果变成通向过去的旅程，目标将从现实世界消失（因此施法时最好至少十一个人贡献能量）。在目标</t>
    </r>
    <r>
      <rPr>
        <sz val="14"/>
        <color rgb="FF000000"/>
        <rFont val="Resource Han Rounded CN Normal"/>
        <charset val="134"/>
      </rPr>
      <t>POW</t>
    </r>
    <r>
      <rPr>
        <sz val="14"/>
        <color rgb="FF000000"/>
        <rFont val="宋体"/>
        <charset val="134"/>
      </rPr>
      <t>五分之一的小时之后，他将返回现在。以其他人的视角来看，志愿者消失了，一两轮之后又重新出现。</t>
    </r>
    <r>
      <rPr>
        <sz val="14"/>
        <color rgb="FF000000"/>
        <rFont val="Resource Han Rounded CN Normal"/>
        <charset val="134"/>
      </rPr>
      <t xml:space="preserve">
</t>
    </r>
    <r>
      <rPr>
        <sz val="14"/>
        <color rgb="FF000000"/>
        <rFont val="宋体"/>
        <charset val="134"/>
      </rPr>
      <t>根据法术的目的不同，本法术可能引发重大的时间悖论。注意严重的时间悖论会让造成悖论的人迅速地、可怕地立即疯狂和死亡。</t>
    </r>
    <r>
      <rPr>
        <sz val="14"/>
        <color rgb="FF000000"/>
        <rFont val="Resource Han Rounded CN Normal"/>
        <charset val="134"/>
      </rPr>
      <t xml:space="preserve">
</t>
    </r>
    <r>
      <rPr>
        <sz val="14"/>
        <color rgb="FF000000"/>
        <rFont val="宋体"/>
        <charset val="134"/>
      </rPr>
      <t>本法术是否会激怒廷达洛斯猎犬等神话生物，由</t>
    </r>
    <r>
      <rPr>
        <sz val="14"/>
        <color rgb="FF000000"/>
        <rFont val="Resource Han Rounded CN Normal"/>
        <charset val="134"/>
      </rPr>
      <t>KP</t>
    </r>
    <r>
      <rPr>
        <sz val="14"/>
        <color rgb="FF000000"/>
        <rFont val="宋体"/>
        <charset val="134"/>
      </rPr>
      <t>自行决定。</t>
    </r>
    <r>
      <rPr>
        <sz val="14"/>
        <color rgb="FF000000"/>
        <rFont val="Resource Han Rounded CN Normal"/>
        <charset val="134"/>
      </rPr>
      <t xml:space="preserve">
</t>
    </r>
    <r>
      <rPr>
        <sz val="14"/>
        <color rgb="FF000000"/>
        <rFont val="宋体"/>
        <charset val="134"/>
      </rPr>
      <t>深层魔法：一般认为这个强大的法术不见于任何典籍，只有奈亚拉托提普才知晓，它会将其教给疯狂的崇拜者。伏行的混沌完全可能教给他们本法术的一种变体，它可以穿越到预定的年代日期，而参与者对具体时间全然不知。</t>
    </r>
    <r>
      <rPr>
        <sz val="14"/>
        <color rgb="FF000000"/>
        <rFont val="Resource Han Rounded CN Normal"/>
        <charset val="134"/>
      </rPr>
      <t xml:space="preserve">
</t>
    </r>
    <r>
      <rPr>
        <sz val="14"/>
        <color rgb="FF000000"/>
        <rFont val="宋体"/>
        <charset val="134"/>
      </rPr>
      <t>别名：大胖女人的祝福、黑法老的鞭笞、愚者的钟摆</t>
    </r>
  </si>
  <si>
    <t>火焰斗篷术〔战〕</t>
  </si>
  <si>
    <r>
      <rPr>
        <sz val="14"/>
        <color rgb="FF000000"/>
        <rFont val="Resource Han Rounded CN Normal"/>
        <charset val="134"/>
      </rPr>
      <t>1</t>
    </r>
    <r>
      <rPr>
        <sz val="14"/>
        <color rgb="FF000000"/>
        <rFont val="宋体"/>
        <charset val="134"/>
      </rPr>
      <t>轮；增加移动速度、增强战斗防御，造成痛苦，损失理智值</t>
    </r>
  </si>
  <si>
    <t>克图格亚的拥抱、烈火死亡之舞、燃烧的时间</t>
  </si>
  <si>
    <t>MESMERIZ</t>
  </si>
  <si>
    <t>魅惑术</t>
  </si>
  <si>
    <t>魅惑</t>
  </si>
  <si>
    <r>
      <rPr>
        <sz val="14"/>
        <color rgb="FF000000"/>
        <rFont val="宋体"/>
        <charset val="134"/>
      </rPr>
      <t>魅惑术</t>
    </r>
    <r>
      <rPr>
        <sz val="14"/>
        <color rgb="FF000000"/>
        <rFont val="Resource Han Rounded CN Normal"/>
        <charset val="134"/>
      </rPr>
      <t xml:space="preserve">
Mesmeriz
</t>
    </r>
    <r>
      <rPr>
        <sz val="14"/>
        <color rgb="FF000000"/>
        <rFont val="宋体"/>
        <charset val="134"/>
      </rPr>
      <t>施法者可以命令任何人类血统的生物。施法者失去</t>
    </r>
    <r>
      <rPr>
        <sz val="14"/>
        <color rgb="FF000000"/>
        <rFont val="Resource Han Rounded CN Normal"/>
        <charset val="134"/>
      </rPr>
      <t>ID6</t>
    </r>
    <r>
      <rPr>
        <sz val="14"/>
        <color rgb="FF000000"/>
        <rFont val="宋体"/>
        <charset val="134"/>
      </rPr>
      <t>理智点，无需消耗魔法点，并且必须至少有</t>
    </r>
    <r>
      <rPr>
        <sz val="14"/>
        <color rgb="FF000000"/>
        <rFont val="Resource Han Rounded CN Normal"/>
        <charset val="134"/>
      </rPr>
      <t>50%</t>
    </r>
    <r>
      <rPr>
        <sz val="14"/>
        <color rgb="FF000000"/>
        <rFont val="宋体"/>
        <charset val="134"/>
      </rPr>
      <t>的神秘学和</t>
    </r>
    <r>
      <rPr>
        <sz val="14"/>
        <color rgb="FF000000"/>
        <rFont val="Resource Han Rounded CN Normal"/>
        <charset val="134"/>
      </rPr>
      <t>50%</t>
    </r>
    <r>
      <rPr>
        <sz val="14"/>
        <color rgb="FF000000"/>
        <rFont val="宋体"/>
        <charset val="134"/>
      </rPr>
      <t>的克苏鲁神话技能。施放这个法术需要和目标进行</t>
    </r>
    <r>
      <rPr>
        <sz val="14"/>
        <color rgb="FF000000"/>
        <rFont val="Resource Han Rounded CN Normal"/>
        <charset val="134"/>
      </rPr>
      <t>DEX</t>
    </r>
    <r>
      <rPr>
        <sz val="14"/>
        <color rgb="FF000000"/>
        <rFont val="宋体"/>
        <charset val="134"/>
      </rPr>
      <t>对抗。如果成功，目标停止反抗并接受施法者发出的命令。目标必须离得足够近且能看见施法者的眼睛，施法者的眼睛在施法时看上去会像是在发光。施法者每拥有一点智力，催眠可持续</t>
    </r>
    <r>
      <rPr>
        <sz val="14"/>
        <color rgb="FF000000"/>
        <rFont val="Resource Han Rounded CN Normal"/>
        <charset val="134"/>
      </rPr>
      <t>5</t>
    </r>
    <r>
      <rPr>
        <sz val="14"/>
        <color rgb="FF000000"/>
        <rFont val="宋体"/>
        <charset val="134"/>
      </rPr>
      <t>轮。如果目标的智力高于施法者，则施法者必须每</t>
    </r>
    <r>
      <rPr>
        <sz val="14"/>
        <color rgb="FF000000"/>
        <rFont val="Resource Han Rounded CN Normal"/>
        <charset val="134"/>
      </rPr>
      <t>10</t>
    </r>
    <r>
      <rPr>
        <sz val="14"/>
        <color rgb="FF000000"/>
        <rFont val="宋体"/>
        <charset val="134"/>
      </rPr>
      <t>轮进行一次</t>
    </r>
    <r>
      <rPr>
        <sz val="14"/>
        <color rgb="FF000000"/>
        <rFont val="Resource Han Rounded CN Normal"/>
        <charset val="134"/>
      </rPr>
      <t>POW</t>
    </r>
    <r>
      <rPr>
        <sz val="14"/>
        <color rgb="FF000000"/>
        <rFont val="宋体"/>
        <charset val="134"/>
      </rPr>
      <t>对抗且成功，否则法术将被打破，目标将脱离影响。目标在被法术影响时，身体动作技能减半。目标会执行施法者的所有命令，甚至是自杀。本法术对现代的蛇人和曾与人类交配的深潜者有效，而对夏塔克鸟和空鬼之类非人类的存在无效。</t>
    </r>
  </si>
  <si>
    <t>精神震爆术〔战〕</t>
  </si>
  <si>
    <r>
      <rPr>
        <sz val="14"/>
        <color rgb="FF000000"/>
        <rFont val="Resource Han Rounded CN Normal"/>
        <charset val="134"/>
      </rPr>
      <t>10</t>
    </r>
    <r>
      <rPr>
        <sz val="14"/>
        <color rgb="FF000000"/>
        <rFont val="宋体"/>
        <charset val="134"/>
      </rPr>
      <t>点魔法值；</t>
    </r>
    <r>
      <rPr>
        <sz val="14"/>
        <color rgb="FF000000"/>
        <rFont val="Resource Han Rounded CN Normal"/>
        <charset val="134"/>
      </rPr>
      <t>1D3</t>
    </r>
    <r>
      <rPr>
        <sz val="14"/>
        <color rgb="FF000000"/>
        <rFont val="宋体"/>
        <charset val="134"/>
      </rPr>
      <t>点理智值</t>
    </r>
  </si>
  <si>
    <t>衰弱诅咒、厄运冲击波、心灵之眼的深渊</t>
  </si>
  <si>
    <t>IMPECCABLE THROW</t>
  </si>
  <si>
    <t>无瑕投掷法</t>
  </si>
  <si>
    <r>
      <rPr>
        <sz val="14"/>
        <color rgb="FF000000"/>
        <rFont val="宋体"/>
        <charset val="134"/>
      </rPr>
      <t>無欠</t>
    </r>
    <r>
      <rPr>
        <sz val="14"/>
        <color rgb="FF000000"/>
        <rFont val="MS Gothic"/>
        <charset val="134"/>
      </rPr>
      <t>の</t>
    </r>
    <r>
      <rPr>
        <sz val="14"/>
        <color rgb="FF000000"/>
        <rFont val="宋体"/>
        <charset val="134"/>
      </rPr>
      <t>投擲</t>
    </r>
  </si>
  <si>
    <r>
      <rPr>
        <sz val="14"/>
        <color rgb="FF000000"/>
        <rFont val="宋体"/>
        <charset val="134"/>
      </rPr>
      <t>无瑕投掷法（民俗）〔民〕</t>
    </r>
    <r>
      <rPr>
        <sz val="14"/>
        <color rgb="FF000000"/>
        <rFont val="Resource Han Rounded CN Normal"/>
        <charset val="134"/>
      </rPr>
      <t xml:space="preserve">
Impeccable Throw
</t>
    </r>
    <r>
      <rPr>
        <sz val="14"/>
        <color rgb="FF000000"/>
        <rFont val="宋体"/>
        <charset val="134"/>
      </rPr>
      <t>消耗：</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2</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背诵一小段韵文，施法者或受术者就能投掷一个物体并恰好落在</t>
    </r>
    <r>
      <rPr>
        <sz val="14"/>
        <color rgb="FF000000"/>
        <rFont val="Resource Han Rounded CN Normal"/>
        <charset val="134"/>
      </rPr>
      <t>50</t>
    </r>
    <r>
      <rPr>
        <sz val="14"/>
        <color rgb="FF000000"/>
        <rFont val="宋体"/>
        <charset val="134"/>
      </rPr>
      <t>尺之内他预想的位置。法术引导投掷物的轨迹，让它击中预期的目标。每次施法可以作用于一个投掷物。</t>
    </r>
    <r>
      <rPr>
        <sz val="14"/>
        <color rgb="FF000000"/>
        <rFont val="Resource Han Rounded CN Normal"/>
        <charset val="134"/>
      </rPr>
      <t xml:space="preserve">
</t>
    </r>
    <r>
      <rPr>
        <sz val="14"/>
        <color rgb="FF000000"/>
        <rFont val="宋体"/>
        <charset val="134"/>
      </rPr>
      <t>别名：牛眼魔咒、巫师的抛掷</t>
    </r>
  </si>
  <si>
    <r>
      <rPr>
        <sz val="14"/>
        <color rgb="FF000000"/>
        <rFont val="宋体"/>
        <charset val="134"/>
      </rPr>
      <t>时空窗创建术（神话神祇</t>
    </r>
    <r>
      <rPr>
        <sz val="14"/>
        <color rgb="FF000000"/>
        <rFont val="Resource Han Rounded CN Normal"/>
        <charset val="134"/>
      </rPr>
      <t>/</t>
    </r>
    <r>
      <rPr>
        <sz val="14"/>
        <color rgb="FF000000"/>
        <rFont val="宋体"/>
        <charset val="134"/>
      </rPr>
      <t>极其强大的巫师）</t>
    </r>
  </si>
  <si>
    <t>JOURNEY TO THE OTHER SIDE</t>
  </si>
  <si>
    <t>彼端之旅</t>
  </si>
  <si>
    <r>
      <rPr>
        <sz val="14"/>
        <color rgb="FF000000"/>
        <rFont val="宋体"/>
        <charset val="134"/>
      </rPr>
      <t>向</t>
    </r>
    <r>
      <rPr>
        <sz val="14"/>
        <color rgb="FF000000"/>
        <rFont val="MS Gothic"/>
        <charset val="134"/>
      </rPr>
      <t>こう</t>
    </r>
    <r>
      <rPr>
        <sz val="14"/>
        <color rgb="FF000000"/>
        <rFont val="宋体"/>
        <charset val="134"/>
      </rPr>
      <t>側</t>
    </r>
    <r>
      <rPr>
        <sz val="14"/>
        <color rgb="FF000000"/>
        <rFont val="MS Gothic"/>
        <charset val="134"/>
      </rPr>
      <t>への</t>
    </r>
    <r>
      <rPr>
        <sz val="14"/>
        <color rgb="FF000000"/>
        <rFont val="宋体"/>
        <charset val="134"/>
      </rPr>
      <t>旅</t>
    </r>
  </si>
  <si>
    <r>
      <rPr>
        <sz val="14"/>
        <color rgb="FF000000"/>
        <rFont val="宋体"/>
        <charset val="134"/>
      </rPr>
      <t>彼端之旅〔旅〕</t>
    </r>
    <r>
      <rPr>
        <sz val="14"/>
        <color rgb="FF000000"/>
        <rFont val="Resource Han Rounded CN Normal"/>
        <charset val="134"/>
      </rPr>
      <t xml:space="preserve">
Journey to the Other Side
</t>
    </r>
    <r>
      <rPr>
        <sz val="14"/>
        <color rgb="FF000000"/>
        <rFont val="宋体"/>
        <charset val="134"/>
      </rPr>
      <t>消耗：</t>
    </r>
    <r>
      <rPr>
        <sz val="14"/>
        <color rgb="FF000000"/>
        <rFont val="Resource Han Rounded CN Normal"/>
        <charset val="134"/>
      </rPr>
      <t>15</t>
    </r>
    <r>
      <rPr>
        <sz val="14"/>
        <color rgb="FF000000"/>
        <rFont val="宋体"/>
        <charset val="134"/>
      </rPr>
      <t>点魔法值；</t>
    </r>
    <r>
      <rPr>
        <sz val="14"/>
        <color rgb="FF000000"/>
        <rFont val="Resource Han Rounded CN Normal"/>
        <charset val="134"/>
      </rPr>
      <t>1</t>
    </r>
    <r>
      <rPr>
        <sz val="14"/>
        <color rgb="FF000000"/>
        <rFont val="宋体"/>
        <charset val="134"/>
      </rPr>
      <t>点理智值施法用时：</t>
    </r>
    <r>
      <rPr>
        <sz val="14"/>
        <color rgb="FF000000"/>
        <rFont val="Resource Han Rounded CN Normal"/>
        <charset val="134"/>
      </rPr>
      <t>1</t>
    </r>
    <r>
      <rPr>
        <sz val="14"/>
        <color rgb="FF000000"/>
        <rFont val="宋体"/>
        <charset val="134"/>
      </rPr>
      <t>天</t>
    </r>
    <r>
      <rPr>
        <sz val="14"/>
        <color rgb="FF000000"/>
        <rFont val="Resource Han Rounded CN Normal"/>
        <charset val="134"/>
      </rPr>
      <t xml:space="preserve">
</t>
    </r>
    <r>
      <rPr>
        <sz val="14"/>
        <color rgb="FF000000"/>
        <rFont val="宋体"/>
        <charset val="134"/>
      </rPr>
      <t>施法者进行一场漫长的仪式，仪式当中施法者要吟唱或者做其他一些仪式化的重复动作，以进入出神状态（知觉状态的变异）。只要达成了出神状态，施法者就可以把自己的</t>
    </r>
    <r>
      <rPr>
        <sz val="14"/>
        <color rgb="FF000000"/>
        <rFont val="Resource Han Rounded CN Normal"/>
        <charset val="134"/>
      </rPr>
      <t>“</t>
    </r>
    <r>
      <rPr>
        <sz val="14"/>
        <color rgb="FF000000"/>
        <rFont val="宋体"/>
        <charset val="134"/>
      </rPr>
      <t>灵魂</t>
    </r>
    <r>
      <rPr>
        <sz val="14"/>
        <color rgb="FF000000"/>
        <rFont val="Resource Han Rounded CN Normal"/>
        <charset val="134"/>
      </rPr>
      <t>”</t>
    </r>
    <r>
      <rPr>
        <sz val="14"/>
        <color rgb="FF000000"/>
        <rFont val="宋体"/>
        <charset val="134"/>
      </rPr>
      <t>送到其他存在的位面；这个位面可以由施法者决定（如果他们了解并理解它的存在），也可能是随机的</t>
    </r>
    <r>
      <rPr>
        <sz val="14"/>
        <color rgb="FF000000"/>
        <rFont val="Resource Han Rounded CN Normal"/>
        <charset val="134"/>
      </rPr>
      <t>——</t>
    </r>
    <r>
      <rPr>
        <sz val="14"/>
        <color rgb="FF000000"/>
        <rFont val="宋体"/>
        <charset val="134"/>
      </rPr>
      <t>任何能想象的地方，甚至神话神祇的所在或者幻梦境。出神状态持续</t>
    </r>
    <r>
      <rPr>
        <sz val="14"/>
        <color rgb="FF000000"/>
        <rFont val="Resource Han Rounded CN Normal"/>
        <charset val="134"/>
      </rPr>
      <t>1D6+3</t>
    </r>
    <r>
      <rPr>
        <sz val="14"/>
        <color rgb="FF000000"/>
        <rFont val="宋体"/>
        <charset val="134"/>
      </rPr>
      <t>小时。根据施法者的灵魂旅行并观察的内容，可能会有理智值损失（可能还很高）。</t>
    </r>
    <r>
      <rPr>
        <sz val="14"/>
        <color rgb="FF000000"/>
        <rFont val="Resource Han Rounded CN Normal"/>
        <charset val="134"/>
      </rPr>
      <t xml:space="preserve">
</t>
    </r>
    <r>
      <rPr>
        <sz val="14"/>
        <color rgb="FF000000"/>
        <rFont val="宋体"/>
        <charset val="134"/>
      </rPr>
      <t>别名：链接灵魂到远方、精神传送术、大旅行术</t>
    </r>
  </si>
  <si>
    <t>让听到其声音的一名或数名人类陷入被催眠的状态；在嗡鸣声中加入频率极高或极低的声调</t>
  </si>
  <si>
    <r>
      <rPr>
        <sz val="14"/>
        <color rgb="FF000000"/>
        <rFont val="Resource Han Rounded CN Normal"/>
        <charset val="134"/>
      </rPr>
      <t>POW</t>
    </r>
    <r>
      <rPr>
        <sz val="14"/>
        <color rgb="FF000000"/>
        <rFont val="宋体"/>
        <charset val="134"/>
      </rPr>
      <t>对抗检定</t>
    </r>
  </si>
  <si>
    <t>UNSPEAKABLE PROMISE</t>
  </si>
  <si>
    <t>不可名状的诺言</t>
  </si>
  <si>
    <r>
      <rPr>
        <sz val="14"/>
        <color rgb="FF000000"/>
        <rFont val="宋体"/>
        <charset val="134"/>
      </rPr>
      <t>名状</t>
    </r>
    <r>
      <rPr>
        <sz val="14"/>
        <color rgb="FF000000"/>
        <rFont val="MS Gothic"/>
        <charset val="134"/>
      </rPr>
      <t>し</t>
    </r>
    <r>
      <rPr>
        <sz val="14"/>
        <color rgb="FF000000"/>
        <rFont val="宋体"/>
        <charset val="134"/>
      </rPr>
      <t>難</t>
    </r>
    <r>
      <rPr>
        <sz val="14"/>
        <color rgb="FF000000"/>
        <rFont val="MS Gothic"/>
        <charset val="134"/>
      </rPr>
      <t>い</t>
    </r>
    <r>
      <rPr>
        <sz val="14"/>
        <color rgb="FF000000"/>
        <rFont val="宋体"/>
        <charset val="134"/>
      </rPr>
      <t>誓約</t>
    </r>
  </si>
  <si>
    <r>
      <rPr>
        <sz val="14"/>
        <color rgb="FF000000"/>
        <rFont val="宋体"/>
        <charset val="134"/>
      </rPr>
      <t>不可名状的诺言〔召、他〕</t>
    </r>
    <r>
      <rPr>
        <sz val="14"/>
        <color rgb="FF000000"/>
        <rFont val="Resource Han Rounded CN Normal"/>
        <charset val="134"/>
      </rPr>
      <t xml:space="preserve">
Unspeakable Promise,The
</t>
    </r>
    <r>
      <rPr>
        <sz val="14"/>
        <color rgb="FF000000"/>
        <rFont val="宋体"/>
        <charset val="134"/>
      </rPr>
      <t>消耗：</t>
    </r>
    <r>
      <rPr>
        <sz val="14"/>
        <color rgb="FF000000"/>
        <rFont val="Resource Han Rounded CN Normal"/>
        <charset val="134"/>
      </rPr>
      <t>2D8</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施法用时：失去的每点理智值</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和不可直呼其名者建立一道束缚性的誓约。哈斯塔作为报答会给予玩家一些好处</t>
    </r>
    <r>
      <rPr>
        <sz val="14"/>
        <color rgb="FF000000"/>
        <rFont val="Resource Han Rounded CN Normal"/>
        <charset val="134"/>
      </rPr>
      <t>——</t>
    </r>
    <r>
      <rPr>
        <sz val="14"/>
        <color rgb="FF000000"/>
        <rFont val="宋体"/>
        <charset val="134"/>
      </rPr>
      <t>貌似珍贵的恩赐，诸如《拉莱耶文本》之类的古代典籍、施法者在余生中每年获得</t>
    </r>
    <r>
      <rPr>
        <sz val="14"/>
        <color rgb="FF000000"/>
        <rFont val="Resource Han Rounded CN Normal"/>
        <charset val="134"/>
      </rPr>
      <t>15</t>
    </r>
    <r>
      <rPr>
        <sz val="14"/>
        <color rgb="FF000000"/>
        <rFont val="宋体"/>
        <charset val="134"/>
      </rPr>
      <t>点</t>
    </r>
    <r>
      <rPr>
        <sz val="14"/>
        <color rgb="FF000000"/>
        <rFont val="Resource Han Rounded CN Normal"/>
        <charset val="134"/>
      </rPr>
      <t>POW</t>
    </r>
    <r>
      <rPr>
        <sz val="14"/>
        <color rgb="FF000000"/>
        <rFont val="宋体"/>
        <charset val="134"/>
      </rPr>
      <t>、「克苏鲁神话」技能的提升等等。但是，施法者每年会有</t>
    </r>
    <r>
      <rPr>
        <sz val="14"/>
        <color rgb="FF000000"/>
        <rFont val="Resource Han Rounded CN Normal"/>
        <charset val="134"/>
      </rPr>
      <t>2%</t>
    </r>
    <r>
      <rPr>
        <sz val="14"/>
        <color rgb="FF000000"/>
        <rFont val="宋体"/>
        <charset val="134"/>
      </rPr>
      <t>的概率（不累积）变成一头可憎的人形怪物，完全由哈斯塔控制</t>
    </r>
    <r>
      <rPr>
        <sz val="14"/>
        <color rgb="FF000000"/>
        <rFont val="Resource Han Rounded CN Normal"/>
        <charset val="134"/>
      </rPr>
      <t>——KP</t>
    </r>
    <r>
      <rPr>
        <sz val="14"/>
        <color rgb="FF000000"/>
        <rFont val="宋体"/>
        <charset val="134"/>
      </rPr>
      <t>设计此怪物的属性，此怪物交由</t>
    </r>
    <r>
      <rPr>
        <sz val="14"/>
        <color rgb="FF000000"/>
        <rFont val="Resource Han Rounded CN Normal"/>
        <charset val="134"/>
      </rPr>
      <t>KP</t>
    </r>
    <r>
      <rPr>
        <sz val="14"/>
        <color rgb="FF000000"/>
        <rFont val="宋体"/>
        <charset val="134"/>
      </rPr>
      <t>来操控。</t>
    </r>
    <r>
      <rPr>
        <sz val="14"/>
        <color rgb="FF000000"/>
        <rFont val="Resource Han Rounded CN Normal"/>
        <charset val="134"/>
      </rPr>
      <t xml:space="preserve">
</t>
    </r>
    <r>
      <rPr>
        <sz val="14"/>
        <color rgb="FF000000"/>
        <rFont val="宋体"/>
        <charset val="134"/>
      </rPr>
      <t>别名：黄之礼物、对不可直呼其名者的不可打破的誓言</t>
    </r>
  </si>
  <si>
    <t>传心术</t>
  </si>
  <si>
    <t>与人类对话；每5回合耗费1点魔法值</t>
  </si>
  <si>
    <t>WARDING THE EYE</t>
  </si>
  <si>
    <t>邪眼守卫术</t>
  </si>
  <si>
    <r>
      <rPr>
        <sz val="14"/>
        <color rgb="FF000000"/>
        <rFont val="宋体"/>
        <charset val="134"/>
      </rPr>
      <t>目</t>
    </r>
    <r>
      <rPr>
        <sz val="14"/>
        <color rgb="FF000000"/>
        <rFont val="MS Gothic"/>
        <charset val="134"/>
      </rPr>
      <t>の</t>
    </r>
    <r>
      <rPr>
        <sz val="14"/>
        <color rgb="FF000000"/>
        <rFont val="宋体"/>
        <charset val="134"/>
      </rPr>
      <t>保護</t>
    </r>
  </si>
  <si>
    <r>
      <rPr>
        <sz val="14"/>
        <color rgb="FF000000"/>
        <rFont val="宋体"/>
        <charset val="134"/>
      </rPr>
      <t>邪眼守卫术〔保〕</t>
    </r>
    <r>
      <rPr>
        <sz val="14"/>
        <color rgb="FF000000"/>
        <rFont val="Resource Han Rounded CN Normal"/>
        <charset val="134"/>
      </rPr>
      <t xml:space="preserve">
Warding the Eye
</t>
    </r>
    <r>
      <rPr>
        <sz val="14"/>
        <color rgb="FF000000"/>
        <rFont val="宋体"/>
        <charset val="134"/>
      </rPr>
      <t>消耗：</t>
    </r>
    <r>
      <rPr>
        <sz val="14"/>
        <color rgb="FF000000"/>
        <rFont val="Resource Han Rounded CN Normal"/>
        <charset val="134"/>
      </rPr>
      <t>2</t>
    </r>
    <r>
      <rPr>
        <sz val="14"/>
        <color rgb="FF000000"/>
        <rFont val="宋体"/>
        <charset val="134"/>
      </rPr>
      <t>点魔法值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本法术可以保护一个人免受</t>
    </r>
    <r>
      <rPr>
        <sz val="14"/>
        <color rgb="FF000000"/>
        <rFont val="Resource Han Rounded CN Normal"/>
        <charset val="134"/>
      </rPr>
      <t>“</t>
    </r>
    <r>
      <rPr>
        <sz val="14"/>
        <color rgb="FF000000"/>
        <rFont val="宋体"/>
        <charset val="134"/>
      </rPr>
      <t>邪眼术</t>
    </r>
    <r>
      <rPr>
        <sz val="14"/>
        <color rgb="FF000000"/>
        <rFont val="Resource Han Rounded CN Normal"/>
        <charset val="134"/>
      </rPr>
      <t>”(P113)</t>
    </r>
    <r>
      <rPr>
        <sz val="14"/>
        <color rgb="FF000000"/>
        <rFont val="宋体"/>
        <charset val="134"/>
      </rPr>
      <t>的影响。施放本法术要进行许多复杂的手势，可以提前施放，也可以在邪眼术施放后立即施放。本法术和邪眼术一样在午夜终止。</t>
    </r>
    <r>
      <rPr>
        <sz val="14"/>
        <color rgb="FF000000"/>
        <rFont val="Resource Han Rounded CN Normal"/>
        <charset val="134"/>
      </rPr>
      <t xml:space="preserve">
</t>
    </r>
    <r>
      <rPr>
        <sz val="14"/>
        <color rgb="FF000000"/>
        <rFont val="宋体"/>
        <charset val="134"/>
      </rPr>
      <t>别名：蒙昧之眼、罗马尼</t>
    </r>
    <r>
      <rPr>
        <sz val="14"/>
        <color rgb="FF000000"/>
        <rFont val="Resource Han Rounded CN Normal"/>
        <charset val="134"/>
      </rPr>
      <t>(Ronanyii)</t>
    </r>
    <r>
      <rPr>
        <sz val="14"/>
        <color rgb="FF000000"/>
        <rFont val="宋体"/>
        <charset val="134"/>
      </rPr>
      <t>的祝福、吉斯里</t>
    </r>
    <r>
      <rPr>
        <sz val="14"/>
        <color rgb="FF000000"/>
        <rFont val="Resource Han Rounded CN Normal"/>
        <charset val="134"/>
      </rPr>
      <t>·</t>
    </r>
    <r>
      <rPr>
        <sz val="14"/>
        <color rgb="FF000000"/>
        <rFont val="宋体"/>
        <charset val="134"/>
      </rPr>
      <t>加马</t>
    </r>
    <r>
      <rPr>
        <sz val="14"/>
        <color rgb="FF000000"/>
        <rFont val="Resource Han Rounded CN Normal"/>
        <charset val="134"/>
      </rPr>
      <t>·</t>
    </r>
    <r>
      <rPr>
        <sz val="14"/>
        <color rgb="FF000000"/>
        <rFont val="宋体"/>
        <charset val="134"/>
      </rPr>
      <t>吉尔</t>
    </r>
    <r>
      <rPr>
        <sz val="14"/>
        <color rgb="FF000000"/>
        <rFont val="Resource Han Rounded CN Normal"/>
        <charset val="134"/>
      </rPr>
      <t>(GisliGamaDjill)</t>
    </r>
  </si>
  <si>
    <t>未来观测术〔时〕</t>
  </si>
  <si>
    <r>
      <rPr>
        <sz val="14"/>
        <color rgb="FF000000"/>
        <rFont val="宋体"/>
        <charset val="134"/>
      </rPr>
      <t>每名参与者</t>
    </r>
    <r>
      <rPr>
        <sz val="14"/>
        <color rgb="FF000000"/>
        <rFont val="Resource Han Rounded CN Normal"/>
        <charset val="134"/>
      </rPr>
      <t>5</t>
    </r>
    <r>
      <rPr>
        <sz val="14"/>
        <color rgb="FF000000"/>
        <rFont val="宋体"/>
        <charset val="134"/>
      </rPr>
      <t>点</t>
    </r>
    <r>
      <rPr>
        <sz val="14"/>
        <color rgb="FF000000"/>
        <rFont val="Resource Han Rounded CN Normal"/>
        <charset val="134"/>
      </rPr>
      <t>POW</t>
    </r>
    <r>
      <rPr>
        <sz val="14"/>
        <color rgb="FF000000"/>
        <rFont val="宋体"/>
        <charset val="134"/>
      </rPr>
      <t>；</t>
    </r>
    <r>
      <rPr>
        <sz val="14"/>
        <color rgb="FF000000"/>
        <rFont val="Resource Han Rounded CN Normal"/>
        <charset val="134"/>
      </rPr>
      <t>2D6</t>
    </r>
    <r>
      <rPr>
        <sz val="14"/>
        <color rgb="FF000000"/>
        <rFont val="宋体"/>
        <charset val="134"/>
      </rPr>
      <t>点理智值（仅施法者）</t>
    </r>
  </si>
  <si>
    <t>大胖女人的祝福、黑法老的鞭笞、愚者的钟摆</t>
  </si>
  <si>
    <t>CONJURE GLASS OF MORTLAN</t>
  </si>
  <si>
    <t>莫特兰玻璃幻术</t>
  </si>
  <si>
    <r>
      <rPr>
        <sz val="14"/>
        <color rgb="FF000000"/>
        <rFont val="MS Gothic"/>
        <charset val="134"/>
      </rPr>
      <t>モートランのガラスの</t>
    </r>
    <r>
      <rPr>
        <sz val="14"/>
        <color rgb="FF000000"/>
        <rFont val="宋体"/>
        <charset val="134"/>
      </rPr>
      <t>製造</t>
    </r>
  </si>
  <si>
    <r>
      <rPr>
        <sz val="14"/>
        <color rgb="FF000000"/>
        <rFont val="宋体"/>
        <charset val="134"/>
      </rPr>
      <t>莫特兰玻璃幻术〔时〕</t>
    </r>
    <r>
      <rPr>
        <sz val="14"/>
        <color rgb="FF000000"/>
        <rFont val="Resource Han Rounded CN Normal"/>
        <charset val="134"/>
      </rPr>
      <t xml:space="preserve">
Conjure Glass of Mortlan
</t>
    </r>
    <r>
      <rPr>
        <sz val="14"/>
        <color rgb="FF000000"/>
        <rFont val="宋体"/>
        <charset val="134"/>
      </rPr>
      <t>消耗：</t>
    </r>
    <r>
      <rPr>
        <sz val="14"/>
        <color rgb="FF000000"/>
        <rFont val="Resource Han Rounded CN Normal"/>
        <charset val="134"/>
      </rPr>
      <t>6</t>
    </r>
    <r>
      <rPr>
        <sz val="14"/>
        <color rgb="FF000000"/>
        <rFont val="宋体"/>
        <charset val="134"/>
      </rPr>
      <t>点魔法值；</t>
    </r>
    <r>
      <rPr>
        <sz val="14"/>
        <color rgb="FF000000"/>
        <rFont val="Resource Han Rounded CN Normal"/>
        <charset val="134"/>
      </rPr>
      <t>1D8</t>
    </r>
    <r>
      <rPr>
        <sz val="14"/>
        <color rgb="FF000000"/>
        <rFont val="宋体"/>
        <charset val="134"/>
      </rPr>
      <t>点理智值施法用时：</t>
    </r>
    <r>
      <rPr>
        <sz val="14"/>
        <color rgb="FF000000"/>
        <rFont val="Resource Han Rounded CN Normal"/>
        <charset val="134"/>
      </rPr>
      <t>10</t>
    </r>
    <r>
      <rPr>
        <sz val="14"/>
        <color rgb="FF000000"/>
        <rFont val="宋体"/>
        <charset val="134"/>
      </rPr>
      <t>分钟</t>
    </r>
    <r>
      <rPr>
        <sz val="14"/>
        <color rgb="FF000000"/>
        <rFont val="Resource Han Rounded CN Normal"/>
        <charset val="134"/>
      </rPr>
      <t xml:space="preserve">
</t>
    </r>
    <r>
      <rPr>
        <sz val="14"/>
        <color rgb="FF000000"/>
        <rFont val="宋体"/>
        <charset val="134"/>
      </rPr>
      <t>创建一个通路来观察过去的景物。消耗每名观察者</t>
    </r>
    <r>
      <rPr>
        <sz val="14"/>
        <color rgb="FF000000"/>
        <rFont val="Resource Han Rounded CN Normal"/>
        <charset val="134"/>
      </rPr>
      <t>1D6</t>
    </r>
    <r>
      <rPr>
        <sz val="14"/>
        <color rgb="FF000000"/>
        <rFont val="宋体"/>
        <charset val="134"/>
      </rPr>
      <t>点理智值，加上观察到的东西造成的理智损失。需要一个占卜装置，例如水晶球，还需要一个附魔的炭火盆。如果幻象没有受到某个旧日支配者的影响（影响概率</t>
    </r>
    <r>
      <rPr>
        <sz val="14"/>
        <color rgb="FF000000"/>
        <rFont val="Resource Han Rounded CN Normal"/>
        <charset val="134"/>
      </rPr>
      <t>20%</t>
    </r>
    <r>
      <rPr>
        <sz val="14"/>
        <color rgb="FF000000"/>
        <rFont val="宋体"/>
        <charset val="134"/>
      </rPr>
      <t>），施法者可以选择观察的景物，</t>
    </r>
    <r>
      <rPr>
        <sz val="14"/>
        <color rgb="FF000000"/>
        <rFont val="Resource Han Rounded CN Normal"/>
        <charset val="134"/>
      </rPr>
      <t>KP</t>
    </r>
    <r>
      <rPr>
        <sz val="14"/>
        <color rgb="FF000000"/>
        <rFont val="宋体"/>
        <charset val="134"/>
      </rPr>
      <t>可以自由描述。旧日支配者可以让幻象不按施法者的意愿显现，而变得和旧日支配者自己或一些造物相关。</t>
    </r>
    <r>
      <rPr>
        <sz val="14"/>
        <color rgb="FF000000"/>
        <rFont val="Resource Han Rounded CN Normal"/>
        <charset val="134"/>
      </rPr>
      <t xml:space="preserve">
</t>
    </r>
    <r>
      <rPr>
        <sz val="14"/>
        <color rgb="FF000000"/>
        <rFont val="宋体"/>
        <charset val="134"/>
      </rPr>
      <t>别名：旧物视影术、过去的影像</t>
    </r>
  </si>
  <si>
    <r>
      <rPr>
        <sz val="14"/>
        <color rgb="FF000000"/>
        <rFont val="宋体"/>
        <charset val="134"/>
      </rPr>
      <t>施法者失去</t>
    </r>
    <r>
      <rPr>
        <sz val="14"/>
        <color rgb="FF000000"/>
        <rFont val="Resource Han Rounded CN Normal"/>
        <charset val="134"/>
      </rPr>
      <t>ID6</t>
    </r>
    <r>
      <rPr>
        <sz val="14"/>
        <color rgb="FF000000"/>
        <rFont val="宋体"/>
        <charset val="134"/>
      </rPr>
      <t>理智点，至少有</t>
    </r>
    <r>
      <rPr>
        <sz val="14"/>
        <color rgb="FF000000"/>
        <rFont val="Resource Han Rounded CN Normal"/>
        <charset val="134"/>
      </rPr>
      <t>50%</t>
    </r>
    <r>
      <rPr>
        <sz val="14"/>
        <color rgb="FF000000"/>
        <rFont val="宋体"/>
        <charset val="134"/>
      </rPr>
      <t>的神秘学和</t>
    </r>
    <r>
      <rPr>
        <sz val="14"/>
        <color rgb="FF000000"/>
        <rFont val="Resource Han Rounded CN Normal"/>
        <charset val="134"/>
      </rPr>
      <t>50%</t>
    </r>
    <r>
      <rPr>
        <sz val="14"/>
        <color rgb="FF000000"/>
        <rFont val="宋体"/>
        <charset val="134"/>
      </rPr>
      <t>的克苏鲁神话技能，进行</t>
    </r>
    <r>
      <rPr>
        <sz val="14"/>
        <color rgb="FF000000"/>
        <rFont val="Resource Han Rounded CN Normal"/>
        <charset val="134"/>
      </rPr>
      <t>DEX</t>
    </r>
    <r>
      <rPr>
        <sz val="14"/>
        <color rgb="FF000000"/>
        <rFont val="宋体"/>
        <charset val="134"/>
      </rPr>
      <t>对抗</t>
    </r>
  </si>
  <si>
    <r>
      <rPr>
        <sz val="14"/>
        <color rgb="FF000000"/>
        <rFont val="宋体"/>
        <charset val="134"/>
      </rPr>
      <t>每一点智力可持续</t>
    </r>
    <r>
      <rPr>
        <sz val="14"/>
        <color rgb="FF000000"/>
        <rFont val="Resource Han Rounded CN Normal"/>
        <charset val="134"/>
      </rPr>
      <t>5</t>
    </r>
    <r>
      <rPr>
        <sz val="14"/>
        <color rgb="FF000000"/>
        <rFont val="宋体"/>
        <charset val="134"/>
      </rPr>
      <t>轮，若目标智力高于施法者则每</t>
    </r>
    <r>
      <rPr>
        <sz val="14"/>
        <color rgb="FF000000"/>
        <rFont val="Resource Han Rounded CN Normal"/>
        <charset val="134"/>
      </rPr>
      <t>10</t>
    </r>
    <r>
      <rPr>
        <sz val="14"/>
        <color rgb="FF000000"/>
        <rFont val="宋体"/>
        <charset val="134"/>
      </rPr>
      <t>轮进行一次</t>
    </r>
    <r>
      <rPr>
        <sz val="14"/>
        <color rgb="FF000000"/>
        <rFont val="Resource Han Rounded CN Normal"/>
        <charset val="134"/>
      </rPr>
      <t>POW</t>
    </r>
    <r>
      <rPr>
        <sz val="14"/>
        <color rgb="FF000000"/>
        <rFont val="宋体"/>
        <charset val="134"/>
      </rPr>
      <t>对抗</t>
    </r>
  </si>
  <si>
    <t>目标停止反抗并接受命令，身体动作技能减半，执行所有命令，包括自杀</t>
  </si>
  <si>
    <t>VIEW GATE</t>
  </si>
  <si>
    <t>时空门观察术</t>
  </si>
  <si>
    <r>
      <rPr>
        <sz val="14"/>
        <color rgb="FF000000"/>
        <rFont val="宋体"/>
        <charset val="134"/>
      </rPr>
      <t>門</t>
    </r>
    <r>
      <rPr>
        <sz val="14"/>
        <color rgb="FF000000"/>
        <rFont val="MS Gothic"/>
        <charset val="134"/>
      </rPr>
      <t>の</t>
    </r>
    <r>
      <rPr>
        <sz val="14"/>
        <color rgb="FF000000"/>
        <rFont val="宋体"/>
        <charset val="134"/>
      </rPr>
      <t>観察</t>
    </r>
  </si>
  <si>
    <r>
      <rPr>
        <sz val="14"/>
        <color rgb="FF000000"/>
        <rFont val="宋体"/>
        <charset val="134"/>
      </rPr>
      <t>时空门观察术〔他、旅〕</t>
    </r>
    <r>
      <rPr>
        <sz val="14"/>
        <color rgb="FF000000"/>
        <rFont val="Resource Han Rounded CN Normal"/>
        <charset val="134"/>
      </rPr>
      <t xml:space="preserve">
View Gate
</t>
    </r>
    <r>
      <rPr>
        <sz val="14"/>
        <color rgb="FF000000"/>
        <rFont val="宋体"/>
        <charset val="134"/>
      </rPr>
      <t>消耗：可变的魔法值和理智值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3</t>
    </r>
    <r>
      <rPr>
        <sz val="14"/>
        <color rgb="FF000000"/>
        <rFont val="宋体"/>
        <charset val="134"/>
      </rPr>
      <t>轮</t>
    </r>
    <r>
      <rPr>
        <sz val="14"/>
        <color rgb="FF000000"/>
        <rFont val="Resource Han Rounded CN Normal"/>
        <charset val="134"/>
      </rPr>
      <t xml:space="preserve">
</t>
    </r>
    <r>
      <rPr>
        <sz val="14"/>
        <color rgb="FF000000"/>
        <rFont val="宋体"/>
        <charset val="134"/>
      </rPr>
      <t>本法术在可疑的</t>
    </r>
    <r>
      <rPr>
        <sz val="14"/>
        <color rgb="FF000000"/>
        <rFont val="Resource Han Rounded CN Normal"/>
        <charset val="134"/>
      </rPr>
      <t>“</t>
    </r>
    <r>
      <rPr>
        <sz val="14"/>
        <color rgb="FF000000"/>
        <rFont val="宋体"/>
        <charset val="134"/>
      </rPr>
      <t>时空门</t>
    </r>
    <r>
      <rPr>
        <sz val="14"/>
        <color rgb="FF000000"/>
        <rFont val="Resource Han Rounded CN Normal"/>
        <charset val="134"/>
      </rPr>
      <t>”(P120)</t>
    </r>
    <r>
      <rPr>
        <sz val="14"/>
        <color rgb="FF000000"/>
        <rFont val="宋体"/>
        <charset val="134"/>
      </rPr>
      <t>处施放时，允许施法者不必通过时空门就知道时空门另一端有没有东西、有什么东西。观察时的消耗是可变的，等于时空门魔法值消耗的一半（向上取整）。所以</t>
    </r>
    <r>
      <rPr>
        <sz val="14"/>
        <color rgb="FF000000"/>
        <rFont val="Resource Han Rounded CN Normal"/>
        <charset val="134"/>
      </rPr>
      <t xml:space="preserve">
</t>
    </r>
    <r>
      <rPr>
        <sz val="14"/>
        <color rgb="FF000000"/>
        <rFont val="宋体"/>
        <charset val="134"/>
      </rPr>
      <t>一道需要</t>
    </r>
    <r>
      <rPr>
        <sz val="14"/>
        <color rgb="FF000000"/>
        <rFont val="Resource Han Rounded CN Normal"/>
        <charset val="134"/>
      </rPr>
      <t>8</t>
    </r>
    <r>
      <rPr>
        <sz val="14"/>
        <color rgb="FF000000"/>
        <rFont val="宋体"/>
        <charset val="134"/>
      </rPr>
      <t>点魔法值来通过的时空门，观察时需要</t>
    </r>
    <r>
      <rPr>
        <sz val="14"/>
        <color rgb="FF000000"/>
        <rFont val="Resource Han Rounded CN Normal"/>
        <charset val="134"/>
      </rPr>
      <t>4</t>
    </r>
    <r>
      <rPr>
        <sz val="14"/>
        <color rgb="FF000000"/>
        <rFont val="宋体"/>
        <charset val="134"/>
      </rPr>
      <t>点魔法值和</t>
    </r>
    <r>
      <rPr>
        <sz val="14"/>
        <color rgb="FF000000"/>
        <rFont val="Resource Han Rounded CN Normal"/>
        <charset val="134"/>
      </rPr>
      <t>4</t>
    </r>
    <r>
      <rPr>
        <sz val="14"/>
        <color rgb="FF000000"/>
        <rFont val="宋体"/>
        <charset val="134"/>
      </rPr>
      <t>点理智值。视野将维持</t>
    </r>
    <r>
      <rPr>
        <sz val="14"/>
        <color rgb="FF000000"/>
        <rFont val="Resource Han Rounded CN Normal"/>
        <charset val="134"/>
      </rPr>
      <t>1D6+1</t>
    </r>
    <r>
      <rPr>
        <sz val="14"/>
        <color rgb="FF000000"/>
        <rFont val="宋体"/>
        <charset val="134"/>
      </rPr>
      <t>轮。</t>
    </r>
    <r>
      <rPr>
        <sz val="14"/>
        <color rgb="FF000000"/>
        <rFont val="Resource Han Rounded CN Normal"/>
        <charset val="134"/>
      </rPr>
      <t xml:space="preserve">
</t>
    </r>
    <r>
      <rPr>
        <sz val="14"/>
        <color rgb="FF000000"/>
        <rFont val="宋体"/>
        <charset val="134"/>
      </rPr>
      <t>如果视野中有恐怖的东西，每位观察者都要付出额外的理智值作代价。观察者可以尝试合适的技能检定来了解他观察的是何地、何时、何物。</t>
    </r>
    <r>
      <rPr>
        <sz val="14"/>
        <color rgb="FF000000"/>
        <rFont val="Resource Han Rounded CN Normal"/>
        <charset val="134"/>
      </rPr>
      <t xml:space="preserve">
</t>
    </r>
    <r>
      <rPr>
        <sz val="14"/>
        <color rgb="FF000000"/>
        <rFont val="宋体"/>
        <charset val="134"/>
      </rPr>
      <t>别名：通过大门传送灵魂之眼、万千视界、命运的视野</t>
    </r>
  </si>
  <si>
    <t>无瑕投掷法〔民〕</t>
  </si>
  <si>
    <r>
      <rPr>
        <sz val="14"/>
        <color rgb="FF000000"/>
        <rFont val="Resource Han Rounded CN Normal"/>
        <charset val="134"/>
      </rPr>
      <t>5</t>
    </r>
    <r>
      <rPr>
        <sz val="14"/>
        <color rgb="FF000000"/>
        <rFont val="宋体"/>
        <charset val="134"/>
      </rPr>
      <t>点魔法值；</t>
    </r>
    <r>
      <rPr>
        <sz val="14"/>
        <color rgb="FF000000"/>
        <rFont val="Resource Han Rounded CN Normal"/>
        <charset val="134"/>
      </rPr>
      <t>2</t>
    </r>
    <r>
      <rPr>
        <sz val="14"/>
        <color rgb="FF000000"/>
        <rFont val="宋体"/>
        <charset val="134"/>
      </rPr>
      <t>点理智值</t>
    </r>
  </si>
  <si>
    <t>牛眼魔咒、巫师的抛掷</t>
  </si>
  <si>
    <t>FIND GATE</t>
  </si>
  <si>
    <t>时空门搜寻术</t>
  </si>
  <si>
    <r>
      <rPr>
        <sz val="14"/>
        <color rgb="FF000000"/>
        <rFont val="宋体"/>
        <charset val="134"/>
      </rPr>
      <t>門</t>
    </r>
    <r>
      <rPr>
        <sz val="14"/>
        <color rgb="FF000000"/>
        <rFont val="MS Gothic"/>
        <charset val="134"/>
      </rPr>
      <t>の</t>
    </r>
    <r>
      <rPr>
        <sz val="14"/>
        <color rgb="FF000000"/>
        <rFont val="宋体"/>
        <charset val="134"/>
      </rPr>
      <t>発見</t>
    </r>
  </si>
  <si>
    <r>
      <rPr>
        <sz val="14"/>
        <color rgb="FF000000"/>
        <rFont val="宋体"/>
        <charset val="134"/>
      </rPr>
      <t>时空门搜寻术〔他〕</t>
    </r>
    <r>
      <rPr>
        <sz val="14"/>
        <color rgb="FF000000"/>
        <rFont val="Resource Han Rounded CN Normal"/>
        <charset val="134"/>
      </rPr>
      <t xml:space="preserve">
Find Gate
</t>
    </r>
    <r>
      <rPr>
        <sz val="14"/>
        <color rgb="FF000000"/>
        <rFont val="宋体"/>
        <charset val="134"/>
      </rPr>
      <t>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1D3</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20~60</t>
    </r>
    <r>
      <rPr>
        <sz val="14"/>
        <color rgb="FF000000"/>
        <rFont val="宋体"/>
        <charset val="134"/>
      </rPr>
      <t>分钟</t>
    </r>
    <r>
      <rPr>
        <sz val="14"/>
        <color rgb="FF000000"/>
        <rFont val="Resource Han Rounded CN Normal"/>
        <charset val="134"/>
      </rPr>
      <t xml:space="preserve">
</t>
    </r>
    <r>
      <rPr>
        <sz val="14"/>
        <color rgb="FF000000"/>
        <rFont val="宋体"/>
        <charset val="134"/>
      </rPr>
      <t>本法术通过一系列的手势和特殊的歌唱，向施法者显示他直视视野内有无时空门的存在。本法术虽然能够定位时空门</t>
    </r>
    <r>
      <rPr>
        <sz val="14"/>
        <color rgb="FF000000"/>
        <rFont val="Resource Han Rounded CN Normal"/>
        <charset val="134"/>
      </rPr>
      <t>,</t>
    </r>
    <r>
      <rPr>
        <sz val="14"/>
        <color rgb="FF000000"/>
        <rFont val="宋体"/>
        <charset val="134"/>
      </rPr>
      <t>但不可以打开、关闭、创建或通过时空门。而且这种法术受限的形式也无法让施法者得知时空门穿越的是空间还是时间。</t>
    </r>
    <r>
      <rPr>
        <sz val="14"/>
        <color rgb="FF000000"/>
        <rFont val="Resource Han Rounded CN Normal"/>
        <charset val="134"/>
      </rPr>
      <t xml:space="preserve">
</t>
    </r>
    <r>
      <rPr>
        <sz val="14"/>
        <color rgb="FF000000"/>
        <rFont val="宋体"/>
        <charset val="134"/>
      </rPr>
      <t>别名</t>
    </r>
    <r>
      <rPr>
        <sz val="14"/>
        <color rgb="FF000000"/>
        <rFont val="Resource Han Rounded CN Normal"/>
        <charset val="134"/>
      </rPr>
      <t>:</t>
    </r>
    <r>
      <rPr>
        <sz val="14"/>
        <color rgb="FF000000"/>
        <rFont val="宋体"/>
        <charset val="134"/>
      </rPr>
      <t>寻找异地的入口、远行的视野、清道术</t>
    </r>
  </si>
  <si>
    <t>彼端之旅〔旅〕</t>
  </si>
  <si>
    <r>
      <rPr>
        <sz val="14"/>
        <color rgb="FF000000"/>
        <rFont val="Resource Han Rounded CN Normal"/>
        <charset val="134"/>
      </rPr>
      <t>15</t>
    </r>
    <r>
      <rPr>
        <sz val="14"/>
        <color rgb="FF000000"/>
        <rFont val="宋体"/>
        <charset val="134"/>
      </rPr>
      <t>点魔法值；</t>
    </r>
    <r>
      <rPr>
        <sz val="14"/>
        <color rgb="FF000000"/>
        <rFont val="Resource Han Rounded CN Normal"/>
        <charset val="134"/>
      </rPr>
      <t>1</t>
    </r>
    <r>
      <rPr>
        <sz val="14"/>
        <color rgb="FF000000"/>
        <rFont val="宋体"/>
        <charset val="134"/>
      </rPr>
      <t>点理智值</t>
    </r>
  </si>
  <si>
    <t>链接灵魂到远方、精神传送术、大旅行术</t>
  </si>
  <si>
    <t>CAUSE DISEASE</t>
  </si>
  <si>
    <t>致病术</t>
  </si>
  <si>
    <r>
      <rPr>
        <sz val="14"/>
        <color rgb="FF000000"/>
        <rFont val="宋体"/>
        <charset val="134"/>
      </rPr>
      <t>病</t>
    </r>
    <r>
      <rPr>
        <sz val="14"/>
        <color rgb="FF000000"/>
        <rFont val="MS Gothic"/>
        <charset val="134"/>
      </rPr>
      <t>をもたらす</t>
    </r>
  </si>
  <si>
    <r>
      <rPr>
        <sz val="14"/>
        <color rgb="FF000000"/>
        <rFont val="宋体"/>
        <charset val="134"/>
      </rPr>
      <t>致病术〔害〕</t>
    </r>
    <r>
      <rPr>
        <sz val="14"/>
        <color rgb="FF000000"/>
        <rFont val="Resource Han Rounded CN Normal"/>
        <charset val="134"/>
      </rPr>
      <t xml:space="preserve">
Cause Disease
</t>
    </r>
    <r>
      <rPr>
        <sz val="14"/>
        <color rgb="FF000000"/>
        <rFont val="宋体"/>
        <charset val="134"/>
      </rPr>
      <t>消耗：</t>
    </r>
    <r>
      <rPr>
        <sz val="14"/>
        <color rgb="FF000000"/>
        <rFont val="Resource Han Rounded CN Normal"/>
        <charset val="134"/>
      </rPr>
      <t>8+</t>
    </r>
    <r>
      <rPr>
        <sz val="14"/>
        <color rgb="FF000000"/>
        <rFont val="宋体"/>
        <charset val="134"/>
      </rPr>
      <t>点魔法值；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轮</t>
    </r>
    <r>
      <rPr>
        <sz val="14"/>
        <color rgb="FF000000"/>
        <rFont val="Resource Han Rounded CN Normal"/>
        <charset val="134"/>
      </rPr>
      <t xml:space="preserve">
</t>
    </r>
    <r>
      <rPr>
        <sz val="14"/>
        <color rgb="FF000000"/>
        <rFont val="宋体"/>
        <charset val="134"/>
      </rPr>
      <t>本法术用发热的疾病折磨目标，症状酷似霍乱、疟疾或者肺炎等。施法者须和目标进行一次</t>
    </r>
    <r>
      <rPr>
        <sz val="14"/>
        <color rgb="FF000000"/>
        <rFont val="Resource Han Rounded CN Normal"/>
        <charset val="134"/>
      </rPr>
      <t>POW</t>
    </r>
    <r>
      <rPr>
        <sz val="14"/>
        <color rgb="FF000000"/>
        <rFont val="宋体"/>
        <charset val="134"/>
      </rPr>
      <t>对抗检定并胜出，法术才能生效。若目标胜出，法术无效。</t>
    </r>
    <r>
      <rPr>
        <sz val="14"/>
        <color rgb="FF000000"/>
        <rFont val="Resource Han Rounded CN Normal"/>
        <charset val="134"/>
      </rPr>
      <t xml:space="preserve">
</t>
    </r>
    <r>
      <rPr>
        <sz val="14"/>
        <color rgb="FF000000"/>
        <rFont val="宋体"/>
        <charset val="134"/>
      </rPr>
      <t>若施法者胜出，高热、恶心、呕吐、脱水和意识模糊等症状将接踵而至。施法者每在法术中投入</t>
    </r>
    <r>
      <rPr>
        <sz val="14"/>
        <color rgb="FF000000"/>
        <rFont val="Resource Han Rounded CN Normal"/>
        <charset val="134"/>
      </rPr>
      <t>1</t>
    </r>
    <r>
      <rPr>
        <sz val="14"/>
        <color rgb="FF000000"/>
        <rFont val="宋体"/>
        <charset val="134"/>
      </rPr>
      <t>点魔法值，目标就要丧失</t>
    </r>
    <r>
      <rPr>
        <sz val="14"/>
        <color rgb="FF000000"/>
        <rFont val="Resource Han Rounded CN Normal"/>
        <charset val="134"/>
      </rPr>
      <t>1D6</t>
    </r>
    <r>
      <rPr>
        <sz val="14"/>
        <color rgb="FF000000"/>
        <rFont val="宋体"/>
        <charset val="134"/>
      </rPr>
      <t>点</t>
    </r>
    <r>
      <rPr>
        <sz val="14"/>
        <color rgb="FF000000"/>
        <rFont val="Resource Han Rounded CN Normal"/>
        <charset val="134"/>
      </rPr>
      <t>STR</t>
    </r>
    <r>
      <rPr>
        <sz val="14"/>
        <color rgb="FF000000"/>
        <rFont val="宋体"/>
        <charset val="134"/>
      </rPr>
      <t>、</t>
    </r>
    <r>
      <rPr>
        <sz val="14"/>
        <color rgb="FF000000"/>
        <rFont val="Resource Han Rounded CN Normal"/>
        <charset val="134"/>
      </rPr>
      <t>CON</t>
    </r>
    <r>
      <rPr>
        <sz val="14"/>
        <color rgb="FF000000"/>
        <rFont val="宋体"/>
        <charset val="134"/>
      </rPr>
      <t>和</t>
    </r>
    <r>
      <rPr>
        <sz val="14"/>
        <color rgb="FF000000"/>
        <rFont val="Resource Han Rounded CN Normal"/>
        <charset val="134"/>
      </rPr>
      <t>DEX</t>
    </r>
    <r>
      <rPr>
        <sz val="14"/>
        <color rgb="FF000000"/>
        <rFont val="宋体"/>
        <charset val="134"/>
      </rPr>
      <t>（每种属性单独掷骰）。若目标存活，他可以自然恢复这些属性。如果任一项属性们目标就死亡。</t>
    </r>
    <r>
      <rPr>
        <sz val="14"/>
        <color rgb="FF000000"/>
        <rFont val="Resource Han Rounded CN Normal"/>
        <charset val="134"/>
      </rPr>
      <t xml:space="preserve">
</t>
    </r>
    <r>
      <rPr>
        <sz val="14"/>
        <color rgb="FF000000"/>
        <rFont val="宋体"/>
        <charset val="134"/>
      </rPr>
      <t>要施放本法术，施法者必须获取目标的一些私人物品</t>
    </r>
    <r>
      <rPr>
        <sz val="14"/>
        <color rgb="FF000000"/>
        <rFont val="Resource Han Rounded CN Normal"/>
        <charset val="134"/>
      </rPr>
      <t>,</t>
    </r>
    <r>
      <rPr>
        <sz val="14"/>
        <color rgb="FF000000"/>
        <rFont val="宋体"/>
        <charset val="134"/>
      </rPr>
      <t>尤其是目标的嘴接触过的东西。这些物品要和有毒植物的碎片一起埋在一个深坑里。坑要填满</t>
    </r>
    <r>
      <rPr>
        <sz val="14"/>
        <color rgb="FF000000"/>
        <rFont val="Resource Han Rounded CN Normal"/>
        <charset val="134"/>
      </rPr>
      <t>,</t>
    </r>
    <r>
      <rPr>
        <sz val="14"/>
        <color rgb="FF000000"/>
        <rFont val="宋体"/>
        <charset val="134"/>
      </rPr>
      <t>最上面还要盖上一块特别雕刻的石头。接下来吟唱一段简短的咒语</t>
    </r>
    <r>
      <rPr>
        <sz val="14"/>
        <color rgb="FF000000"/>
        <rFont val="Resource Han Rounded CN Normal"/>
        <charset val="134"/>
      </rPr>
      <t>,</t>
    </r>
    <r>
      <rPr>
        <sz val="14"/>
        <color rgb="FF000000"/>
        <rFont val="宋体"/>
        <charset val="134"/>
      </rPr>
      <t>法术就施放完毕了。</t>
    </r>
    <r>
      <rPr>
        <sz val="14"/>
        <color rgb="FF000000"/>
        <rFont val="Resource Han Rounded CN Normal"/>
        <charset val="134"/>
      </rPr>
      <t xml:space="preserve">
</t>
    </r>
    <r>
      <rPr>
        <sz val="14"/>
        <color rgb="FF000000"/>
        <rFont val="宋体"/>
        <charset val="134"/>
      </rPr>
      <t>目标若想保持清醒，似乎唯一的方法就是卧床休息。只有治疗类的魔法才有实际效果。找到被埋的东西并把它和有毒植物一起烧光可以令法术终止，否则法术将正常生效。</t>
    </r>
    <r>
      <rPr>
        <sz val="14"/>
        <color rgb="FF000000"/>
        <rFont val="Resource Han Rounded CN Normal"/>
        <charset val="134"/>
      </rPr>
      <t xml:space="preserve">
</t>
    </r>
    <r>
      <rPr>
        <sz val="14"/>
        <color rgb="FF000000"/>
        <rFont val="宋体"/>
        <charset val="134"/>
      </rPr>
      <t>别名</t>
    </r>
    <r>
      <rPr>
        <sz val="14"/>
        <color rgb="FF000000"/>
        <rFont val="Resource Han Rounded CN Normal"/>
        <charset val="134"/>
      </rPr>
      <t>:</t>
    </r>
    <r>
      <rPr>
        <sz val="14"/>
        <color rgb="FF000000"/>
        <rFont val="宋体"/>
        <charset val="134"/>
      </rPr>
      <t>祖拉</t>
    </r>
    <r>
      <rPr>
        <sz val="14"/>
        <color rgb="FF000000"/>
        <rFont val="Resource Han Rounded CN Normal"/>
        <charset val="134"/>
      </rPr>
      <t>(Zura)</t>
    </r>
    <r>
      <rPr>
        <sz val="14"/>
        <color rgb="FF000000"/>
        <rFont val="宋体"/>
        <charset val="134"/>
      </rPr>
      <t>的恩赐、不幸体液干枯术、紫黑疹</t>
    </r>
  </si>
  <si>
    <t>不可名状的诺言〔召、他〕</t>
  </si>
  <si>
    <r>
      <rPr>
        <sz val="14"/>
        <color rgb="FF000000"/>
        <rFont val="Resource Han Rounded CN Normal"/>
        <charset val="134"/>
      </rPr>
      <t>2D8</t>
    </r>
    <r>
      <rPr>
        <sz val="14"/>
        <color rgb="FF000000"/>
        <rFont val="宋体"/>
        <charset val="134"/>
      </rPr>
      <t>点理智值</t>
    </r>
  </si>
  <si>
    <r>
      <rPr>
        <sz val="14"/>
        <color rgb="FF000000"/>
        <rFont val="宋体"/>
        <charset val="134"/>
      </rPr>
      <t>失去的每点理智值</t>
    </r>
    <r>
      <rPr>
        <sz val="14"/>
        <color rgb="FF000000"/>
        <rFont val="Resource Han Rounded CN Normal"/>
        <charset val="134"/>
      </rPr>
      <t>1</t>
    </r>
    <r>
      <rPr>
        <sz val="14"/>
        <color rgb="FF000000"/>
        <rFont val="宋体"/>
        <charset val="134"/>
      </rPr>
      <t>小时</t>
    </r>
  </si>
  <si>
    <t>黄之礼物、对不可直呼其名者的不可打破的誓言</t>
  </si>
  <si>
    <t>SPECTRAL RAZOR</t>
  </si>
  <si>
    <t>灵体剃刀术</t>
  </si>
  <si>
    <r>
      <rPr>
        <sz val="14"/>
        <color rgb="FF000000"/>
        <rFont val="宋体"/>
        <charset val="134"/>
      </rPr>
      <t>幽体</t>
    </r>
    <r>
      <rPr>
        <sz val="14"/>
        <color rgb="FF000000"/>
        <rFont val="MS Gothic"/>
        <charset val="134"/>
      </rPr>
      <t>の</t>
    </r>
    <r>
      <rPr>
        <sz val="14"/>
        <color rgb="FF000000"/>
        <rFont val="宋体"/>
        <charset val="134"/>
      </rPr>
      <t>剃刀</t>
    </r>
  </si>
  <si>
    <r>
      <rPr>
        <sz val="14"/>
        <color rgb="FF000000"/>
        <rFont val="宋体"/>
        <charset val="134"/>
      </rPr>
      <t>灵体剃刀术〔战〕</t>
    </r>
    <r>
      <rPr>
        <sz val="14"/>
        <color rgb="FF000000"/>
        <rFont val="Resource Han Rounded CN Normal"/>
        <charset val="134"/>
      </rPr>
      <t xml:space="preserve">
Spectral Razor
</t>
    </r>
    <r>
      <rPr>
        <sz val="14"/>
        <color rgb="FF000000"/>
        <rFont val="宋体"/>
        <charset val="134"/>
      </rPr>
      <t>消耗：可变的魔法值；</t>
    </r>
    <r>
      <rPr>
        <sz val="14"/>
        <color rgb="FF000000"/>
        <rFont val="Resource Han Rounded CN Normal"/>
        <charset val="134"/>
      </rPr>
      <t>2</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创造一把无形刀刃，可以用做攻击武器。本法术维持效果需要每轮消耗</t>
    </r>
    <r>
      <rPr>
        <sz val="14"/>
        <color rgb="FF000000"/>
        <rFont val="Resource Han Rounded CN Normal"/>
        <charset val="134"/>
      </rPr>
      <t>2</t>
    </r>
    <r>
      <rPr>
        <sz val="14"/>
        <color rgb="FF000000"/>
        <rFont val="宋体"/>
        <charset val="134"/>
      </rPr>
      <t>点魔法值。这把无形的刀使用「格斗（斗殴）」技能，就如同他们手上拿着真刀一样（亦即，施法者用</t>
    </r>
    <r>
      <rPr>
        <sz val="14"/>
        <color rgb="FF000000"/>
        <rFont val="Resource Han Rounded CN Normal"/>
        <charset val="134"/>
      </rPr>
      <t>“</t>
    </r>
    <r>
      <rPr>
        <sz val="14"/>
        <color rgb="FF000000"/>
        <rFont val="宋体"/>
        <charset val="134"/>
      </rPr>
      <t>拿着</t>
    </r>
    <r>
      <rPr>
        <sz val="14"/>
        <color rgb="FF000000"/>
        <rFont val="Resource Han Rounded CN Normal"/>
        <charset val="134"/>
      </rPr>
      <t>”</t>
    </r>
    <r>
      <rPr>
        <sz val="14"/>
        <color rgb="FF000000"/>
        <rFont val="宋体"/>
        <charset val="134"/>
      </rPr>
      <t>无形刀刃的手做出切割、戳刺的动作）。这把魔法刀攻击成功则造成</t>
    </r>
    <r>
      <rPr>
        <sz val="14"/>
        <color rgb="FF000000"/>
        <rFont val="Resource Han Rounded CN Normal"/>
        <charset val="134"/>
      </rPr>
      <t>1D6</t>
    </r>
    <r>
      <rPr>
        <sz val="14"/>
        <color rgb="FF000000"/>
        <rFont val="宋体"/>
        <charset val="134"/>
      </rPr>
      <t>点伤害，可以贯穿（但没有伤害加值），并且对只能用魔法攻击的生物也能造成伤害。这把灵体武器不会留在受害者的身体里。</t>
    </r>
    <r>
      <rPr>
        <sz val="14"/>
        <color rgb="FF000000"/>
        <rFont val="Resource Han Rounded CN Normal"/>
        <charset val="134"/>
      </rPr>
      <t xml:space="preserve">
</t>
    </r>
    <r>
      <rPr>
        <sz val="14"/>
        <color rgb="FF000000"/>
        <rFont val="宋体"/>
        <charset val="134"/>
      </rPr>
      <t>若施法者在使用灵体剃刀的时候陷入疯狂，则这件武器会自己活起来，迅速从施法者的手中飞出并开始在附近乱飞，随机攻击周围的人。此时「闪避」刀刃的检定有一颗惩罚骰；若闪避不成功，刀刃会自动击中目标。武器会继续这样行动</t>
    </r>
    <r>
      <rPr>
        <sz val="14"/>
        <color rgb="FF000000"/>
        <rFont val="Resource Han Rounded CN Normal"/>
        <charset val="134"/>
      </rPr>
      <t>1D4+1</t>
    </r>
    <r>
      <rPr>
        <sz val="14"/>
        <color rgb="FF000000"/>
        <rFont val="宋体"/>
        <charset val="134"/>
      </rPr>
      <t>轮，然后消失。</t>
    </r>
    <r>
      <rPr>
        <sz val="14"/>
        <color rgb="FF000000"/>
        <rFont val="Resource Han Rounded CN Normal"/>
        <charset val="134"/>
      </rPr>
      <t xml:space="preserve">
</t>
    </r>
    <r>
      <rPr>
        <sz val="14"/>
        <color rgb="FF000000"/>
        <rFont val="宋体"/>
        <charset val="134"/>
      </rPr>
      <t>深层魔法：一种变体能让施法者将灵体剃刀当作远程武器使用；它的攻击范围是施法者</t>
    </r>
    <r>
      <rPr>
        <sz val="14"/>
        <color rgb="FF000000"/>
        <rFont val="Resource Han Rounded CN Normal"/>
        <charset val="134"/>
      </rPr>
      <t>POW</t>
    </r>
    <r>
      <rPr>
        <sz val="14"/>
        <color rgb="FF000000"/>
        <rFont val="宋体"/>
        <charset val="134"/>
      </rPr>
      <t>一半的码数。目标必须在视野范围内。若目标潜伏在障碍物或掩体后面，则伤害会作用在中间的物体上，直到</t>
    </r>
    <r>
      <rPr>
        <sz val="14"/>
        <color rgb="FF000000"/>
        <rFont val="Resource Han Rounded CN Normal"/>
        <charset val="134"/>
      </rPr>
      <t>KP</t>
    </r>
    <r>
      <rPr>
        <sz val="14"/>
        <color rgb="FF000000"/>
        <rFont val="宋体"/>
        <charset val="134"/>
      </rPr>
      <t>断定伤害足够让目标可见并暴露。</t>
    </r>
    <r>
      <rPr>
        <sz val="14"/>
        <color rgb="FF000000"/>
        <rFont val="Resource Han Rounded CN Normal"/>
        <charset val="134"/>
      </rPr>
      <t xml:space="preserve">
</t>
    </r>
    <r>
      <rPr>
        <sz val="14"/>
        <color rgb="FF000000"/>
        <rFont val="宋体"/>
        <charset val="134"/>
      </rPr>
      <t>别名：剃刀的挠痒、切割之手、切片之歌、裂骨飘筋术</t>
    </r>
  </si>
  <si>
    <t>邪眼守卫术〔保〕</t>
  </si>
  <si>
    <r>
      <rPr>
        <sz val="14"/>
        <color rgb="FF000000"/>
        <rFont val="宋体"/>
        <charset val="134"/>
      </rPr>
      <t>蒙昧之眼、罗马尼</t>
    </r>
    <r>
      <rPr>
        <sz val="14"/>
        <color rgb="FF000000"/>
        <rFont val="Resource Han Rounded CN Normal"/>
        <charset val="134"/>
      </rPr>
      <t>(Ronanyii)</t>
    </r>
    <r>
      <rPr>
        <sz val="14"/>
        <color rgb="FF000000"/>
        <rFont val="宋体"/>
        <charset val="134"/>
      </rPr>
      <t>的祝福、吉斯里</t>
    </r>
    <r>
      <rPr>
        <sz val="14"/>
        <color rgb="FF000000"/>
        <rFont val="Resource Han Rounded CN Normal"/>
        <charset val="134"/>
      </rPr>
      <t>·</t>
    </r>
    <r>
      <rPr>
        <sz val="14"/>
        <color rgb="FF000000"/>
        <rFont val="宋体"/>
        <charset val="134"/>
      </rPr>
      <t>加马</t>
    </r>
    <r>
      <rPr>
        <sz val="14"/>
        <color rgb="FF000000"/>
        <rFont val="Resource Han Rounded CN Normal"/>
        <charset val="134"/>
      </rPr>
      <t>·</t>
    </r>
    <r>
      <rPr>
        <sz val="14"/>
        <color rgb="FF000000"/>
        <rFont val="宋体"/>
        <charset val="134"/>
      </rPr>
      <t>吉尔</t>
    </r>
    <r>
      <rPr>
        <sz val="14"/>
        <color rgb="FF000000"/>
        <rFont val="Resource Han Rounded CN Normal"/>
        <charset val="134"/>
      </rPr>
      <t>(GisliGamaDjill)</t>
    </r>
  </si>
  <si>
    <t>DREAM VISION</t>
  </si>
  <si>
    <t>梦境幻象术</t>
  </si>
  <si>
    <r>
      <rPr>
        <sz val="14"/>
        <color rgb="FF000000"/>
        <rFont val="宋体"/>
        <charset val="134"/>
      </rPr>
      <t>夢</t>
    </r>
    <r>
      <rPr>
        <sz val="14"/>
        <color rgb="FF000000"/>
        <rFont val="MS Gothic"/>
        <charset val="134"/>
      </rPr>
      <t>の</t>
    </r>
    <r>
      <rPr>
        <sz val="14"/>
        <color rgb="FF000000"/>
        <rFont val="宋体"/>
        <charset val="134"/>
      </rPr>
      <t>映像</t>
    </r>
  </si>
  <si>
    <r>
      <rPr>
        <sz val="14"/>
        <color rgb="FF000000"/>
        <rFont val="宋体"/>
        <charset val="134"/>
      </rPr>
      <t>梦境幻象术〔时〕</t>
    </r>
    <r>
      <rPr>
        <sz val="14"/>
        <color rgb="FF000000"/>
        <rFont val="Resource Han Rounded CN Normal"/>
        <charset val="134"/>
      </rPr>
      <t xml:space="preserve">
Dream Vision
</t>
    </r>
    <r>
      <rPr>
        <sz val="14"/>
        <color rgb="FF000000"/>
        <rFont val="宋体"/>
        <charset val="134"/>
      </rPr>
      <t>消耗：</t>
    </r>
    <r>
      <rPr>
        <sz val="14"/>
        <color rgb="FF000000"/>
        <rFont val="Resource Han Rounded CN Normal"/>
        <charset val="134"/>
      </rPr>
      <t>3</t>
    </r>
    <r>
      <rPr>
        <sz val="14"/>
        <color rgb="FF000000"/>
        <rFont val="宋体"/>
        <charset val="134"/>
      </rPr>
      <t>点魔法值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t>
    </r>
    <r>
      <rPr>
        <sz val="14"/>
        <color rgb="FF000000"/>
        <rFont val="宋体"/>
        <charset val="134"/>
      </rPr>
      <t>小时</t>
    </r>
    <r>
      <rPr>
        <sz val="14"/>
        <color rgb="FF000000"/>
        <rFont val="Resource Han Rounded CN Normal"/>
        <charset val="134"/>
      </rPr>
      <t xml:space="preserve">
</t>
    </r>
    <r>
      <rPr>
        <sz val="14"/>
        <color rgb="FF000000"/>
        <rFont val="宋体"/>
        <charset val="134"/>
      </rPr>
      <t>本法术可以产生梦境或梦魇，预示未来。巫师可以对自己施放，也可以对选定的目标施放（目标必须在巫师视野范围之内）。本法术施放时可能会服用一些明显有致幻效果的植物或化合物。梦境通常十分生动，但是相关的信息通常在本质和想象上都隐晦而充满比喻</t>
    </r>
    <r>
      <rPr>
        <sz val="14"/>
        <color rgb="FF000000"/>
        <rFont val="Resource Han Rounded CN Normal"/>
        <charset val="134"/>
      </rPr>
      <t>——</t>
    </r>
    <r>
      <rPr>
        <sz val="14"/>
        <color rgb="FF000000"/>
        <rFont val="宋体"/>
        <charset val="134"/>
      </rPr>
      <t>根据梦境内容的不同，也可能消耗理智值。</t>
    </r>
    <r>
      <rPr>
        <sz val="14"/>
        <color rgb="FF000000"/>
        <rFont val="Resource Han Rounded CN Normal"/>
        <charset val="134"/>
      </rPr>
      <t xml:space="preserve">
</t>
    </r>
    <r>
      <rPr>
        <sz val="14"/>
        <color rgb="FF000000"/>
        <rFont val="宋体"/>
        <charset val="134"/>
      </rPr>
      <t>别名：可视睡眠、愚者的沉睡、在梦魇到来的门前占卜</t>
    </r>
  </si>
  <si>
    <t>莫特兰玻璃幻术〔时〕</t>
  </si>
  <si>
    <r>
      <rPr>
        <sz val="14"/>
        <color rgb="FF000000"/>
        <rFont val="Resource Han Rounded CN Normal"/>
        <charset val="134"/>
      </rPr>
      <t>6</t>
    </r>
    <r>
      <rPr>
        <sz val="14"/>
        <color rgb="FF000000"/>
        <rFont val="宋体"/>
        <charset val="134"/>
      </rPr>
      <t>点魔法值；</t>
    </r>
    <r>
      <rPr>
        <sz val="14"/>
        <color rgb="FF000000"/>
        <rFont val="Resource Han Rounded CN Normal"/>
        <charset val="134"/>
      </rPr>
      <t>1D8</t>
    </r>
    <r>
      <rPr>
        <sz val="14"/>
        <color rgb="FF000000"/>
        <rFont val="宋体"/>
        <charset val="134"/>
      </rPr>
      <t>点理智值</t>
    </r>
  </si>
  <si>
    <t>旧物视影术、过去的影像</t>
  </si>
  <si>
    <t>BREW DREAM DRUG</t>
  </si>
  <si>
    <t>入梦之药酿造术</t>
  </si>
  <si>
    <r>
      <rPr>
        <sz val="14"/>
        <color rgb="FF000000"/>
        <rFont val="宋体"/>
        <charset val="134"/>
      </rPr>
      <t>夢</t>
    </r>
    <r>
      <rPr>
        <sz val="14"/>
        <color rgb="FF000000"/>
        <rFont val="MS Gothic"/>
        <charset val="134"/>
      </rPr>
      <t>の</t>
    </r>
    <r>
      <rPr>
        <sz val="14"/>
        <color rgb="FF000000"/>
        <rFont val="宋体"/>
        <charset val="134"/>
      </rPr>
      <t>薬</t>
    </r>
    <r>
      <rPr>
        <sz val="14"/>
        <color rgb="FF000000"/>
        <rFont val="MS Gothic"/>
        <charset val="134"/>
      </rPr>
      <t>の</t>
    </r>
    <r>
      <rPr>
        <sz val="14"/>
        <color rgb="FF000000"/>
        <rFont val="宋体"/>
        <charset val="134"/>
      </rPr>
      <t>製去</t>
    </r>
  </si>
  <si>
    <r>
      <rPr>
        <sz val="14"/>
        <color rgb="FF000000"/>
        <rFont val="宋体"/>
        <charset val="134"/>
      </rPr>
      <t>入梦之药酿造术</t>
    </r>
    <r>
      <rPr>
        <sz val="14"/>
        <color rgb="FF000000"/>
        <rFont val="Resource Han Rounded CN Normal"/>
        <charset val="134"/>
      </rPr>
      <t xml:space="preserve">
Brew Dream Drug
</t>
    </r>
    <r>
      <rPr>
        <sz val="14"/>
        <color rgb="FF000000"/>
        <rFont val="宋体"/>
        <charset val="134"/>
      </rPr>
      <t>消耗：</t>
    </r>
    <r>
      <rPr>
        <sz val="14"/>
        <color rgb="FF000000"/>
        <rFont val="Resource Han Rounded CN Normal"/>
        <charset val="134"/>
      </rPr>
      <t>4</t>
    </r>
    <r>
      <rPr>
        <sz val="14"/>
        <color rgb="FF000000"/>
        <rFont val="宋体"/>
        <charset val="134"/>
      </rPr>
      <t>点魔法值（每多一剂加</t>
    </r>
    <r>
      <rPr>
        <sz val="14"/>
        <color rgb="FF000000"/>
        <rFont val="Resource Han Rounded CN Normal"/>
        <charset val="134"/>
      </rPr>
      <t>1</t>
    </r>
    <r>
      <rPr>
        <sz val="14"/>
        <color rgb="FF000000"/>
        <rFont val="宋体"/>
        <charset val="134"/>
      </rPr>
      <t>点）；酿造需要</t>
    </r>
    <r>
      <rPr>
        <sz val="14"/>
        <color rgb="FF000000"/>
        <rFont val="Resource Han Rounded CN Normal"/>
        <charset val="134"/>
      </rPr>
      <t>2</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5+</t>
    </r>
    <r>
      <rPr>
        <sz val="14"/>
        <color rgb="FF000000"/>
        <rFont val="宋体"/>
        <charset val="134"/>
      </rPr>
      <t>小时</t>
    </r>
    <r>
      <rPr>
        <sz val="14"/>
        <color rgb="FF000000"/>
        <rFont val="Resource Han Rounded CN Normal"/>
        <charset val="134"/>
      </rPr>
      <t xml:space="preserve">
</t>
    </r>
    <r>
      <rPr>
        <sz val="14"/>
        <color rgb="FF000000"/>
        <rFont val="宋体"/>
        <charset val="134"/>
      </rPr>
      <t>制造一种能方便一人或多人进入梦境世界的药剂。喝下一剂的人将很快睡着，持续约一小时。对梦境时间的主观感受可长可短（短则数日长则数年），对梦境的记忆可能是歪曲的。所有喝了同一药剂的人会发现他们都在相同的梦里。通过对原料来源和成分比例的调整，施法者可以将梦境的入口引导到清醒世界的特定区域，比如某个城市，或者其他维度的某个特殊地点。地点可以包括幻梦境和特别的独立的梦境现实。</t>
    </r>
    <r>
      <rPr>
        <sz val="14"/>
        <color rgb="FF000000"/>
        <rFont val="Resource Han Rounded CN Normal"/>
        <charset val="134"/>
      </rPr>
      <t xml:space="preserve">
</t>
    </r>
    <r>
      <rPr>
        <sz val="14"/>
        <color rgb="FF000000"/>
        <rFont val="宋体"/>
        <charset val="134"/>
      </rPr>
      <t>施法以及混合药剂约需五个小时。大多数原料都相当容易获得（药草），也有些需要点挑战（</t>
    </r>
    <r>
      <rPr>
        <sz val="14"/>
        <color rgb="FF000000"/>
        <rFont val="Resource Han Rounded CN Normal"/>
        <charset val="134"/>
      </rPr>
      <t>KP</t>
    </r>
    <r>
      <rPr>
        <sz val="14"/>
        <color rgb="FF000000"/>
        <rFont val="宋体"/>
        <charset val="134"/>
      </rPr>
      <t>自由裁定）。有很多种不同的配方，但所有配方当中都有一种共同的原料：</t>
    </r>
    <r>
      <rPr>
        <sz val="14"/>
        <color rgb="FF000000"/>
        <rFont val="Resource Han Rounded CN Normal"/>
        <charset val="134"/>
      </rPr>
      <t>1</t>
    </r>
    <r>
      <rPr>
        <sz val="14"/>
        <color rgb="FF000000"/>
        <rFont val="宋体"/>
        <charset val="134"/>
      </rPr>
      <t>盎司黄金。酿造结果是有甜味的淡棕色液体。它有轻微的催眠效果，可以让饮用者放松并导向梦境之中。第一剂之后每额外制造一剂需要多消耗一点魔法值</t>
    </r>
    <r>
      <rPr>
        <sz val="14"/>
        <color rgb="FF000000"/>
        <rFont val="Resource Han Rounded CN Normal"/>
        <charset val="134"/>
      </rPr>
      <t>——</t>
    </r>
    <r>
      <rPr>
        <sz val="14"/>
        <color rgb="FF000000"/>
        <rFont val="宋体"/>
        <charset val="134"/>
      </rPr>
      <t>例如，制造五剂需要总计</t>
    </r>
    <r>
      <rPr>
        <sz val="14"/>
        <color rgb="FF000000"/>
        <rFont val="Resource Han Rounded CN Normal"/>
        <charset val="134"/>
      </rPr>
      <t>8</t>
    </r>
    <r>
      <rPr>
        <sz val="14"/>
        <color rgb="FF000000"/>
        <rFont val="宋体"/>
        <charset val="134"/>
      </rPr>
      <t>点魔法值和</t>
    </r>
    <r>
      <rPr>
        <sz val="14"/>
        <color rgb="FF000000"/>
        <rFont val="Resource Han Rounded CN Normal"/>
        <charset val="134"/>
      </rPr>
      <t>2</t>
    </r>
    <r>
      <rPr>
        <sz val="14"/>
        <color rgb="FF000000"/>
        <rFont val="宋体"/>
        <charset val="134"/>
      </rPr>
      <t>点理智值。</t>
    </r>
    <r>
      <rPr>
        <sz val="14"/>
        <color rgb="FF000000"/>
        <rFont val="Resource Han Rounded CN Normal"/>
        <charset val="134"/>
      </rPr>
      <t xml:space="preserve">
KP</t>
    </r>
    <r>
      <rPr>
        <sz val="14"/>
        <color rgb="FF000000"/>
        <rFont val="宋体"/>
        <charset val="134"/>
      </rPr>
      <t>裁定：可能需要「克苏鲁神话」「神秘学」或「艺术</t>
    </r>
    <r>
      <rPr>
        <sz val="14"/>
        <color rgb="FF000000"/>
        <rFont val="Resource Han Rounded CN Normal"/>
        <charset val="134"/>
      </rPr>
      <t>/</t>
    </r>
    <r>
      <rPr>
        <sz val="14"/>
        <color rgb="FF000000"/>
        <rFont val="宋体"/>
        <charset val="134"/>
      </rPr>
      <t>手艺（药剂）」检定来确保酿造按照正确的步骤进行。</t>
    </r>
    <r>
      <rPr>
        <sz val="14"/>
        <color rgb="FF000000"/>
        <rFont val="Resource Han Rounded CN Normal"/>
        <charset val="134"/>
      </rPr>
      <t xml:space="preserve">
</t>
    </r>
    <r>
      <rPr>
        <sz val="14"/>
        <color rgb="FF000000"/>
        <rFont val="宋体"/>
        <charset val="134"/>
      </rPr>
      <t>别名：库拉尼斯</t>
    </r>
    <r>
      <rPr>
        <sz val="14"/>
        <color rgb="FF000000"/>
        <rFont val="Resource Han Rounded CN Normal"/>
        <charset val="134"/>
      </rPr>
      <t>[10]</t>
    </r>
    <r>
      <rPr>
        <sz val="14"/>
        <color rgb="FF000000"/>
        <rFont val="宋体"/>
        <charset val="134"/>
      </rPr>
      <t>酿造术、失眠者饮剂、金草地的大门</t>
    </r>
  </si>
  <si>
    <t>时空门观察术〔他、旅〕</t>
  </si>
  <si>
    <t>通过大门传送灵魂之眼、万千视界、命运的视野</t>
  </si>
  <si>
    <t>SEND DREAMING</t>
  </si>
  <si>
    <t>送往梦幻时代</t>
  </si>
  <si>
    <r>
      <rPr>
        <sz val="14"/>
        <color rgb="FF000000"/>
        <rFont val="宋体"/>
        <charset val="134"/>
      </rPr>
      <t>夢</t>
    </r>
    <r>
      <rPr>
        <sz val="14"/>
        <color rgb="FF000000"/>
        <rFont val="MS Gothic"/>
        <charset val="134"/>
      </rPr>
      <t>の</t>
    </r>
    <r>
      <rPr>
        <sz val="14"/>
        <color rgb="FF000000"/>
        <rFont val="宋体"/>
        <charset val="134"/>
      </rPr>
      <t>時代</t>
    </r>
    <r>
      <rPr>
        <sz val="14"/>
        <color rgb="FF000000"/>
        <rFont val="MS Gothic"/>
        <charset val="134"/>
      </rPr>
      <t>へ</t>
    </r>
    <r>
      <rPr>
        <sz val="14"/>
        <color rgb="FF000000"/>
        <rFont val="宋体"/>
        <charset val="134"/>
      </rPr>
      <t>送</t>
    </r>
    <r>
      <rPr>
        <sz val="14"/>
        <color rgb="FF000000"/>
        <rFont val="MS Gothic"/>
        <charset val="134"/>
      </rPr>
      <t>る</t>
    </r>
  </si>
  <si>
    <r>
      <rPr>
        <sz val="14"/>
        <color rgb="FF000000"/>
        <rFont val="宋体"/>
        <charset val="134"/>
      </rPr>
      <t>送往梦幻时代</t>
    </r>
    <r>
      <rPr>
        <sz val="14"/>
        <color rgb="FF000000"/>
        <rFont val="Resource Han Rounded CN Normal"/>
        <charset val="134"/>
      </rPr>
      <t xml:space="preserve">
Send Dreaming
</t>
    </r>
    <r>
      <rPr>
        <sz val="14"/>
        <color rgb="FF000000"/>
        <rFont val="宋体"/>
        <charset val="134"/>
      </rPr>
      <t>这道咒文只有在月暗之时才能施展，而且施法者必须持有《梦幻时代的梦之传说》</t>
    </r>
    <r>
      <rPr>
        <sz val="14"/>
        <color rgb="FF000000"/>
        <rFont val="Resource Han Rounded CN Normal"/>
        <charset val="134"/>
      </rPr>
      <t>(Alcheringa DreamLore)</t>
    </r>
    <r>
      <rPr>
        <sz val="14"/>
        <color rgb="FF000000"/>
        <rFont val="宋体"/>
        <charset val="134"/>
      </rPr>
      <t>一书。施法者须将自己的</t>
    </r>
    <r>
      <rPr>
        <sz val="14"/>
        <color rgb="FF000000"/>
        <rFont val="Resource Han Rounded CN Normal"/>
        <charset val="134"/>
      </rPr>
      <t>5</t>
    </r>
    <r>
      <rPr>
        <sz val="14"/>
        <color rgb="FF000000"/>
        <rFont val="宋体"/>
        <charset val="134"/>
      </rPr>
      <t>点意志值投入火中，随着夜逐渐变深，火焰会依次变成黄色、白色和蓝色。其后，施法者就可以把梦幻时代的影像灌注给被自己催眠的对象，对象的思维会在毫无准备和相关知识的情况下被突然投入梦幻时代。</t>
    </r>
    <r>
      <rPr>
        <sz val="14"/>
        <color rgb="FF000000"/>
        <rFont val="Resource Han Rounded CN Normal"/>
        <charset val="134"/>
      </rPr>
      <t xml:space="preserve">
</t>
    </r>
    <r>
      <rPr>
        <sz val="14"/>
        <color rgb="FF000000"/>
        <rFont val="宋体"/>
        <charset val="134"/>
      </rPr>
      <t>如果在梦境中遇到了恐怖的事物，对象就可以投</t>
    </r>
    <r>
      <rPr>
        <sz val="14"/>
        <color rgb="FF000000"/>
        <rFont val="Resource Han Rounded CN Normal"/>
        <charset val="134"/>
      </rPr>
      <t>[</t>
    </r>
    <r>
      <rPr>
        <sz val="14"/>
        <color rgb="FF000000"/>
        <rFont val="宋体"/>
        <charset val="134"/>
      </rPr>
      <t>智力值</t>
    </r>
    <r>
      <rPr>
        <sz val="14"/>
        <color rgb="FF000000"/>
        <rFont val="Resource Han Rounded CN Normal"/>
        <charset val="134"/>
      </rPr>
      <t>×5]</t>
    </r>
    <r>
      <rPr>
        <sz val="14"/>
        <color rgb="FF000000"/>
        <rFont val="宋体"/>
        <charset val="134"/>
      </rPr>
      <t>，或者也可以每过</t>
    </r>
    <r>
      <rPr>
        <sz val="14"/>
        <color rgb="FF000000"/>
        <rFont val="Resource Han Rounded CN Normal"/>
        <charset val="134"/>
      </rPr>
      <t>1</t>
    </r>
    <r>
      <rPr>
        <sz val="14"/>
        <color rgb="FF000000"/>
        <rFont val="宋体"/>
        <charset val="134"/>
      </rPr>
      <t>小时投一次</t>
    </r>
    <r>
      <rPr>
        <sz val="14"/>
        <color rgb="FF000000"/>
        <rFont val="Resource Han Rounded CN Normal"/>
        <charset val="134"/>
      </rPr>
      <t>[</t>
    </r>
    <r>
      <rPr>
        <sz val="14"/>
        <color rgb="FF000000"/>
        <rFont val="宋体"/>
        <charset val="134"/>
      </rPr>
      <t>意志值</t>
    </r>
    <r>
      <rPr>
        <sz val="14"/>
        <color rgb="FF000000"/>
        <rFont val="Resource Han Rounded CN Normal"/>
        <charset val="134"/>
      </rPr>
      <t>×5]</t>
    </r>
    <r>
      <rPr>
        <sz val="14"/>
        <color rgb="FF000000"/>
        <rFont val="宋体"/>
        <charset val="134"/>
      </rPr>
      <t>，如果成功，就会醒来。施法者和对象均会失去</t>
    </r>
    <r>
      <rPr>
        <sz val="14"/>
        <color rgb="FF000000"/>
        <rFont val="Resource Han Rounded CN Normal"/>
        <charset val="134"/>
      </rPr>
      <t>1d6</t>
    </r>
    <r>
      <rPr>
        <sz val="14"/>
        <color rgb="FF000000"/>
        <rFont val="宋体"/>
        <charset val="134"/>
      </rPr>
      <t>点理智值，持续</t>
    </r>
    <r>
      <rPr>
        <sz val="14"/>
        <color rgb="FF000000"/>
        <rFont val="Resource Han Rounded CN Normal"/>
        <charset val="134"/>
      </rPr>
      <t>6</t>
    </r>
    <r>
      <rPr>
        <sz val="14"/>
        <color rgb="FF000000"/>
        <rFont val="宋体"/>
        <charset val="134"/>
      </rPr>
      <t>小时。在对象做梦的时候，任何人用任何方式都不能把他唤醒。施法者每晚最多可使两人进入同样的梦境，支付的代价当然也要加倍。【译注：《梦幻时代的梦之传说》出自扩展规则《恐怖的南方大陆》</t>
    </r>
    <r>
      <rPr>
        <sz val="14"/>
        <color rgb="FF000000"/>
        <rFont val="Resource Han Rounded CN Normal"/>
        <charset val="134"/>
      </rPr>
      <t>(Terror Australis)</t>
    </r>
    <r>
      <rPr>
        <sz val="14"/>
        <color rgb="FF000000"/>
        <rFont val="宋体"/>
        <charset val="134"/>
      </rPr>
      <t>。</t>
    </r>
    <r>
      <rPr>
        <sz val="14"/>
        <color rgb="FF000000"/>
        <rFont val="Resource Han Rounded CN Normal"/>
        <charset val="134"/>
      </rPr>
      <t>“Alcheringa”</t>
    </r>
    <r>
      <rPr>
        <sz val="14"/>
        <color rgb="FF000000"/>
        <rFont val="宋体"/>
        <charset val="134"/>
      </rPr>
      <t>是澳大利亚原住民传说中的梦幻时代。】</t>
    </r>
  </si>
  <si>
    <t>时空门搜寻术〔他〕</t>
  </si>
  <si>
    <r>
      <rPr>
        <sz val="14"/>
        <color rgb="FF000000"/>
        <rFont val="Resource Han Rounded CN Normal"/>
        <charset val="134"/>
      </rPr>
      <t>20~60</t>
    </r>
    <r>
      <rPr>
        <sz val="14"/>
        <color rgb="FF000000"/>
        <rFont val="宋体"/>
        <charset val="134"/>
      </rPr>
      <t>分钟</t>
    </r>
  </si>
  <si>
    <t>寻找异地的入口、远行的视野、清道术</t>
  </si>
  <si>
    <t>SNARE DREAMER</t>
  </si>
  <si>
    <t>梦想家诱捕术</t>
  </si>
  <si>
    <r>
      <rPr>
        <sz val="14"/>
        <color rgb="FF000000"/>
        <rFont val="宋体"/>
        <charset val="134"/>
      </rPr>
      <t>夢</t>
    </r>
    <r>
      <rPr>
        <sz val="14"/>
        <color rgb="FF000000"/>
        <rFont val="MS Gothic"/>
        <charset val="134"/>
      </rPr>
      <t>みる</t>
    </r>
    <r>
      <rPr>
        <sz val="14"/>
        <color rgb="FF000000"/>
        <rFont val="宋体"/>
        <charset val="134"/>
      </rPr>
      <t>人</t>
    </r>
    <r>
      <rPr>
        <sz val="14"/>
        <color rgb="FF000000"/>
        <rFont val="MS Gothic"/>
        <charset val="134"/>
      </rPr>
      <t>の</t>
    </r>
    <r>
      <rPr>
        <sz val="14"/>
        <color rgb="FF000000"/>
        <rFont val="宋体"/>
        <charset val="134"/>
      </rPr>
      <t>罠</t>
    </r>
  </si>
  <si>
    <r>
      <rPr>
        <sz val="14"/>
        <color rgb="FF000000"/>
        <rFont val="宋体"/>
        <charset val="134"/>
      </rPr>
      <t>梦想家诱捕术〔驱〕</t>
    </r>
    <r>
      <rPr>
        <sz val="14"/>
        <color rgb="FF000000"/>
        <rFont val="Resource Han Rounded CN Normal"/>
        <charset val="134"/>
      </rPr>
      <t xml:space="preserve">
Snare Dreamer
</t>
    </r>
    <r>
      <rPr>
        <sz val="14"/>
        <color rgb="FF000000"/>
        <rFont val="宋体"/>
        <charset val="134"/>
      </rPr>
      <t>消耗：</t>
    </r>
    <r>
      <rPr>
        <sz val="14"/>
        <color rgb="FF000000"/>
        <rFont val="Resource Han Rounded CN Normal"/>
        <charset val="134"/>
      </rPr>
      <t>8</t>
    </r>
    <r>
      <rPr>
        <sz val="14"/>
        <color rgb="FF000000"/>
        <rFont val="宋体"/>
        <charset val="134"/>
      </rPr>
      <t>点魔法值；</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20</t>
    </r>
    <r>
      <rPr>
        <sz val="14"/>
        <color rgb="FF000000"/>
        <rFont val="宋体"/>
        <charset val="134"/>
      </rPr>
      <t>分钟</t>
    </r>
    <r>
      <rPr>
        <sz val="14"/>
        <color rgb="FF000000"/>
        <rFont val="Resource Han Rounded CN Normal"/>
        <charset val="134"/>
      </rPr>
      <t xml:space="preserve">
</t>
    </r>
    <r>
      <rPr>
        <sz val="14"/>
        <color rgb="FF000000"/>
        <rFont val="宋体"/>
        <charset val="134"/>
      </rPr>
      <t>召唤并吸引特定的灵魂或魂魄，如果它正在宿主身体以外的话（就如同梦想家一般）。施法者和目标之间的距离不能超过五英里。施法者须和目标进行一次</t>
    </r>
    <r>
      <rPr>
        <sz val="14"/>
        <color rgb="FF000000"/>
        <rFont val="Resource Han Rounded CN Normal"/>
        <charset val="134"/>
      </rPr>
      <t>POW</t>
    </r>
    <r>
      <rPr>
        <sz val="14"/>
        <color rgb="FF000000"/>
        <rFont val="宋体"/>
        <charset val="134"/>
      </rPr>
      <t>对抗检定并胜出，法术才能生效。若成功，此灵魂将出现在施法者面前，并受到</t>
    </r>
    <r>
      <rPr>
        <sz val="14"/>
        <color rgb="FF000000"/>
        <rFont val="Resource Han Rounded CN Normal"/>
        <charset val="134"/>
      </rPr>
      <t>“</t>
    </r>
    <r>
      <rPr>
        <sz val="14"/>
        <color rgb="FF000000"/>
        <rFont val="宋体"/>
        <charset val="134"/>
      </rPr>
      <t>灵魂束缚术</t>
    </r>
    <r>
      <rPr>
        <sz val="14"/>
        <color rgb="FF000000"/>
        <rFont val="Resource Han Rounded CN Normal"/>
        <charset val="134"/>
      </rPr>
      <t>”(P41)</t>
    </r>
    <r>
      <rPr>
        <sz val="14"/>
        <color rgb="FF000000"/>
        <rFont val="宋体"/>
        <charset val="134"/>
      </rPr>
      <t>等其他法术的影响。</t>
    </r>
    <r>
      <rPr>
        <sz val="14"/>
        <color rgb="FF000000"/>
        <rFont val="Resource Han Rounded CN Normal"/>
        <charset val="134"/>
      </rPr>
      <t xml:space="preserve">
</t>
    </r>
    <r>
      <rPr>
        <sz val="14"/>
        <color rgb="FF000000"/>
        <rFont val="宋体"/>
        <charset val="134"/>
      </rPr>
      <t>如果灵魂逃脱了捕捉，它会漫游离开。梦想家的灵魂会看到施法者及其地点（但他也许认不出来具体位置），并且会将这次遭遇记忆为一次特别真实的梦。</t>
    </r>
    <r>
      <rPr>
        <sz val="14"/>
        <color rgb="FF000000"/>
        <rFont val="Resource Han Rounded CN Normal"/>
        <charset val="134"/>
      </rPr>
      <t xml:space="preserve">
</t>
    </r>
    <r>
      <rPr>
        <sz val="14"/>
        <color rgb="FF000000"/>
        <rFont val="宋体"/>
        <charset val="134"/>
      </rPr>
      <t>别名：灵魂陷阱、灵魂垂钓、无尽睡眠的陷阱</t>
    </r>
  </si>
  <si>
    <t>致病术〔害〕</t>
  </si>
  <si>
    <r>
      <rPr>
        <sz val="14"/>
        <color rgb="FF000000"/>
        <rFont val="Resource Han Rounded CN Normal"/>
        <charset val="134"/>
      </rPr>
      <t>8+</t>
    </r>
    <r>
      <rPr>
        <sz val="14"/>
        <color rgb="FF000000"/>
        <rFont val="宋体"/>
        <charset val="134"/>
      </rPr>
      <t>点魔法值；</t>
    </r>
    <r>
      <rPr>
        <sz val="14"/>
        <color rgb="FF000000"/>
        <rFont val="Resource Han Rounded CN Normal"/>
        <charset val="134"/>
      </rPr>
      <t>1D4</t>
    </r>
    <r>
      <rPr>
        <sz val="14"/>
        <color rgb="FF000000"/>
        <rFont val="宋体"/>
        <charset val="134"/>
      </rPr>
      <t>点理智值</t>
    </r>
  </si>
  <si>
    <r>
      <rPr>
        <sz val="14"/>
        <color rgb="FF000000"/>
        <rFont val="宋体"/>
        <charset val="134"/>
      </rPr>
      <t>祖拉</t>
    </r>
    <r>
      <rPr>
        <sz val="14"/>
        <color rgb="FF000000"/>
        <rFont val="Resource Han Rounded CN Normal"/>
        <charset val="134"/>
      </rPr>
      <t>(Zura)</t>
    </r>
    <r>
      <rPr>
        <sz val="14"/>
        <color rgb="FF000000"/>
        <rFont val="宋体"/>
        <charset val="134"/>
      </rPr>
      <t>的恩赐、不幸体液干枯术、紫黑疹</t>
    </r>
  </si>
  <si>
    <t>SEND DREAMS</t>
  </si>
  <si>
    <t>梦境发送术</t>
  </si>
  <si>
    <r>
      <rPr>
        <sz val="14"/>
        <color rgb="FF000000"/>
        <rFont val="宋体"/>
        <charset val="134"/>
      </rPr>
      <t>夢</t>
    </r>
    <r>
      <rPr>
        <sz val="14"/>
        <color rgb="FF000000"/>
        <rFont val="MS Gothic"/>
        <charset val="134"/>
      </rPr>
      <t>を</t>
    </r>
    <r>
      <rPr>
        <sz val="14"/>
        <color rgb="FF000000"/>
        <rFont val="宋体"/>
        <charset val="134"/>
      </rPr>
      <t>送</t>
    </r>
    <r>
      <rPr>
        <sz val="14"/>
        <color rgb="FF000000"/>
        <rFont val="MS Gothic"/>
        <charset val="134"/>
      </rPr>
      <t>る</t>
    </r>
  </si>
  <si>
    <r>
      <rPr>
        <sz val="14"/>
        <color rgb="FF000000"/>
        <rFont val="宋体"/>
        <charset val="134"/>
      </rPr>
      <t>梦境发送术〔交〕</t>
    </r>
    <r>
      <rPr>
        <sz val="14"/>
        <color rgb="FF000000"/>
        <rFont val="Resource Han Rounded CN Normal"/>
        <charset val="134"/>
      </rPr>
      <t xml:space="preserve">
Send Dream
</t>
    </r>
    <r>
      <rPr>
        <sz val="14"/>
        <color rgb="FF000000"/>
        <rFont val="宋体"/>
        <charset val="134"/>
      </rPr>
      <t>消耗：</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10</t>
    </r>
    <r>
      <rPr>
        <sz val="14"/>
        <color rgb="FF000000"/>
        <rFont val="宋体"/>
        <charset val="134"/>
      </rPr>
      <t>分钟</t>
    </r>
    <r>
      <rPr>
        <sz val="14"/>
        <color rgb="FF000000"/>
        <rFont val="Resource Han Rounded CN Normal"/>
        <charset val="134"/>
      </rPr>
      <t xml:space="preserve">
</t>
    </r>
    <r>
      <rPr>
        <sz val="14"/>
        <color rgb="FF000000"/>
        <rFont val="宋体"/>
        <charset val="134"/>
      </rPr>
      <t>施法者将一段特殊的短梦境发送给目标（单一的场景、图像、表情，如预兆或恐怖等）。需要一个特殊蚀刻的铜碗，碗里用药草和施法者的血液填满并点燃，产生绿色的烟雾。目标必须在睡眠状态、在施法者</t>
    </r>
    <r>
      <rPr>
        <sz val="14"/>
        <color rgb="FF000000"/>
        <rFont val="Resource Han Rounded CN Normal"/>
        <charset val="134"/>
      </rPr>
      <t>20</t>
    </r>
    <r>
      <rPr>
        <sz val="14"/>
        <color rgb="FF000000"/>
        <rFont val="宋体"/>
        <charset val="134"/>
      </rPr>
      <t>英里之内，且施法者须和睡着的目标进行一次</t>
    </r>
    <r>
      <rPr>
        <sz val="14"/>
        <color rgb="FF000000"/>
        <rFont val="Resource Han Rounded CN Normal"/>
        <charset val="134"/>
      </rPr>
      <t>POW</t>
    </r>
    <r>
      <rPr>
        <sz val="14"/>
        <color rgb="FF000000"/>
        <rFont val="宋体"/>
        <charset val="134"/>
      </rPr>
      <t>对抗检定并胜出，梦境发送才能成功。</t>
    </r>
    <r>
      <rPr>
        <sz val="14"/>
        <color rgb="FF000000"/>
        <rFont val="Resource Han Rounded CN Normal"/>
        <charset val="134"/>
      </rPr>
      <t xml:space="preserve">
</t>
    </r>
    <r>
      <rPr>
        <sz val="14"/>
        <color rgb="FF000000"/>
        <rFont val="宋体"/>
        <charset val="134"/>
      </rPr>
      <t>深层魔法：一种变体可以通过施法者的神话知识（施法者的「克苏鲁神话」技能至少</t>
    </r>
    <r>
      <rPr>
        <sz val="14"/>
        <color rgb="FF000000"/>
        <rFont val="Resource Han Rounded CN Normal"/>
        <charset val="134"/>
      </rPr>
      <t>20%</t>
    </r>
    <r>
      <rPr>
        <sz val="14"/>
        <color rgb="FF000000"/>
        <rFont val="宋体"/>
        <charset val="134"/>
      </rPr>
      <t>）当产生恐怖的噩梦。法术的消耗保持不变，只是理智消耗变成</t>
    </r>
    <r>
      <rPr>
        <sz val="14"/>
        <color rgb="FF000000"/>
        <rFont val="Resource Han Rounded CN Normal"/>
        <charset val="134"/>
      </rPr>
      <t>6</t>
    </r>
    <r>
      <rPr>
        <sz val="14"/>
        <color rgb="FF000000"/>
        <rFont val="宋体"/>
        <charset val="134"/>
      </rPr>
      <t>点。目标会在醒来后记起噩梦，并造成</t>
    </r>
    <r>
      <rPr>
        <sz val="14"/>
        <color rgb="FF000000"/>
        <rFont val="Resource Han Rounded CN Normal"/>
        <charset val="134"/>
      </rPr>
      <t>1D4</t>
    </r>
    <r>
      <rPr>
        <sz val="14"/>
        <color rgb="FF000000"/>
        <rFont val="宋体"/>
        <charset val="134"/>
      </rPr>
      <t>点理智损失。若成功地对同一个目标在长期内发送神话相关的梦魇，目标可能会增加「克苏鲁神话」技能，</t>
    </r>
    <r>
      <rPr>
        <sz val="14"/>
        <color rgb="FF000000"/>
        <rFont val="Resource Han Rounded CN Normal"/>
        <charset val="134"/>
      </rPr>
      <t>KP</t>
    </r>
    <r>
      <rPr>
        <sz val="14"/>
        <color rgb="FF000000"/>
        <rFont val="宋体"/>
        <charset val="134"/>
      </rPr>
      <t>可以自由裁定。</t>
    </r>
    <r>
      <rPr>
        <sz val="14"/>
        <color rgb="FF000000"/>
        <rFont val="Resource Han Rounded CN Normal"/>
        <charset val="134"/>
      </rPr>
      <t xml:space="preserve">
</t>
    </r>
    <r>
      <rPr>
        <sz val="14"/>
        <color rgb="FF000000"/>
        <rFont val="宋体"/>
        <charset val="134"/>
      </rPr>
      <t>别名：暗夜空想告知术、梦魇幻视诱导术、黑暗的低语、启发不信者、疯狂发送术</t>
    </r>
  </si>
  <si>
    <t>灵体剃刀术〔战〕</t>
  </si>
  <si>
    <r>
      <rPr>
        <sz val="14"/>
        <color rgb="FF000000"/>
        <rFont val="宋体"/>
        <charset val="134"/>
      </rPr>
      <t>可变的魔法值；</t>
    </r>
    <r>
      <rPr>
        <sz val="14"/>
        <color rgb="FF000000"/>
        <rFont val="Resource Han Rounded CN Normal"/>
        <charset val="134"/>
      </rPr>
      <t>2</t>
    </r>
    <r>
      <rPr>
        <sz val="14"/>
        <color rgb="FF000000"/>
        <rFont val="宋体"/>
        <charset val="134"/>
      </rPr>
      <t>点理智值</t>
    </r>
  </si>
  <si>
    <t>剃刀的挠痒、切割之手、切片之歌、裂骨飘筋术</t>
  </si>
  <si>
    <t>FIST OF YOG-SOTHOTH</t>
  </si>
  <si>
    <r>
      <rPr>
        <sz val="14"/>
        <color rgb="FF000000"/>
        <rFont val="宋体"/>
        <charset val="134"/>
      </rPr>
      <t>犹格</t>
    </r>
    <r>
      <rPr>
        <sz val="14"/>
        <color rgb="FF000000"/>
        <rFont val="Resource Han Rounded CN Normal"/>
        <charset val="134"/>
      </rPr>
      <t>-</t>
    </r>
    <r>
      <rPr>
        <sz val="14"/>
        <color rgb="FF000000"/>
        <rFont val="宋体"/>
        <charset val="134"/>
      </rPr>
      <t>索托斯之拳</t>
    </r>
  </si>
  <si>
    <r>
      <rPr>
        <sz val="14"/>
        <color rgb="FF000000"/>
        <rFont val="MS Gothic"/>
        <charset val="134"/>
      </rPr>
      <t>ヨグ</t>
    </r>
    <r>
      <rPr>
        <sz val="14"/>
        <color rgb="FF000000"/>
        <rFont val="宋体"/>
        <charset val="134"/>
      </rPr>
      <t>＝</t>
    </r>
    <r>
      <rPr>
        <sz val="14"/>
        <color rgb="FF000000"/>
        <rFont val="MS Gothic"/>
        <charset val="134"/>
      </rPr>
      <t>ソトースのこぶし</t>
    </r>
  </si>
  <si>
    <r>
      <rPr>
        <sz val="14"/>
        <color rgb="FF000000"/>
        <rFont val="宋体"/>
        <charset val="134"/>
      </rPr>
      <t>犹格</t>
    </r>
    <r>
      <rPr>
        <sz val="14"/>
        <color rgb="FF000000"/>
        <rFont val="Resource Han Rounded CN Normal"/>
        <charset val="134"/>
      </rPr>
      <t>-</t>
    </r>
    <r>
      <rPr>
        <sz val="14"/>
        <color rgb="FF000000"/>
        <rFont val="宋体"/>
        <charset val="134"/>
      </rPr>
      <t>索托斯之拳〔战〕</t>
    </r>
    <r>
      <rPr>
        <sz val="14"/>
        <color rgb="FF000000"/>
        <rFont val="Resource Han Rounded CN Normal"/>
        <charset val="134"/>
      </rPr>
      <t xml:space="preserve">
Fist of Yog-Sothoth
</t>
    </r>
    <r>
      <rPr>
        <sz val="14"/>
        <color rgb="FF000000"/>
        <rFont val="宋体"/>
        <charset val="134"/>
      </rPr>
      <t>消耗：可变的魔法值；</t>
    </r>
    <r>
      <rPr>
        <sz val="14"/>
        <color rgb="FF000000"/>
        <rFont val="Resource Han Rounded CN Normal"/>
        <charset val="134"/>
      </rPr>
      <t>1D6</t>
    </r>
    <r>
      <rPr>
        <sz val="14"/>
        <color rgb="FF000000"/>
        <rFont val="宋体"/>
        <charset val="134"/>
      </rPr>
      <t>点理智值施法用时：即时</t>
    </r>
    <r>
      <rPr>
        <sz val="14"/>
        <color rgb="FF000000"/>
        <rFont val="Resource Han Rounded CN Normal"/>
        <charset val="134"/>
      </rPr>
      <t xml:space="preserve">
</t>
    </r>
    <r>
      <rPr>
        <sz val="14"/>
        <color rgb="FF000000"/>
        <rFont val="宋体"/>
        <charset val="134"/>
      </rPr>
      <t>施法者创造一股巨大的无形力量打击单体目标。目标必须在施法者视野范围内。法术中每使用一点魔法值即产生</t>
    </r>
    <r>
      <rPr>
        <sz val="14"/>
        <color rgb="FF000000"/>
        <rFont val="Resource Han Rounded CN Normal"/>
        <charset val="134"/>
      </rPr>
      <t>2D10</t>
    </r>
    <r>
      <rPr>
        <sz val="14"/>
        <color rgb="FF000000"/>
        <rFont val="宋体"/>
        <charset val="134"/>
      </rPr>
      <t>点</t>
    </r>
    <r>
      <rPr>
        <sz val="14"/>
        <color rgb="FF000000"/>
        <rFont val="Resource Han Rounded CN Normal"/>
        <charset val="134"/>
      </rPr>
      <t>STR</t>
    </r>
    <r>
      <rPr>
        <sz val="14"/>
        <color rgb="FF000000"/>
        <rFont val="宋体"/>
        <charset val="134"/>
      </rPr>
      <t>的力量。施法者和目标的距离每增加</t>
    </r>
    <r>
      <rPr>
        <sz val="14"/>
        <color rgb="FF000000"/>
        <rFont val="Resource Han Rounded CN Normal"/>
        <charset val="134"/>
      </rPr>
      <t>30</t>
    </r>
    <r>
      <rPr>
        <sz val="14"/>
        <color rgb="FF000000"/>
        <rFont val="宋体"/>
        <charset val="134"/>
      </rPr>
      <t>尺（超过第一个</t>
    </r>
    <r>
      <rPr>
        <sz val="14"/>
        <color rgb="FF000000"/>
        <rFont val="Resource Han Rounded CN Normal"/>
        <charset val="134"/>
      </rPr>
      <t>30</t>
    </r>
    <r>
      <rPr>
        <sz val="14"/>
        <color rgb="FF000000"/>
        <rFont val="宋体"/>
        <charset val="134"/>
      </rPr>
      <t>尺的部分），就要额外消耗</t>
    </r>
    <r>
      <rPr>
        <sz val="14"/>
        <color rgb="FF000000"/>
        <rFont val="Resource Han Rounded CN Normal"/>
        <charset val="134"/>
      </rPr>
      <t>1</t>
    </r>
    <r>
      <rPr>
        <sz val="14"/>
        <color rgb="FF000000"/>
        <rFont val="宋体"/>
        <charset val="134"/>
      </rPr>
      <t>点魔法值。</t>
    </r>
    <r>
      <rPr>
        <sz val="14"/>
        <color rgb="FF000000"/>
        <rFont val="Resource Han Rounded CN Normal"/>
        <charset val="134"/>
      </rPr>
      <t xml:space="preserve">
</t>
    </r>
    <r>
      <rPr>
        <sz val="14"/>
        <color rgb="FF000000"/>
        <rFont val="宋体"/>
        <charset val="134"/>
      </rPr>
      <t>当目标被击中时（如果他是活物的话），必须用法术的</t>
    </r>
    <r>
      <rPr>
        <sz val="14"/>
        <color rgb="FF000000"/>
        <rFont val="Resource Han Rounded CN Normal"/>
        <charset val="134"/>
      </rPr>
      <t>STR</t>
    </r>
    <r>
      <rPr>
        <sz val="14"/>
        <color rgb="FF000000"/>
        <rFont val="宋体"/>
        <charset val="134"/>
      </rPr>
      <t>和目标的</t>
    </r>
    <r>
      <rPr>
        <sz val="14"/>
        <color rgb="FF000000"/>
        <rFont val="Resource Han Rounded CN Normal"/>
        <charset val="134"/>
      </rPr>
      <t>CON</t>
    </r>
    <r>
      <rPr>
        <sz val="14"/>
        <color rgb="FF000000"/>
        <rFont val="宋体"/>
        <charset val="134"/>
      </rPr>
      <t>进行对抗检定。如果成功，目标将被击晕。不论目标有没有被击晕，他总会被撞离施法者一段距离，此距离为打击的</t>
    </r>
    <r>
      <rPr>
        <sz val="14"/>
        <color rgb="FF000000"/>
        <rFont val="Resource Han Rounded CN Normal"/>
        <charset val="134"/>
      </rPr>
      <t>STR</t>
    </r>
    <r>
      <rPr>
        <sz val="14"/>
        <color rgb="FF000000"/>
        <rFont val="宋体"/>
        <charset val="134"/>
      </rPr>
      <t>减去目标的</t>
    </r>
    <r>
      <rPr>
        <sz val="14"/>
        <color rgb="FF000000"/>
        <rFont val="Resource Han Rounded CN Normal"/>
        <charset val="134"/>
      </rPr>
      <t>SIZ</t>
    </r>
    <r>
      <rPr>
        <sz val="14"/>
        <color rgb="FF000000"/>
        <rFont val="宋体"/>
        <charset val="134"/>
      </rPr>
      <t>，单位为尺。</t>
    </r>
    <r>
      <rPr>
        <sz val="14"/>
        <color rgb="FF000000"/>
        <rFont val="Resource Han Rounded CN Normal"/>
        <charset val="134"/>
      </rPr>
      <t xml:space="preserve">
</t>
    </r>
    <r>
      <rPr>
        <sz val="14"/>
        <color rgb="FF000000"/>
        <rFont val="宋体"/>
        <charset val="134"/>
      </rPr>
      <t>本法术也可以用来打击门和墙之类无生命的物体。结果可能很明显，但有些情况必须由</t>
    </r>
    <r>
      <rPr>
        <sz val="14"/>
        <color rgb="FF000000"/>
        <rFont val="Resource Han Rounded CN Normal"/>
        <charset val="134"/>
      </rPr>
      <t>KP</t>
    </r>
    <r>
      <rPr>
        <sz val="14"/>
        <color rgb="FF000000"/>
        <rFont val="宋体"/>
        <charset val="134"/>
      </rPr>
      <t>基于物体的</t>
    </r>
    <r>
      <rPr>
        <sz val="14"/>
        <color rgb="FF000000"/>
        <rFont val="Resource Han Rounded CN Normal"/>
        <charset val="134"/>
      </rPr>
      <t>STR</t>
    </r>
    <r>
      <rPr>
        <sz val="14"/>
        <color rgb="FF000000"/>
        <rFont val="宋体"/>
        <charset val="134"/>
      </rPr>
      <t>来决定结果。</t>
    </r>
    <r>
      <rPr>
        <sz val="14"/>
        <color rgb="FF000000"/>
        <rFont val="Resource Han Rounded CN Normal"/>
        <charset val="134"/>
      </rPr>
      <t xml:space="preserve">
</t>
    </r>
    <r>
      <rPr>
        <sz val="14"/>
        <color rgb="FF000000"/>
        <rFont val="宋体"/>
        <charset val="134"/>
      </rPr>
      <t>例如：施法者消耗</t>
    </r>
    <r>
      <rPr>
        <sz val="14"/>
        <color rgb="FF000000"/>
        <rFont val="Resource Han Rounded CN Normal"/>
        <charset val="134"/>
      </rPr>
      <t>5</t>
    </r>
    <r>
      <rPr>
        <sz val="14"/>
        <color rgb="FF000000"/>
        <rFont val="宋体"/>
        <charset val="134"/>
      </rPr>
      <t>点魔法值打击一个</t>
    </r>
    <r>
      <rPr>
        <sz val="14"/>
        <color rgb="FF000000"/>
        <rFont val="Resource Han Rounded CN Normal"/>
        <charset val="134"/>
      </rPr>
      <t>50</t>
    </r>
    <r>
      <rPr>
        <sz val="14"/>
        <color rgb="FF000000"/>
        <rFont val="宋体"/>
        <charset val="134"/>
      </rPr>
      <t>尺之外的调查员。</t>
    </r>
    <r>
      <rPr>
        <sz val="14"/>
        <color rgb="FF000000"/>
        <rFont val="Resource Han Rounded CN Normal"/>
        <charset val="134"/>
      </rPr>
      <t>1</t>
    </r>
    <r>
      <rPr>
        <sz val="14"/>
        <color rgb="FF000000"/>
        <rFont val="宋体"/>
        <charset val="134"/>
      </rPr>
      <t>点用于支付距离。余下</t>
    </r>
    <r>
      <rPr>
        <sz val="14"/>
        <color rgb="FF000000"/>
        <rFont val="Resource Han Rounded CN Normal"/>
        <charset val="134"/>
      </rPr>
      <t>4</t>
    </r>
    <r>
      <rPr>
        <sz val="14"/>
        <color rgb="FF000000"/>
        <rFont val="宋体"/>
        <charset val="134"/>
      </rPr>
      <t>点产生</t>
    </r>
    <r>
      <rPr>
        <sz val="14"/>
        <color rgb="FF000000"/>
        <rFont val="Resource Han Rounded CN Normal"/>
        <charset val="134"/>
      </rPr>
      <t>8D10</t>
    </r>
    <r>
      <rPr>
        <sz val="14"/>
        <color rgb="FF000000"/>
        <rFont val="宋体"/>
        <charset val="134"/>
      </rPr>
      <t>点</t>
    </r>
    <r>
      <rPr>
        <sz val="14"/>
        <color rgb="FF000000"/>
        <rFont val="Resource Han Rounded CN Normal"/>
        <charset val="134"/>
      </rPr>
      <t>STR</t>
    </r>
    <r>
      <rPr>
        <sz val="14"/>
        <color rgb="FF000000"/>
        <rFont val="宋体"/>
        <charset val="134"/>
      </rPr>
      <t>，掷骰结果是</t>
    </r>
    <r>
      <rPr>
        <sz val="14"/>
        <color rgb="FF000000"/>
        <rFont val="Resource Han Rounded CN Normal"/>
        <charset val="134"/>
      </rPr>
      <t>57</t>
    </r>
    <r>
      <rPr>
        <sz val="14"/>
        <color rgb="FF000000"/>
        <rFont val="宋体"/>
        <charset val="134"/>
      </rPr>
      <t>。调查员的困难难度</t>
    </r>
    <r>
      <rPr>
        <sz val="14"/>
        <color rgb="FF000000"/>
        <rFont val="Resource Han Rounded CN Normal"/>
        <charset val="134"/>
      </rPr>
      <t>CON</t>
    </r>
    <r>
      <rPr>
        <sz val="14"/>
        <color rgb="FF000000"/>
        <rFont val="宋体"/>
        <charset val="134"/>
      </rPr>
      <t>检定失败（因为法术</t>
    </r>
    <r>
      <rPr>
        <sz val="14"/>
        <color rgb="FF000000"/>
        <rFont val="Resource Han Rounded CN Normal"/>
        <charset val="134"/>
      </rPr>
      <t>STR</t>
    </r>
    <r>
      <rPr>
        <sz val="14"/>
        <color rgb="FF000000"/>
        <rFont val="宋体"/>
        <charset val="134"/>
      </rPr>
      <t>超过</t>
    </r>
    <r>
      <rPr>
        <sz val="14"/>
        <color rgb="FF000000"/>
        <rFont val="Resource Han Rounded CN Normal"/>
        <charset val="134"/>
      </rPr>
      <t>50</t>
    </r>
    <r>
      <rPr>
        <sz val="14"/>
        <color rgb="FF000000"/>
        <rFont val="宋体"/>
        <charset val="134"/>
      </rPr>
      <t>），他被打晕了。调查员的</t>
    </r>
    <r>
      <rPr>
        <sz val="14"/>
        <color rgb="FF000000"/>
        <rFont val="Resource Han Rounded CN Normal"/>
        <charset val="134"/>
      </rPr>
      <t>SIZ</t>
    </r>
    <r>
      <rPr>
        <sz val="14"/>
        <color rgb="FF000000"/>
        <rFont val="宋体"/>
        <charset val="134"/>
      </rPr>
      <t>是</t>
    </r>
    <r>
      <rPr>
        <sz val="14"/>
        <color rgb="FF000000"/>
        <rFont val="Resource Han Rounded CN Normal"/>
        <charset val="134"/>
      </rPr>
      <t>45</t>
    </r>
    <r>
      <rPr>
        <sz val="14"/>
        <color rgb="FF000000"/>
        <rFont val="宋体"/>
        <charset val="134"/>
      </rPr>
      <t>，这一下把他撞出了</t>
    </r>
    <r>
      <rPr>
        <sz val="14"/>
        <color rgb="FF000000"/>
        <rFont val="Resource Han Rounded CN Normal"/>
        <charset val="134"/>
      </rPr>
      <t>12</t>
    </r>
    <r>
      <rPr>
        <sz val="14"/>
        <color rgb="FF000000"/>
        <rFont val="宋体"/>
        <charset val="134"/>
      </rPr>
      <t>尺远。</t>
    </r>
    <r>
      <rPr>
        <sz val="14"/>
        <color rgb="FF000000"/>
        <rFont val="Resource Han Rounded CN Normal"/>
        <charset val="134"/>
      </rPr>
      <t xml:space="preserve">
</t>
    </r>
    <r>
      <rPr>
        <sz val="14"/>
        <color rgb="FF000000"/>
        <rFont val="宋体"/>
        <charset val="134"/>
      </rPr>
      <t>别名：连接开路者的力量、击仆汝敌、邪恶者的丑恶一击</t>
    </r>
  </si>
  <si>
    <t>梦境幻象术〔时〕</t>
  </si>
  <si>
    <r>
      <rPr>
        <sz val="14"/>
        <color rgb="FF000000"/>
        <rFont val="Resource Han Rounded CN Normal"/>
        <charset val="134"/>
      </rPr>
      <t>3</t>
    </r>
    <r>
      <rPr>
        <sz val="14"/>
        <color rgb="FF000000"/>
        <rFont val="宋体"/>
        <charset val="134"/>
      </rPr>
      <t>点魔法值</t>
    </r>
  </si>
  <si>
    <t>可视睡眠、愚者的沉睡、在梦魇到来的门前占卜</t>
  </si>
  <si>
    <t>VOICE OF RA</t>
  </si>
  <si>
    <t>拉神之声</t>
  </si>
  <si>
    <r>
      <rPr>
        <sz val="14"/>
        <color rgb="FF000000"/>
        <rFont val="MS Gothic"/>
        <charset val="134"/>
      </rPr>
      <t>ラーの</t>
    </r>
    <r>
      <rPr>
        <sz val="14"/>
        <color rgb="FF000000"/>
        <rFont val="宋体"/>
        <charset val="134"/>
      </rPr>
      <t>声</t>
    </r>
  </si>
  <si>
    <r>
      <rPr>
        <sz val="14"/>
        <color rgb="FF000000"/>
        <rFont val="宋体"/>
        <charset val="134"/>
      </rPr>
      <t>拉神之声〔支〕</t>
    </r>
    <r>
      <rPr>
        <sz val="14"/>
        <color rgb="FF000000"/>
        <rFont val="Resource Han Rounded CN Normal"/>
        <charset val="134"/>
      </rPr>
      <t xml:space="preserve">
Voice of Ra
</t>
    </r>
    <r>
      <rPr>
        <sz val="14"/>
        <color rgb="FF000000"/>
        <rFont val="宋体"/>
        <charset val="134"/>
      </rPr>
      <t>消耗：</t>
    </r>
    <r>
      <rPr>
        <sz val="14"/>
        <color rgb="FF000000"/>
        <rFont val="Resource Han Rounded CN Normal"/>
        <charset val="134"/>
      </rPr>
      <t>6</t>
    </r>
    <r>
      <rPr>
        <sz val="14"/>
        <color rgb="FF000000"/>
        <rFont val="宋体"/>
        <charset val="134"/>
      </rPr>
      <t>点魔法值；</t>
    </r>
    <r>
      <rPr>
        <sz val="14"/>
        <color rgb="FF000000"/>
        <rFont val="Resource Han Rounded CN Normal"/>
        <charset val="134"/>
      </rPr>
      <t>1D4</t>
    </r>
    <r>
      <rPr>
        <sz val="14"/>
        <color rgb="FF000000"/>
        <rFont val="宋体"/>
        <charset val="134"/>
      </rPr>
      <t>点理智值施法用时：</t>
    </r>
    <r>
      <rPr>
        <sz val="14"/>
        <color rgb="FF000000"/>
        <rFont val="Resource Han Rounded CN Normal"/>
        <charset val="134"/>
      </rPr>
      <t>2</t>
    </r>
    <r>
      <rPr>
        <sz val="14"/>
        <color rgb="FF000000"/>
        <rFont val="宋体"/>
        <charset val="134"/>
      </rPr>
      <t>小时</t>
    </r>
    <r>
      <rPr>
        <sz val="14"/>
        <color rgb="FF000000"/>
        <rFont val="Resource Han Rounded CN Normal"/>
        <charset val="134"/>
      </rPr>
      <t xml:space="preserve">
</t>
    </r>
    <r>
      <rPr>
        <sz val="14"/>
        <color rgb="FF000000"/>
        <rFont val="宋体"/>
        <charset val="134"/>
      </rPr>
      <t>暂时提升施法者的</t>
    </r>
    <r>
      <rPr>
        <sz val="14"/>
        <color rgb="FF000000"/>
        <rFont val="Resource Han Rounded CN Normal"/>
        <charset val="134"/>
      </rPr>
      <t>APP</t>
    </r>
    <r>
      <rPr>
        <sz val="14"/>
        <color rgb="FF000000"/>
        <rFont val="宋体"/>
        <charset val="134"/>
      </rPr>
      <t>和某些有关技能。需要一场仪式，在仪式上焚烧各种施法成分。接下来的</t>
    </r>
    <r>
      <rPr>
        <sz val="14"/>
        <color rgb="FF000000"/>
        <rFont val="Resource Han Rounded CN Normal"/>
        <charset val="134"/>
      </rPr>
      <t>24</t>
    </r>
    <r>
      <rPr>
        <sz val="14"/>
        <color rgb="FF000000"/>
        <rFont val="宋体"/>
        <charset val="134"/>
      </rPr>
      <t>小时中，法术为施法者增加</t>
    </r>
    <r>
      <rPr>
        <sz val="14"/>
        <color rgb="FF000000"/>
        <rFont val="Resource Han Rounded CN Normal"/>
        <charset val="134"/>
      </rPr>
      <t>5D10</t>
    </r>
    <r>
      <rPr>
        <sz val="14"/>
        <color rgb="FF000000"/>
        <rFont val="宋体"/>
        <charset val="134"/>
      </rPr>
      <t>点</t>
    </r>
    <r>
      <rPr>
        <sz val="14"/>
        <color rgb="FF000000"/>
        <rFont val="Resource Han Rounded CN Normal"/>
        <charset val="134"/>
      </rPr>
      <t>APP</t>
    </r>
    <r>
      <rPr>
        <sz val="14"/>
        <color rgb="FF000000"/>
        <rFont val="宋体"/>
        <charset val="134"/>
      </rPr>
      <t>，且施法者的「魅惑」「话术」和「说服」检定增加一颗奖励骰。</t>
    </r>
    <r>
      <rPr>
        <sz val="14"/>
        <color rgb="FF000000"/>
        <rFont val="Resource Han Rounded CN Normal"/>
        <charset val="134"/>
      </rPr>
      <t xml:space="preserve">
</t>
    </r>
    <r>
      <rPr>
        <sz val="14"/>
        <color rgb="FF000000"/>
        <rFont val="宋体"/>
        <charset val="134"/>
      </rPr>
      <t>深层魔法：可以逆向施放本法术，在</t>
    </r>
    <r>
      <rPr>
        <sz val="14"/>
        <color rgb="FF000000"/>
        <rFont val="Resource Han Rounded CN Normal"/>
        <charset val="134"/>
      </rPr>
      <t>24</t>
    </r>
    <r>
      <rPr>
        <sz val="14"/>
        <color rgb="FF000000"/>
        <rFont val="宋体"/>
        <charset val="134"/>
      </rPr>
      <t>小时中，目标减少</t>
    </r>
    <r>
      <rPr>
        <sz val="14"/>
        <color rgb="FF000000"/>
        <rFont val="Resource Han Rounded CN Normal"/>
        <charset val="134"/>
      </rPr>
      <t>5D10</t>
    </r>
    <r>
      <rPr>
        <sz val="14"/>
        <color rgb="FF000000"/>
        <rFont val="宋体"/>
        <charset val="134"/>
      </rPr>
      <t>点</t>
    </r>
    <r>
      <rPr>
        <sz val="14"/>
        <color rgb="FF000000"/>
        <rFont val="Resource Han Rounded CN Normal"/>
        <charset val="134"/>
      </rPr>
      <t>APP</t>
    </r>
    <r>
      <rPr>
        <sz val="14"/>
        <color rgb="FF000000"/>
        <rFont val="宋体"/>
        <charset val="134"/>
      </rPr>
      <t>、损失</t>
    </r>
    <r>
      <rPr>
        <sz val="14"/>
        <color rgb="FF000000"/>
        <rFont val="Resource Han Rounded CN Normal"/>
        <charset val="134"/>
      </rPr>
      <t>1D4</t>
    </r>
    <r>
      <rPr>
        <sz val="14"/>
        <color rgb="FF000000"/>
        <rFont val="宋体"/>
        <charset val="134"/>
      </rPr>
      <t>点理智值，「魅惑」「话术」和「说服」检定增加一颗惩罚骰。</t>
    </r>
    <r>
      <rPr>
        <sz val="14"/>
        <color rgb="FF000000"/>
        <rFont val="Resource Han Rounded CN Normal"/>
        <charset val="134"/>
      </rPr>
      <t xml:space="preserve">
</t>
    </r>
    <r>
      <rPr>
        <sz val="14"/>
        <color rgb="FF000000"/>
        <rFont val="宋体"/>
        <charset val="134"/>
      </rPr>
      <t>别名：英俊外表术、狐狸的信心灌注术、魅力术</t>
    </r>
  </si>
  <si>
    <r>
      <rPr>
        <sz val="14"/>
        <color rgb="FF000000"/>
        <rFont val="Resource Han Rounded CN Normal"/>
        <charset val="134"/>
      </rPr>
      <t>4</t>
    </r>
    <r>
      <rPr>
        <sz val="14"/>
        <color rgb="FF000000"/>
        <rFont val="宋体"/>
        <charset val="134"/>
      </rPr>
      <t>点魔法值（每多一剂加</t>
    </r>
    <r>
      <rPr>
        <sz val="14"/>
        <color rgb="FF000000"/>
        <rFont val="Resource Han Rounded CN Normal"/>
        <charset val="134"/>
      </rPr>
      <t>1</t>
    </r>
    <r>
      <rPr>
        <sz val="14"/>
        <color rgb="FF000000"/>
        <rFont val="宋体"/>
        <charset val="134"/>
      </rPr>
      <t>点）；</t>
    </r>
    <r>
      <rPr>
        <sz val="14"/>
        <color rgb="FF000000"/>
        <rFont val="Resource Han Rounded CN Normal"/>
        <charset val="134"/>
      </rPr>
      <t>2</t>
    </r>
    <r>
      <rPr>
        <sz val="14"/>
        <color rgb="FF000000"/>
        <rFont val="宋体"/>
        <charset val="134"/>
      </rPr>
      <t>点理智值</t>
    </r>
  </si>
  <si>
    <r>
      <rPr>
        <sz val="14"/>
        <color rgb="FF000000"/>
        <rFont val="Resource Han Rounded CN Normal"/>
        <charset val="134"/>
      </rPr>
      <t>5+</t>
    </r>
    <r>
      <rPr>
        <sz val="14"/>
        <color rgb="FF000000"/>
        <rFont val="宋体"/>
        <charset val="134"/>
      </rPr>
      <t>小时</t>
    </r>
  </si>
  <si>
    <r>
      <rPr>
        <sz val="14"/>
        <color rgb="FF000000"/>
        <rFont val="宋体"/>
        <charset val="134"/>
      </rPr>
      <t>库拉尼斯</t>
    </r>
    <r>
      <rPr>
        <sz val="14"/>
        <color rgb="FF000000"/>
        <rFont val="Resource Han Rounded CN Normal"/>
        <charset val="134"/>
      </rPr>
      <t>[10]</t>
    </r>
    <r>
      <rPr>
        <sz val="14"/>
        <color rgb="FF000000"/>
        <rFont val="宋体"/>
        <charset val="134"/>
      </rPr>
      <t>酿造术、失眠者饮剂、金草地的大门</t>
    </r>
  </si>
  <si>
    <t>REACH</t>
  </si>
  <si>
    <t>伸触术</t>
  </si>
  <si>
    <t>リーチ</t>
  </si>
  <si>
    <r>
      <rPr>
        <sz val="14"/>
        <color rgb="FF000000"/>
        <rFont val="宋体"/>
        <charset val="134"/>
      </rPr>
      <t>伸触术〔变〕</t>
    </r>
    <r>
      <rPr>
        <sz val="14"/>
        <color rgb="FF000000"/>
        <rFont val="Resource Han Rounded CN Normal"/>
        <charset val="134"/>
      </rPr>
      <t xml:space="preserve">
Reach
</t>
    </r>
    <r>
      <rPr>
        <sz val="14"/>
        <color rgb="FF000000"/>
        <rFont val="宋体"/>
        <charset val="134"/>
      </rPr>
      <t>消耗：可变的魔法值；</t>
    </r>
    <r>
      <rPr>
        <sz val="14"/>
        <color rgb="FF000000"/>
        <rFont val="Resource Han Rounded CN Normal"/>
        <charset val="134"/>
      </rPr>
      <t>5</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施法用时：每有</t>
    </r>
    <r>
      <rPr>
        <sz val="14"/>
        <color rgb="FF000000"/>
        <rFont val="Resource Han Rounded CN Normal"/>
        <charset val="134"/>
      </rPr>
      <t>1</t>
    </r>
    <r>
      <rPr>
        <sz val="14"/>
        <color rgb="FF000000"/>
        <rFont val="宋体"/>
        <charset val="134"/>
      </rPr>
      <t>点魔法值消耗，持续</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可以让施法者伸手穿越障碍物的表面或实体，到他手臂或触手自然伸长的极限，并可调节物体、放入新物体、拿走已有的物体。法术的消耗可变：每穿越</t>
    </r>
    <r>
      <rPr>
        <sz val="14"/>
        <color rgb="FF000000"/>
        <rFont val="Resource Han Rounded CN Normal"/>
        <charset val="134"/>
      </rPr>
      <t>1</t>
    </r>
    <r>
      <rPr>
        <sz val="14"/>
        <color rgb="FF000000"/>
        <rFont val="宋体"/>
        <charset val="134"/>
      </rPr>
      <t>寸有机物（木头等），施法者就要消耗</t>
    </r>
    <r>
      <rPr>
        <sz val="14"/>
        <color rgb="FF000000"/>
        <rFont val="Resource Han Rounded CN Normal"/>
        <charset val="134"/>
      </rPr>
      <t>1</t>
    </r>
    <r>
      <rPr>
        <sz val="14"/>
        <color rgb="FF000000"/>
        <rFont val="宋体"/>
        <charset val="134"/>
      </rPr>
      <t>点魔法值；每穿越</t>
    </r>
    <r>
      <rPr>
        <sz val="14"/>
        <color rgb="FF000000"/>
        <rFont val="Resource Han Rounded CN Normal"/>
        <charset val="134"/>
      </rPr>
      <t>1</t>
    </r>
    <r>
      <rPr>
        <sz val="14"/>
        <color rgb="FF000000"/>
        <rFont val="宋体"/>
        <charset val="134"/>
      </rPr>
      <t>寸无机物（石头等），消耗</t>
    </r>
    <r>
      <rPr>
        <sz val="14"/>
        <color rgb="FF000000"/>
        <rFont val="Resource Han Rounded CN Normal"/>
        <charset val="134"/>
      </rPr>
      <t>2</t>
    </r>
    <r>
      <rPr>
        <sz val="14"/>
        <color rgb="FF000000"/>
        <rFont val="宋体"/>
        <charset val="134"/>
      </rPr>
      <t>点魔法值。</t>
    </r>
    <r>
      <rPr>
        <sz val="14"/>
        <color rgb="FF000000"/>
        <rFont val="Resource Han Rounded CN Normal"/>
        <charset val="134"/>
      </rPr>
      <t xml:space="preserve">
</t>
    </r>
    <r>
      <rPr>
        <sz val="14"/>
        <color rgb="FF000000"/>
        <rFont val="宋体"/>
        <charset val="134"/>
      </rPr>
      <t>如果施法者的专注有可能在施法过程中（因攻击等）中断，他需要进行一次</t>
    </r>
    <r>
      <rPr>
        <sz val="14"/>
        <color rgb="FF000000"/>
        <rFont val="Resource Han Rounded CN Normal"/>
        <charset val="134"/>
      </rPr>
      <t>INT</t>
    </r>
    <r>
      <rPr>
        <sz val="14"/>
        <color rgb="FF000000"/>
        <rFont val="宋体"/>
        <charset val="134"/>
      </rPr>
      <t>检定；若失败则法术终止，可能会造成施法者的肢体被困住，必须再度施法以自救。</t>
    </r>
    <r>
      <rPr>
        <sz val="14"/>
        <color rgb="FF000000"/>
        <rFont val="Resource Han Rounded CN Normal"/>
        <charset val="134"/>
      </rPr>
      <t xml:space="preserve">
</t>
    </r>
    <r>
      <rPr>
        <sz val="14"/>
        <color rgb="FF000000"/>
        <rFont val="宋体"/>
        <charset val="134"/>
      </rPr>
      <t>别名：巫师之手、伸手穿石、盗贼秘技</t>
    </r>
  </si>
  <si>
    <t>Send Dreaming</t>
  </si>
  <si>
    <t>月暗之时，持有《梦幻时代的梦之传说》一书；把自己的意志值投入火中，使对象进入梦幻时代</t>
  </si>
  <si>
    <r>
      <rPr>
        <sz val="14"/>
        <color rgb="FF000000"/>
        <rFont val="Resource Han Rounded CN Normal"/>
        <charset val="134"/>
      </rPr>
      <t>5</t>
    </r>
    <r>
      <rPr>
        <sz val="14"/>
        <color rgb="FF000000"/>
        <rFont val="宋体"/>
        <charset val="134"/>
      </rPr>
      <t>点意志值，施法者和对象各失去</t>
    </r>
    <r>
      <rPr>
        <sz val="14"/>
        <color rgb="FF000000"/>
        <rFont val="Resource Han Rounded CN Normal"/>
        <charset val="134"/>
      </rPr>
      <t>1d6</t>
    </r>
    <r>
      <rPr>
        <sz val="14"/>
        <color rgb="FF000000"/>
        <rFont val="宋体"/>
        <charset val="134"/>
      </rPr>
      <t>点理智值</t>
    </r>
  </si>
  <si>
    <t>IDENTIFY SPIRIT</t>
  </si>
  <si>
    <t>灵魂辨识术</t>
  </si>
  <si>
    <r>
      <rPr>
        <sz val="14"/>
        <color rgb="FF000000"/>
        <rFont val="宋体"/>
        <charset val="134"/>
      </rPr>
      <t>霊</t>
    </r>
    <r>
      <rPr>
        <sz val="14"/>
        <color rgb="FF000000"/>
        <rFont val="MS Gothic"/>
        <charset val="134"/>
      </rPr>
      <t>の</t>
    </r>
    <r>
      <rPr>
        <sz val="14"/>
        <color rgb="FF000000"/>
        <rFont val="宋体"/>
        <charset val="134"/>
      </rPr>
      <t>識別</t>
    </r>
  </si>
  <si>
    <r>
      <rPr>
        <sz val="14"/>
        <color rgb="FF000000"/>
        <rFont val="宋体"/>
        <charset val="134"/>
      </rPr>
      <t>灵魂辨识术〔驱〕</t>
    </r>
    <r>
      <rPr>
        <sz val="14"/>
        <color rgb="FF000000"/>
        <rFont val="Resource Han Rounded CN Normal"/>
        <charset val="134"/>
      </rPr>
      <t xml:space="preserve">
Identify Spirit
</t>
    </r>
    <r>
      <rPr>
        <sz val="14"/>
        <color rgb="FF000000"/>
        <rFont val="宋体"/>
        <charset val="134"/>
      </rPr>
      <t>消耗：</t>
    </r>
    <r>
      <rPr>
        <sz val="14"/>
        <color rgb="FF000000"/>
        <rFont val="Resource Han Rounded CN Normal"/>
        <charset val="134"/>
      </rPr>
      <t>12</t>
    </r>
    <r>
      <rPr>
        <sz val="14"/>
        <color rgb="FF000000"/>
        <rFont val="宋体"/>
        <charset val="134"/>
      </rPr>
      <t>点魔法值；</t>
    </r>
    <r>
      <rPr>
        <sz val="14"/>
        <color rgb="FF000000"/>
        <rFont val="Resource Han Rounded CN Normal"/>
        <charset val="134"/>
      </rPr>
      <t>2</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24</t>
    </r>
    <r>
      <rPr>
        <sz val="14"/>
        <color rgb="FF000000"/>
        <rFont val="宋体"/>
        <charset val="134"/>
      </rPr>
      <t>小时（生效需要</t>
    </r>
    <r>
      <rPr>
        <sz val="14"/>
        <color rgb="FF000000"/>
        <rFont val="Resource Han Rounded CN Normal"/>
        <charset val="134"/>
      </rPr>
      <t>1</t>
    </r>
    <r>
      <rPr>
        <sz val="14"/>
        <color rgb="FF000000"/>
        <rFont val="宋体"/>
        <charset val="134"/>
      </rPr>
      <t>轮）</t>
    </r>
    <r>
      <rPr>
        <sz val="14"/>
        <color rgb="FF000000"/>
        <rFont val="Resource Han Rounded CN Normal"/>
        <charset val="134"/>
      </rPr>
      <t xml:space="preserve">
</t>
    </r>
    <r>
      <rPr>
        <sz val="14"/>
        <color rgb="FF000000"/>
        <rFont val="宋体"/>
        <charset val="134"/>
      </rPr>
      <t>制造一种魔法粉末，可以暂时暴露目标精神或身体中寄宿的异界存在。任何人都可以使用创造出的粉尘。把它撒到人类身上并念动真言，粉尘就会揭示寄宿的存在，持续一轮。</t>
    </r>
    <r>
      <rPr>
        <sz val="14"/>
        <color rgb="FF000000"/>
        <rFont val="Resource Han Rounded CN Normal"/>
        <charset val="134"/>
      </rPr>
      <t xml:space="preserve">
</t>
    </r>
    <r>
      <rPr>
        <sz val="14"/>
        <color rgb="FF000000"/>
        <rFont val="宋体"/>
        <charset val="134"/>
      </rPr>
      <t>要制造这种粉末，需要从一块</t>
    </r>
    <r>
      <rPr>
        <sz val="14"/>
        <color rgb="FF000000"/>
        <rFont val="Resource Han Rounded CN Normal"/>
        <charset val="134"/>
      </rPr>
      <t>100</t>
    </r>
    <r>
      <rPr>
        <sz val="14"/>
        <color rgb="FF000000"/>
        <rFont val="宋体"/>
        <charset val="134"/>
      </rPr>
      <t>年以上历史的镜子上研磨的玻璃粉、一捧金粉和两种特殊材料（</t>
    </r>
    <r>
      <rPr>
        <sz val="14"/>
        <color rgb="FF000000"/>
        <rFont val="Resource Han Rounded CN Normal"/>
        <charset val="134"/>
      </rPr>
      <t>KP</t>
    </r>
    <r>
      <rPr>
        <sz val="14"/>
        <color rgb="FF000000"/>
        <rFont val="宋体"/>
        <charset val="134"/>
      </rPr>
      <t>选择）。施法者要在洞穴或其他黑暗的地方安静冥想一昼夜。施法者清理思绪之后混合原料，并加入哺乳动物的血液，进行简短的吟唱并支付施法消耗。容器里的材料会燃起火焰，表明法术已经成功。若法术失败，魔法值将浪费，仪式要从头开始。施法者必须通过一个</t>
    </r>
    <r>
      <rPr>
        <sz val="14"/>
        <color rgb="FF000000"/>
        <rFont val="Resource Han Rounded CN Normal"/>
        <charset val="134"/>
      </rPr>
      <t>POW</t>
    </r>
    <r>
      <rPr>
        <sz val="14"/>
        <color rgb="FF000000"/>
        <rFont val="宋体"/>
        <charset val="134"/>
      </rPr>
      <t>检定才能确保成功。</t>
    </r>
    <r>
      <rPr>
        <sz val="14"/>
        <color rgb="FF000000"/>
        <rFont val="Resource Han Rounded CN Normal"/>
        <charset val="134"/>
      </rPr>
      <t xml:space="preserve">
</t>
    </r>
    <r>
      <rPr>
        <sz val="14"/>
        <color rgb="FF000000"/>
        <rFont val="宋体"/>
        <charset val="134"/>
      </rPr>
      <t>成品是精细的灰蓝色粉末，像木屑一般蓬松。它可以长久保存。</t>
    </r>
    <r>
      <rPr>
        <sz val="14"/>
        <color rgb="FF000000"/>
        <rFont val="Resource Han Rounded CN Normal"/>
        <charset val="134"/>
      </rPr>
      <t xml:space="preserve">
</t>
    </r>
    <r>
      <rPr>
        <sz val="14"/>
        <color rgb="FF000000"/>
        <rFont val="宋体"/>
        <charset val="134"/>
      </rPr>
      <t>一撮就足够使用了，它可以撒、吹、丢向目标，可以看见任何占据身体的异界存在，好像一个生物大小的影子叠映在宿主身上；此轮结束时，影像消失。所有目击此存在的影像造成的理智值损失减半。</t>
    </r>
    <r>
      <rPr>
        <sz val="14"/>
        <color rgb="FF000000"/>
        <rFont val="Resource Han Rounded CN Normal"/>
        <charset val="134"/>
      </rPr>
      <t xml:space="preserve">
</t>
    </r>
    <r>
      <rPr>
        <sz val="14"/>
        <color rgb="FF000000"/>
        <rFont val="宋体"/>
        <charset val="134"/>
      </rPr>
      <t>此粉末可以显示旧日支配者伊戈罗纳克，也可以显示夏盖虫族。使用法术</t>
    </r>
    <r>
      <rPr>
        <sz val="14"/>
        <color rgb="FF000000"/>
        <rFont val="Resource Han Rounded CN Normal"/>
        <charset val="134"/>
      </rPr>
      <t>“</t>
    </r>
    <r>
      <rPr>
        <sz val="14"/>
        <color rgb="FF000000"/>
        <rFont val="宋体"/>
        <charset val="134"/>
      </rPr>
      <t>相貌吞食术</t>
    </r>
    <r>
      <rPr>
        <sz val="14"/>
        <color rgb="FF000000"/>
        <rFont val="Resource Han Rounded CN Normal"/>
        <charset val="134"/>
      </rPr>
      <t>”(P72)</t>
    </r>
    <r>
      <rPr>
        <sz val="14"/>
        <color rgb="FF000000"/>
        <rFont val="宋体"/>
        <charset val="134"/>
      </rPr>
      <t>的蛇人不会被本法术揭穿，食尸鬼化的人类</t>
    </r>
    <r>
      <rPr>
        <sz val="14"/>
        <color rgb="FF000000"/>
        <rFont val="Resource Han Rounded CN Normal"/>
        <charset val="134"/>
      </rPr>
      <t>(ghoulishtendency)</t>
    </r>
    <r>
      <rPr>
        <sz val="14"/>
        <color rgb="FF000000"/>
        <rFont val="宋体"/>
        <charset val="134"/>
      </rPr>
      <t>、吸血鬼、变形生物也不会。</t>
    </r>
    <r>
      <rPr>
        <sz val="14"/>
        <color rgb="FF000000"/>
        <rFont val="Resource Han Rounded CN Normal"/>
        <charset val="134"/>
      </rPr>
      <t xml:space="preserve">
</t>
    </r>
    <r>
      <rPr>
        <sz val="14"/>
        <color rgb="FF000000"/>
        <rFont val="宋体"/>
        <charset val="134"/>
      </rPr>
      <t>别名：引出占据的邪恶之面貌、真视之尘、照亮魔鬼</t>
    </r>
  </si>
  <si>
    <t>梦想家诱捕术〔驱〕</t>
  </si>
  <si>
    <r>
      <rPr>
        <sz val="14"/>
        <color rgb="FF000000"/>
        <rFont val="Resource Han Rounded CN Normal"/>
        <charset val="134"/>
      </rPr>
      <t>20</t>
    </r>
    <r>
      <rPr>
        <sz val="14"/>
        <color rgb="FF000000"/>
        <rFont val="宋体"/>
        <charset val="134"/>
      </rPr>
      <t>分钟</t>
    </r>
  </si>
  <si>
    <t>灵魂陷阱、灵魂垂钓、无尽睡眠的陷阱</t>
  </si>
  <si>
    <t>CREATE MIST OF R'LYEH</t>
  </si>
  <si>
    <t>拉莱耶造雾术</t>
  </si>
  <si>
    <r>
      <rPr>
        <sz val="14"/>
        <color rgb="FF000000"/>
        <rFont val="MS Gothic"/>
        <charset val="134"/>
      </rPr>
      <t>レレイの</t>
    </r>
    <r>
      <rPr>
        <sz val="14"/>
        <color rgb="FF000000"/>
        <rFont val="宋体"/>
        <charset val="134"/>
      </rPr>
      <t>霧</t>
    </r>
    <r>
      <rPr>
        <sz val="14"/>
        <color rgb="FF000000"/>
        <rFont val="MS Gothic"/>
        <charset val="134"/>
      </rPr>
      <t>の</t>
    </r>
    <r>
      <rPr>
        <sz val="14"/>
        <color rgb="FF000000"/>
        <rFont val="宋体"/>
        <charset val="134"/>
      </rPr>
      <t>創造</t>
    </r>
  </si>
  <si>
    <r>
      <rPr>
        <sz val="14"/>
        <color rgb="FF000000"/>
        <rFont val="宋体"/>
        <charset val="134"/>
      </rPr>
      <t>拉莱耶造雾术〔战、环〕</t>
    </r>
    <r>
      <rPr>
        <sz val="14"/>
        <color rgb="FF000000"/>
        <rFont val="Resource Han Rounded CN Normal"/>
        <charset val="134"/>
      </rPr>
      <t xml:space="preserve">
Create Mist of R'lyeh
</t>
    </r>
    <r>
      <rPr>
        <sz val="14"/>
        <color rgb="FF000000"/>
        <rFont val="宋体"/>
        <charset val="134"/>
      </rPr>
      <t>消耗：</t>
    </r>
    <r>
      <rPr>
        <sz val="14"/>
        <color rgb="FF000000"/>
        <rFont val="Resource Han Rounded CN Normal"/>
        <charset val="134"/>
      </rPr>
      <t>2</t>
    </r>
    <r>
      <rPr>
        <sz val="14"/>
        <color rgb="FF000000"/>
        <rFont val="宋体"/>
        <charset val="134"/>
      </rPr>
      <t>点魔法值</t>
    </r>
    <r>
      <rPr>
        <sz val="14"/>
        <color rgb="FF000000"/>
        <rFont val="Resource Han Rounded CN Normal"/>
        <charset val="134"/>
      </rPr>
      <t xml:space="preserve">
</t>
    </r>
    <r>
      <rPr>
        <sz val="14"/>
        <color rgb="FF000000"/>
        <rFont val="宋体"/>
        <charset val="134"/>
      </rPr>
      <t>施法用时：即时</t>
    </r>
    <r>
      <rPr>
        <sz val="14"/>
        <color rgb="FF000000"/>
        <rFont val="Resource Han Rounded CN Normal"/>
        <charset val="134"/>
      </rPr>
      <t xml:space="preserve">
</t>
    </r>
    <r>
      <rPr>
        <sz val="14"/>
        <color rgb="FF000000"/>
        <rFont val="宋体"/>
        <charset val="134"/>
      </rPr>
      <t>本法术能在施法者的正前方制造一片卵形浓</t>
    </r>
    <r>
      <rPr>
        <sz val="14"/>
        <color rgb="FF000000"/>
        <rFont val="Resource Han Rounded CN Normal"/>
        <charset val="134"/>
      </rPr>
      <t xml:space="preserve">
</t>
    </r>
    <r>
      <rPr>
        <sz val="14"/>
        <color rgb="FF000000"/>
        <rFont val="宋体"/>
        <charset val="134"/>
      </rPr>
      <t>雾（大小</t>
    </r>
    <r>
      <rPr>
        <sz val="14"/>
        <color rgb="FF000000"/>
        <rFont val="Resource Han Rounded CN Normal"/>
        <charset val="134"/>
      </rPr>
      <t>10×10×15</t>
    </r>
    <r>
      <rPr>
        <sz val="14"/>
        <color rgb="FF000000"/>
        <rFont val="宋体"/>
        <charset val="134"/>
      </rPr>
      <t>尺）。雾气范围的长轴总是指向施法者面对的方向。本法术会在</t>
    </r>
    <r>
      <rPr>
        <sz val="14"/>
        <color rgb="FF000000"/>
        <rFont val="Resource Han Rounded CN Normal"/>
        <charset val="134"/>
      </rPr>
      <t>1D6+4</t>
    </r>
    <r>
      <rPr>
        <sz val="14"/>
        <color rgb="FF000000"/>
        <rFont val="宋体"/>
        <charset val="134"/>
      </rPr>
      <t>游戏轮中遮蔽视线，然后蒸发无踪。</t>
    </r>
    <r>
      <rPr>
        <sz val="14"/>
        <color rgb="FF000000"/>
        <rFont val="Resource Han Rounded CN Normal"/>
        <charset val="134"/>
      </rPr>
      <t xml:space="preserve">
</t>
    </r>
    <r>
      <rPr>
        <sz val="14"/>
        <color rgb="FF000000"/>
        <rFont val="宋体"/>
        <charset val="134"/>
      </rPr>
      <t>别名：畏怖之云、黑暗海洋的气息、水手迷失的阴湿之雾、雾气升腾术</t>
    </r>
  </si>
  <si>
    <t>梦境发送术〔交〕</t>
  </si>
  <si>
    <t>暗夜空想告知术、梦魇幻视诱导术、黑暗的低语、启发不信者、疯狂发送术</t>
  </si>
  <si>
    <t>CANDLE COMMUNICATION</t>
  </si>
  <si>
    <t>烛光通讯术</t>
  </si>
  <si>
    <r>
      <rPr>
        <sz val="14"/>
        <color rgb="FF000000"/>
        <rFont val="MS Gothic"/>
        <charset val="134"/>
      </rPr>
      <t>ろうそく</t>
    </r>
    <r>
      <rPr>
        <sz val="14"/>
        <color rgb="FF000000"/>
        <rFont val="宋体"/>
        <charset val="134"/>
      </rPr>
      <t>交信</t>
    </r>
  </si>
  <si>
    <r>
      <rPr>
        <sz val="14"/>
        <color rgb="FF000000"/>
        <rFont val="宋体"/>
        <charset val="134"/>
      </rPr>
      <t>烛光通讯术〔交〕</t>
    </r>
    <r>
      <rPr>
        <sz val="14"/>
        <color rgb="FF000000"/>
        <rFont val="Resource Han Rounded CN Normal"/>
        <charset val="134"/>
      </rPr>
      <t xml:space="preserve">
Candle Communication
</t>
    </r>
    <r>
      <rPr>
        <sz val="14"/>
        <color rgb="FF000000"/>
        <rFont val="宋体"/>
        <charset val="134"/>
      </rPr>
      <t>消耗：</t>
    </r>
    <r>
      <rPr>
        <sz val="14"/>
        <color rgb="FF000000"/>
        <rFont val="Resource Han Rounded CN Normal"/>
        <charset val="134"/>
      </rPr>
      <t>5+</t>
    </r>
    <r>
      <rPr>
        <sz val="14"/>
        <color rgb="FF000000"/>
        <rFont val="宋体"/>
        <charset val="134"/>
      </rPr>
      <t>点魔法值；</t>
    </r>
    <r>
      <rPr>
        <sz val="14"/>
        <color rgb="FF000000"/>
        <rFont val="Resource Han Rounded CN Normal"/>
        <charset val="134"/>
      </rPr>
      <t>1</t>
    </r>
    <r>
      <rPr>
        <sz val="14"/>
        <color rgb="FF000000"/>
        <rFont val="宋体"/>
        <charset val="134"/>
      </rPr>
      <t>点理智值施法用时：即时</t>
    </r>
    <r>
      <rPr>
        <sz val="14"/>
        <color rgb="FF000000"/>
        <rFont val="Resource Han Rounded CN Normal"/>
        <charset val="134"/>
      </rPr>
      <t xml:space="preserve">
</t>
    </r>
    <r>
      <rPr>
        <sz val="14"/>
        <color rgb="FF000000"/>
        <rFont val="宋体"/>
        <charset val="134"/>
      </rPr>
      <t>本法术可以让两个知觉生物用魔法进行交流，不需要其他设备就能传递声音。法术需要两名施法者。两人要在计划好的时间点起一支蜡烛并反复诵读咒语，直到听到对方的声音为止。本法术在十英里之内传声都很清晰；距离每增加一百英里（不足进位），每名施法者就要多消耗一点魔法值。法术最远范围是一千英里。吹灭蜡烛可以令法术终止。</t>
    </r>
    <r>
      <rPr>
        <sz val="14"/>
        <color rgb="FF000000"/>
        <rFont val="Resource Han Rounded CN Normal"/>
        <charset val="134"/>
      </rPr>
      <t xml:space="preserve">
</t>
    </r>
    <r>
      <rPr>
        <sz val="14"/>
        <color rgb="FF000000"/>
        <rFont val="宋体"/>
        <charset val="134"/>
      </rPr>
      <t>深层魔法：可以令最多四名巫师同时进行会话，并且可以向其他人发送图像。图像会显示在火焰里。</t>
    </r>
    <r>
      <rPr>
        <sz val="14"/>
        <color rgb="FF000000"/>
        <rFont val="Resource Han Rounded CN Normal"/>
        <charset val="134"/>
      </rPr>
      <t xml:space="preserve">
</t>
    </r>
    <r>
      <rPr>
        <sz val="14"/>
        <color rgb="FF000000"/>
        <rFont val="宋体"/>
        <charset val="134"/>
      </rPr>
      <t>别名：火之舌、火焰的呼吸、巫师信</t>
    </r>
  </si>
  <si>
    <r>
      <rPr>
        <sz val="14"/>
        <color rgb="FF000000"/>
        <rFont val="宋体"/>
        <charset val="134"/>
      </rPr>
      <t>犹格</t>
    </r>
    <r>
      <rPr>
        <sz val="14"/>
        <color rgb="FF000000"/>
        <rFont val="Resource Han Rounded CN Normal"/>
        <charset val="134"/>
      </rPr>
      <t>-</t>
    </r>
    <r>
      <rPr>
        <sz val="14"/>
        <color rgb="FF000000"/>
        <rFont val="宋体"/>
        <charset val="134"/>
      </rPr>
      <t>索托斯之拳〔战〕</t>
    </r>
  </si>
  <si>
    <t>连接开路者的力量、击仆汝敌、邪恶者的丑恶一击</t>
  </si>
  <si>
    <t>PARTING SANDS</t>
  </si>
  <si>
    <t>分沙术</t>
  </si>
  <si>
    <r>
      <rPr>
        <sz val="14"/>
        <color rgb="FF000000"/>
        <rFont val="宋体"/>
        <charset val="134"/>
      </rPr>
      <t>分</t>
    </r>
    <r>
      <rPr>
        <sz val="14"/>
        <color rgb="FF000000"/>
        <rFont val="MS Gothic"/>
        <charset val="134"/>
      </rPr>
      <t>かれの</t>
    </r>
    <r>
      <rPr>
        <sz val="14"/>
        <color rgb="FF000000"/>
        <rFont val="宋体"/>
        <charset val="134"/>
      </rPr>
      <t>砂</t>
    </r>
  </si>
  <si>
    <r>
      <rPr>
        <sz val="14"/>
        <color rgb="FF000000"/>
        <rFont val="宋体"/>
        <charset val="134"/>
      </rPr>
      <t>分沙术〔环〕</t>
    </r>
    <r>
      <rPr>
        <sz val="14"/>
        <color rgb="FF000000"/>
        <rFont val="Resource Han Rounded CN Normal"/>
        <charset val="134"/>
      </rPr>
      <t xml:space="preserve">
Parting Sands
</t>
    </r>
    <r>
      <rPr>
        <sz val="14"/>
        <color rgb="FF000000"/>
        <rFont val="宋体"/>
        <charset val="134"/>
      </rPr>
      <t>消耗：可变的魔法值；</t>
    </r>
    <r>
      <rPr>
        <sz val="14"/>
        <color rgb="FF000000"/>
        <rFont val="Resource Han Rounded CN Normal"/>
        <charset val="134"/>
      </rPr>
      <t>1D4</t>
    </r>
    <r>
      <rPr>
        <sz val="14"/>
        <color rgb="FF000000"/>
        <rFont val="宋体"/>
        <charset val="134"/>
      </rPr>
      <t>点理智值</t>
    </r>
    <r>
      <rPr>
        <sz val="14"/>
        <color rgb="FF000000"/>
        <rFont val="Resource Han Rounded CN Normal"/>
        <charset val="134"/>
      </rPr>
      <t xml:space="preserve">
</t>
    </r>
    <r>
      <rPr>
        <sz val="14"/>
        <color rgb="FF000000"/>
        <rFont val="宋体"/>
        <charset val="134"/>
      </rPr>
      <t>施法用时：</t>
    </r>
    <r>
      <rPr>
        <sz val="14"/>
        <color rgb="FF000000"/>
        <rFont val="Resource Han Rounded CN Normal"/>
        <charset val="134"/>
      </rPr>
      <t>10</t>
    </r>
    <r>
      <rPr>
        <sz val="14"/>
        <color rgb="FF000000"/>
        <rFont val="宋体"/>
        <charset val="134"/>
      </rPr>
      <t>轮</t>
    </r>
    <r>
      <rPr>
        <sz val="14"/>
        <color rgb="FF000000"/>
        <rFont val="Resource Han Rounded CN Normal"/>
        <charset val="134"/>
      </rPr>
      <t xml:space="preserve">
</t>
    </r>
    <r>
      <rPr>
        <sz val="14"/>
        <color rgb="FF000000"/>
        <rFont val="宋体"/>
        <charset val="134"/>
      </rPr>
      <t>源自古埃及巫术的法术，用来分开无生命的障碍物（墙、门、河等等）。法术消耗</t>
    </r>
    <r>
      <rPr>
        <sz val="14"/>
        <color rgb="FF000000"/>
        <rFont val="Resource Han Rounded CN Normal"/>
        <charset val="134"/>
      </rPr>
      <t>2</t>
    </r>
    <r>
      <rPr>
        <sz val="14"/>
        <color rgb="FF000000"/>
        <rFont val="宋体"/>
        <charset val="134"/>
      </rPr>
      <t>点魔法值，如果要分开的障碍物</t>
    </r>
    <r>
      <rPr>
        <sz val="14"/>
        <color rgb="FF000000"/>
        <rFont val="Resource Han Rounded CN Normal"/>
        <charset val="134"/>
      </rPr>
      <t>SIZ</t>
    </r>
    <r>
      <rPr>
        <sz val="14"/>
        <color rgb="FF000000"/>
        <rFont val="宋体"/>
        <charset val="134"/>
      </rPr>
      <t>超过</t>
    </r>
    <r>
      <rPr>
        <sz val="14"/>
        <color rgb="FF000000"/>
        <rFont val="Resource Han Rounded CN Normal"/>
        <charset val="134"/>
      </rPr>
      <t>10</t>
    </r>
    <r>
      <rPr>
        <sz val="14"/>
        <color rgb="FF000000"/>
        <rFont val="宋体"/>
        <charset val="134"/>
      </rPr>
      <t>点，每超过</t>
    </r>
    <r>
      <rPr>
        <sz val="14"/>
        <color rgb="FF000000"/>
        <rFont val="Resource Han Rounded CN Normal"/>
        <charset val="134"/>
      </rPr>
      <t>5</t>
    </r>
    <r>
      <rPr>
        <sz val="14"/>
        <color rgb="FF000000"/>
        <rFont val="宋体"/>
        <charset val="134"/>
      </rPr>
      <t>点就要额外消耗</t>
    </r>
    <r>
      <rPr>
        <sz val="14"/>
        <color rgb="FF000000"/>
        <rFont val="Resource Han Rounded CN Normal"/>
        <charset val="134"/>
      </rPr>
      <t>1</t>
    </r>
    <r>
      <rPr>
        <sz val="14"/>
        <color rgb="FF000000"/>
        <rFont val="宋体"/>
        <charset val="134"/>
      </rPr>
      <t>点魔法值。需要沙漠中的沙子，施法者对它进行附魔以后将它向着障碍物撒成一条线（向着出口的方向）。打开的通路宽高足够</t>
    </r>
    <r>
      <rPr>
        <sz val="14"/>
        <color rgb="FF000000"/>
        <rFont val="Resource Han Rounded CN Normal"/>
        <charset val="134"/>
      </rPr>
      <t>10</t>
    </r>
    <r>
      <rPr>
        <sz val="14"/>
        <color rgb="FF000000"/>
        <rFont val="宋体"/>
        <charset val="134"/>
      </rPr>
      <t>个人</t>
    </r>
    <r>
      <rPr>
        <sz val="14"/>
        <color rgb="FF000000"/>
        <rFont val="Resource Han Rounded CN Normal"/>
        <charset val="134"/>
      </rPr>
      <t>10</t>
    </r>
    <r>
      <rPr>
        <sz val="14"/>
        <color rgb="FF000000"/>
        <rFont val="宋体"/>
        <charset val="134"/>
      </rPr>
      <t>匹马通行。</t>
    </r>
    <r>
      <rPr>
        <sz val="14"/>
        <color rgb="FF000000"/>
        <rFont val="Resource Han Rounded CN Normal"/>
        <charset val="134"/>
      </rPr>
      <t xml:space="preserve">
</t>
    </r>
    <r>
      <rPr>
        <sz val="14"/>
        <color rgb="FF000000"/>
        <rFont val="宋体"/>
        <charset val="134"/>
      </rPr>
      <t>岩石、墙壁等坚硬的障碍物会被撕裂，根据</t>
    </r>
    <r>
      <rPr>
        <sz val="14"/>
        <color rgb="FF000000"/>
        <rFont val="Resource Han Rounded CN Normal"/>
        <charset val="134"/>
      </rPr>
      <t>KP</t>
    </r>
    <r>
      <rPr>
        <sz val="14"/>
        <color rgb="FF000000"/>
        <rFont val="宋体"/>
        <charset val="134"/>
      </rPr>
      <t>的裁定，可能会造成落石等险境。</t>
    </r>
    <r>
      <rPr>
        <sz val="14"/>
        <color rgb="FF000000"/>
        <rFont val="Resource Han Rounded CN Normal"/>
        <charset val="134"/>
      </rPr>
      <t xml:space="preserve">
</t>
    </r>
    <r>
      <rPr>
        <sz val="14"/>
        <color rgb="FF000000"/>
        <rFont val="宋体"/>
        <charset val="134"/>
      </rPr>
      <t>别名：开路术、移开壁垒的法术、开海成路之颗粒</t>
    </r>
  </si>
  <si>
    <t>分沙术〔环〕</t>
  </si>
  <si>
    <r>
      <rPr>
        <sz val="14"/>
        <color rgb="FF000000"/>
        <rFont val="Resource Han Rounded CN Normal"/>
        <charset val="134"/>
      </rPr>
      <t>10</t>
    </r>
    <r>
      <rPr>
        <sz val="14"/>
        <color rgb="FF000000"/>
        <rFont val="宋体"/>
        <charset val="134"/>
      </rPr>
      <t>轮</t>
    </r>
  </si>
  <si>
    <t>开路术、移开壁垒的法术、开海成路之颗粒、英俊外表术、狐狸的信心灌注术、魅力术</t>
  </si>
  <si>
    <r>
      <rPr>
        <sz val="10"/>
        <color rgb="FF569CD6"/>
        <rFont val="Consolas"/>
        <charset val="134"/>
      </rPr>
      <t>神秘学书籍</t>
    </r>
    <r>
      <rPr>
        <sz val="10"/>
        <color rgb="FFCCCCCC"/>
        <rFont val="Consolas"/>
        <charset val="134"/>
      </rPr>
      <t>:</t>
    </r>
  </si>
  <si>
    <t>《宣福者美多迪乌斯》</t>
  </si>
  <si>
    <t>拉丁文，著者被认为是奥林匹斯的圣美多迪乌斯(St.Methodius of Olympus)，约公元300年</t>
  </si>
  <si>
    <t>从诺斯替主义的观点来看，这篇较短的文章是用作预言的启示录的。它预言了世界的历史。它叙述塞特在东方找到一个新的国家，来到了启蒙的国度；该隐的子孙如何在印度创立了一个黑魔法系统。</t>
  </si>
  <si>
    <t>理智损失：无</t>
  </si>
  <si>
    <t>神秘学：+2%"</t>
  </si>
  <si>
    <t>《翡翠石板》</t>
  </si>
  <si>
    <t>多种语言，原版明显是腓尼基语，作者不明，约公元200年</t>
  </si>
  <si>
    <t>中世纪欧洲最重要的炼金术文献，幸运的是很短，但是和古代中国的《道德经》一样晦涩难懂。</t>
  </si>
  <si>
    <t>神秘学：+1%"</t>
  </si>
  <si>
    <t>《金枝》</t>
  </si>
  <si>
    <t>英文，著者〔英〕乔治·弗雷泽，1890，两卷本</t>
  </si>
  <si>
    <t>1911～1915年出版了扩充的十三卷本。人类学的经典著作，探寻魔法、宗教和科学思想的演变。删节版在大多数美国图书馆都能找到。</t>
  </si>
  <si>
    <t>理智损失1d2=[1d2]</t>
  </si>
  <si>
    <t>神秘学：+5%"</t>
  </si>
  <si>
    <t>《易经》</t>
  </si>
  <si>
    <t>古汉语及多种译文，包括英文（公元前约2000年以前，有现代英文译本）</t>
  </si>
  <si>
    <t>中国在孔子时代的五本经典之一。微妙而理想化的占卜系统，很容易使用，但是能够根据情境的不同揭示深刻的意义。</t>
  </si>
  <si>
    <t>神秘学：+8%"</t>
  </si>
  <si>
    <t>《揭开面纱的伊西斯》</t>
  </si>
  <si>
    <t>英文，著者〔俄〕海伦娜·彼得罗夫娜·布拉瓦茨基夫人，1877</t>
  </si>
  <si>
    <t>两卷本的套装，由作者对唯物主义以及傲慢的当代宗教、科学团体的回应组成。内容还包括了催眠术、心灵占卜术、居住在以太界的存在以及护身符等章节（仅举几例）。</t>
  </si>
  <si>
    <t>神秘学：+6%"</t>
  </si>
  <si>
    <t>《所罗门之钥》</t>
  </si>
  <si>
    <t>拉丁文原文及多种译文，14世纪</t>
  </si>
  <si>
    <t>据称由所罗门王所著。分为上下两卷，上卷指出如何在与灵魂交流时避免犯下严重的错误；下卷讨论魔法术式，包含很多复杂的仪式。</t>
  </si>
  <si>
    <t>《女巫之锤》</t>
  </si>
  <si>
    <t>拉丁文及多种译文，著者〔德〕施普伦格和克拉默，1486年</t>
  </si>
  <si>
    <t>俗称“女巫的锤子”。这本书是给中世纪异端审问官的指导书，主要讲述的是如何鉴别以及施刑劝服女巫。大约九百万人在这本恐怖的书籍促使下断送了性命。1906年的德文译本标着它出色的名字：《女巫之锤》。</t>
  </si>
  <si>
    <t>神秘学：+3%"</t>
  </si>
  <si>
    <t>《诺查丹玛斯的预言》（译注：即为《诸世纪》）</t>
  </si>
  <si>
    <t>多种语言，著者〔法〕诺斯特罗达姆（诺查丹玛斯），1555~1557</t>
  </si>
  <si>
    <t>书中有约一千首四行诗，自称预言了到公元3797年为止的人类重大事件。预言的指代并不明确，含有大量意象隐喻，使得它们适合各种各样的用法。后人对书中的许多预言进行了大量的解读。</t>
  </si>
  <si>
    <t>《西欧的异教巫术崇拜》</t>
  </si>
  <si>
    <t>英文，著者〔英〕玛格丽特·默里，1921</t>
  </si>
  <si>
    <t>现代英文的带封套八开本，至今已多次再版重印。书中将中世纪所谓的女巫集会联系到基督教之前的信仰，它们以迷信的形式存活了下来，或者更系统地讲，被教会驱赶到了地下。这本书常能在图书馆和书店发现。</t>
  </si>
  <si>
    <t>《光明篇》</t>
  </si>
  <si>
    <t>阿拉米语，版本众多，被译成拉丁文、德文、英文、法文等；著者〔西〕摩西·德·利昂，1280年</t>
  </si>
  <si>
    <t>中世纪犹太神秘哲学的基础之作，本书通过沉思和启示，来尝试知晓并接近上帝。</t>
  </si>
  <si>
    <t>理智损失1/1d3+1=[1d4]</t>
  </si>
  <si>
    <t>神秘学：+7%"</t>
  </si>
  <si>
    <r>
      <rPr>
        <sz val="10"/>
        <color rgb="FF569CD6"/>
        <rFont val="Consolas"/>
        <charset val="134"/>
      </rPr>
      <t>神话典籍</t>
    </r>
    <r>
      <rPr>
        <sz val="10"/>
        <color rgb="FFCCCCCC"/>
        <rFont val="Consolas"/>
        <charset val="134"/>
      </rPr>
      <t>:</t>
    </r>
  </si>
  <si>
    <t>《阿撒托斯及其他》</t>
  </si>
  <si>
    <t>英文，爱德华·德比，1919</t>
  </si>
  <si>
    <t>是这位出生于阿卡姆的诗人早年诗作的合集。在波士顿以袖珍本出版，开本3.5×5.5英寸，黑色皮革装订。印刷并售出了约1400册。</t>
  </si>
  <si>
    <t>理智损失1d4=[1d4]</t>
  </si>
  <si>
    <t>克苏鲁神话：+1/+3%</t>
  </si>
  <si>
    <t>神话等级：12</t>
  </si>
  <si>
    <t>学时：1周</t>
  </si>
  <si>
    <t>建议法术：无。"</t>
  </si>
  <si>
    <t>《迪詹之书》</t>
  </si>
  <si>
    <t>英文，作者、译者不详</t>
  </si>
  <si>
    <t>据信来自远古神智学家海伦娜·布拉瓦茨基很久以前就提及此书，但从未有人发现真本（译注，此处指验明非伪作，故译作“真本”）。据说它是从一本源自亚特兰蒂斯的手稿翻译而来的。它也叫做《迪詹诗节》，其中一部分被翻译成了《秘密教义》（The Secret doctrie.〔俄〕海伦娜·布拉瓦茨基，1888），但后者不包含法术，也没有其他的神话相关内容。</t>
  </si>
  <si>
    <t>理智损失1d6=[1d6]</t>
  </si>
  <si>
    <t>克苏鲁神话：+3/+6%</t>
  </si>
  <si>
    <t>神话等级：27</t>
  </si>
  <si>
    <t>学时：14周</t>
  </si>
  <si>
    <t>建议法术：召唤森林之子（黑山羊幼崽召唤/束缚术），召唤风之精（拜亚基召唤/束缚术），召唤隐形行者（空鬼召唤/束缚术），梦境幻视（克苏鲁通神术）。"</t>
  </si>
  <si>
    <t>英文，译者不详，约15世纪</t>
  </si>
  <si>
    <t>讹误残缺的译本。有十八册抄本传世，每本的字迹皆不同。</t>
  </si>
  <si>
    <t>理智损失2d4=[2d4]</t>
  </si>
  <si>
    <t>克苏鲁神话：+3/+8%</t>
  </si>
  <si>
    <t>神话等级：33</t>
  </si>
  <si>
    <t>学时：32周</t>
  </si>
  <si>
    <t>建议法术：阿撒托斯请/送神术、Zhothaqquah的无形眷族联络术、Kthulhut（克苏鲁）通神术、Yok Zothoth（犹格-索托斯）通神术、Zhothaqquah（撒托古亚）联络术，时空门创建术，拉莱耶造雾术，刀具附魔术，绿腐术，肢体凋萎术。"</t>
  </si>
  <si>
    <t>《伊波恩之书》拉丁文版</t>
  </si>
  <si>
    <t>拉丁文，凯厄斯·菲利普斯译，9世纪</t>
  </si>
  <si>
    <t>尽管据传说此书的原版由希柏里尔的巫师伊波恩所著，但尚未发现早于拉丁文版本的真本。从未出版，在图书馆藏书编目当中共有六册装订的手抄本。</t>
  </si>
  <si>
    <t>克苏鲁神话：+4/+9%</t>
  </si>
  <si>
    <t>神话等级：39</t>
  </si>
  <si>
    <t>学时：36周</t>
  </si>
  <si>
    <t>建议法术：阿撒托斯请/送神术、Zhothaqquah的无形眷族联络术、Kthulhut（克苏鲁）通神术、Yok Zothoth（犹格-索托斯）通神术，Zhothaqquah（撒托古亚）联络术，纳克-提特障壁创建术，时空门创建术，拉莱耶造雾术，刀具附魔术，绿腐术，维瑞之印，肢体凋萎术。"</t>
  </si>
  <si>
    <t>《伊波恩之书》法文版</t>
  </si>
  <si>
    <t>法文，加斯帕德·杜诺德译，约13世纪</t>
  </si>
  <si>
    <t>装订的手抄本，其中全本和残本共有十三册流传至今。</t>
  </si>
  <si>
    <t>克苏鲁神话：+4/+8%</t>
  </si>
  <si>
    <t>神话等级：36</t>
  </si>
  <si>
    <t>《刻莱诺残篇》</t>
  </si>
  <si>
    <t>英文手稿本（译注，作者亲手书写的版本），拉班·施鲁斯伯里博士，1915(1938)</t>
  </si>
  <si>
    <t>孤本传世，作者将其寄存在密斯卡托尼克大学，他本人不久以后就神秘消失了。</t>
  </si>
  <si>
    <t>理智损失1d8=[1d8]</t>
  </si>
  <si>
    <t>学时：15周</t>
  </si>
  <si>
    <t>建议法术：黄金蜂蜜酒酿造法，克图格亚请神术，旧印开光术，哨子附魔术，拜亚基召唤/束缚术。"</t>
  </si>
  <si>
    <t>《狂僧克利萨努斯的忏悔》</t>
  </si>
  <si>
    <t>拉丁文，克利萨努斯，400(1674)</t>
  </si>
  <si>
    <t>对克利萨努斯通过阅读《死灵之书》搜集到材料的翻新(A retreadig of material Clithaus gleaed from readig the Necroomico.译注，克利萨努斯的年代早于阿卜杜勒·阿尔哈兹莱德，不可能读得到《死灵之书》。此处存疑）。包含关于守护咒印以及克苏鲁的族类的冗长论述。复本保管在芝加哥菲尔德自然史博物馆、大英博物馆和纽约协和神学院。</t>
  </si>
  <si>
    <t>理智损失2d6=[2d6]</t>
  </si>
  <si>
    <t>学时：29周</t>
  </si>
  <si>
    <t>建议法术：唤来海中的亵渎物（克苏鲁的星之眷族联络术），大师之印（旧印开光术），守卫术。"</t>
  </si>
  <si>
    <t>《水中之喀特》拉丁文版</t>
  </si>
  <si>
    <t>拉丁文，作者不详，约11～12世纪</t>
  </si>
  <si>
    <t>对深潜者的详尽研究。有三册传世，每本均以人皮装订，据说在湿度过低时皮面会开始出汗。据信一册藏于大英博物馆——尽管馆方否认这一说法——还有两册藏于英国的私人藏书家手中。</t>
  </si>
  <si>
    <t>理智损失2d8=[2d8]</t>
  </si>
  <si>
    <t>学时：46周</t>
  </si>
  <si>
    <t>建议法术：神赐梦境（克苏鲁通神术），Zattoqua所赐梦境（撒托古亚通神术），溺死者之梦（伊波-兹特尔通神术），与海之子交谈（深潜者联络术），与父神达贡交谈，与母神海德拉交谈（海德拉联络术），与神之子交谈（克苏鲁的星之眷族联络术），奈哈戈送葬歌（最后这个法术是复活术的反转版，用来毁灭复活者）。"</t>
  </si>
  <si>
    <t>《水中之喀特》古英文版</t>
  </si>
  <si>
    <t>中古英文，作者、译者不详，约14世纪</t>
  </si>
  <si>
    <t>对深潜者的详尽研究，但是译本不完整，且有严重的错漏。唯一一本装订的手抄本现藏大英博物馆。</t>
  </si>
  <si>
    <t>克苏鲁神话：+2/+4%</t>
  </si>
  <si>
    <t>神话等级：18</t>
  </si>
  <si>
    <t>建议法术：神赐梦境（克苏鲁通神术），与海之子交谈（深潜者联络术），与父神达贡交谈，与母神海德拉交谈，与神之子交谈（克苏鲁的星之眷族联络术）。"</t>
  </si>
  <si>
    <t>《死灵之书中的克苏鲁》</t>
  </si>
  <si>
    <t>英文，拉班·施鲁斯伯里博士，1915（1938年出版）</t>
  </si>
  <si>
    <t>为计划出版的新书做的笔记。作者将其寄存在密斯卡托尼克大学，他本人不久以后就神秘消失了。描述了克苏鲁影响人类梦境的能力，并警示有一个世界性的教团，正在致力于克苏鲁的复活。</t>
  </si>
  <si>
    <t>建议法术：克苏鲁通神术，深潜者联络术，旧印开光术。"</t>
  </si>
  <si>
    <t>《食尸鬼教团》</t>
  </si>
  <si>
    <t>法文，德雷特伯爵，弗朗索瓦-奥诺雷·巴尔富，1702?</t>
  </si>
  <si>
    <t>1703年在法国（巴黎？）以四开本出版。教会立即斥其为邪书。此书记载了一个庞大的教团，在法国实行死灵法术、食尸、恋尸等行为。已知传世复本共有十四册，最晚的一本在1906年发现。</t>
  </si>
  <si>
    <t>理智损失1d10=[1d10]</t>
  </si>
  <si>
    <t>学时：22周</t>
  </si>
  <si>
    <t>建议法术：黑色束缚（僵尸创建术），尼约格萨请/送神术，莎布-尼古拉丝请/送神术，食尸鬼联络术，复活术，枯萎术，拜亚基召唤/束缚术，黑山羊幼崽召唤/束缚术，维瑞之印。"</t>
  </si>
  <si>
    <t>《蠕虫之秘密》</t>
  </si>
  <si>
    <t>拉丁文，路德维希·蒲林，1542</t>
  </si>
  <si>
    <t>（德文版）同年在德国科隆以哥特体字对开本出版。被教会查禁。有十五册留存至今。其中一部分讨论了阿拉伯世界，以及那里的超自然存在。</t>
  </si>
  <si>
    <t>学时：48周</t>
  </si>
  <si>
    <t>建议法术：伊格通神术，占卜窗创建术，僵尸创建术，祈求恶魔（拜亚基召唤/束缚术），祈求山羊之子（黑山羊幼崽召唤/束缚术），祈求隐形仆从（星之精召唤/束缚术），精神转移术，维瑞之印。"</t>
  </si>
  <si>
    <t>《埃尔特当陶片》</t>
  </si>
  <si>
    <t>英文，亚瑟·布鲁克·温特斯-霍尔教士，1912</t>
  </si>
  <si>
    <t>从南英格兰发掘出的陶片上找到的神秘象形文字翻译而成的可疑译本，共印刷了350本小册子，每册64页。讲述了一种生物，可以超越空间和时间和其他生物交换精神。</t>
  </si>
  <si>
    <t>学时：6周</t>
  </si>
  <si>
    <t>建议法术：伊斯人联络术。"</t>
  </si>
  <si>
    <t>《格哈恩残篇》</t>
  </si>
  <si>
    <t>英文，艾默里·温迪-史密斯爵士，1919（1931年出版）</t>
  </si>
  <si>
    <t>是对刻有古怪点状图案的陶片的学术研究和破译。极其详细地论述了失落的城市格哈恩，包括它的位置。陶片是由温德罗普(Widrop)在北非发现的。原版共印958册，是粗陋的十六开本4.5×5.75，由作者自费出版。</t>
  </si>
  <si>
    <t>克苏鲁神话：+3/+7%</t>
  </si>
  <si>
    <t>神话等级：30</t>
  </si>
  <si>
    <t>学时：12周</t>
  </si>
  <si>
    <t>建议法术：钻地魔虫联络术，古老者联络术，修德·梅尔通神术，修德·梅尔之赤印。"</t>
  </si>
  <si>
    <t>《黄衣之王》</t>
  </si>
  <si>
    <t>英文，译者不详，约1895</t>
  </si>
  <si>
    <t>原版明显是法文，但是该版本刚刚出版就被第三共和国没收并销毁。英文版是薄薄的黑色八开本，封面上压印有一枚巨大的黄印。在阅读本书之前，黄印对读者没有效果，只是会激发好奇的感觉。在读完本书之后（或者接触过任何从卡尔克萨来的人或事物以后），再看这枚黄印需要损失0/1d6点理智值（仅一次）。本书是一篇暧昧不清、如梦似幻的戏剧，开启读者的疯狂之门。奇妙的是，读者将无法选择不相信书中所写的内容。爱好艺术的人将迫使自己重读这部戏剧。如果这本书造成了疯狂，阅读者将沉迷于卡尔克萨和黄衣之王（参考黄印，RB322）。</t>
  </si>
  <si>
    <t>克苏鲁神话：+1/+4%</t>
  </si>
  <si>
    <t>神话等级：15</t>
  </si>
  <si>
    <t>《致夏盖的安魂弥撒》</t>
  </si>
  <si>
    <t>意大利文，本韦努托·基耶蒂·博尔迪盖拉，1768</t>
  </si>
  <si>
    <t>这是一部歌剧的配乐和歌词集，从未出版，而且仅演出过一次。涉及到强奸、乱伦和其他的堕落行为。据有见识的音乐家判断，其中的一些部分是演奏不出来的。保管在大英博物馆、巴黎国立图书馆和梵蒂冈的Z级书库中。</t>
  </si>
  <si>
    <t>学时：2周</t>
  </si>
  <si>
    <t>建议法术：（当演出整场歌剧时）阿萨托斯请神术会在第三幕的中间被施放出来。"</t>
  </si>
  <si>
    <t>《怪物及其族类》</t>
  </si>
  <si>
    <t>英文，作者不详，16世纪</t>
  </si>
  <si>
    <t>这本书仅有一册对开手抄本存世，1898年被人从大英博物馆盗走。流言称尚有其他复本存留至今，但至今尚无真本发现。本书主题繁杂，借鉴了《死灵之书》、《伊波恩之书》等各种典籍。讨论的条目也很多，囊括了克苏鲁、犹格-索托斯、罗伊格尔(Lloigor)、扎尔(Zhar)双子。</t>
  </si>
  <si>
    <t>克苏鲁神话：+2/+6%</t>
  </si>
  <si>
    <t>神话等级：24</t>
  </si>
  <si>
    <t>建议法术：命令无面者（夜魇召唤/束缚术），命令冰恶魔（拜亚基召唤/束缚术），命令隐形仆从（星之精召唤/束缚术），命令夜之兽（恐怖猎手召唤/束缚术），命令星行者（空鬼召唤/束缚术），刀具附魔术，笛子附魔术。"</t>
  </si>
  <si>
    <t>《不可名状的教团》德文版</t>
  </si>
  <si>
    <t>德文，弗里德里希·威廉·冯·容兹，1839</t>
  </si>
  <si>
    <t>正确名字是《关于无法形容的教团的书》四开本，可能是在汉堡印刷的。这本书很久以来都被人称作“黑书”，讲述了容兹和各色邪教团体、秘密结社之间的关系。传说还有其他的版本。欧美所有主要的图书馆总共有六册复本。原版贵在有着冈特·哈塞(Guter Hasse)的恐怖雕版。</t>
  </si>
  <si>
    <t>克苏鲁神话：+5/+10%</t>
  </si>
  <si>
    <t>神话等级：45</t>
  </si>
  <si>
    <t>学时：52周</t>
  </si>
  <si>
    <t>建议法术：接近胞兄弟（食尸鬼联络术），纳克-提特障壁创建术，招唤伟大者（达贡通神术），召唤以太恶魔（米-戈联络术），唤日术（阿撒托斯请/送神术），召唤塞伊格亚（塞伊格亚请/送神术），召唤有角之人（奈亚拉托提普请/送神术），召唤“不应存在者”（尼约格萨请/送神术），召唤林地女神（莎布-尼古拉丝请/送神术），召唤空翔旅行者（拜亚基召唤/束缚术），命令树木（黑山羊幼崽召唤/束缚术），命令未知（加塔诺托亚请/送神术），联络深渊之子（深潜者联络术），再生术（复活术）。"</t>
  </si>
  <si>
    <t>《不可名状的教团》英文版</t>
  </si>
  <si>
    <t>英文，译者不详，1845年出版</t>
  </si>
  <si>
    <t>未经授权的翻译，由“英国监狱”（Bridewell of Eglad，可能在伦敦）以八开本出版。各种藏家手中总共有二十册以上的复本。舛讹极多。</t>
  </si>
  <si>
    <t>建议法术：如同《不可名状的教团》（德文版），但大多数法术都不完整或者有错误。"</t>
  </si>
  <si>
    <t>《不可名状的教团》删减版</t>
  </si>
  <si>
    <t>英文，译者不详，1909年出版</t>
  </si>
  <si>
    <t>英国监狱本的删节本，由纽约的金哥布林出版社出版。只保留了法术的描述，早先版本中的完整仪式则被删去。这个版本在旧书店可能找得到。</t>
  </si>
  <si>
    <t>学时：30周</t>
  </si>
  <si>
    <t>《基塔布·阿尔·阿吉夫》</t>
  </si>
  <si>
    <t>阿拉伯文，阿卜杜勒·阿尔哈兹莱德(Abd alAzrad)，约公元730年</t>
  </si>
  <si>
    <t>《死灵之书》的原典于西元730年前后用阿拉伯语写成。它的原始版本可能是书卷，但从它抄出的抄本也可能以装订过的古书的形式存在。据奥洛斯·沃尔密乌斯(Olaus Wormius)记载，早在13世纪初，原版的阿拉伯语抄本就已全部遗失了。不过有人宣称，在开罗博物馆的储藏库中还能找到一册。阿拉伯语的《基塔布·阿尔·阿吉夫》原典含有丰富的神秘符号及图表，也收录了记载犹格斯、寇斯(Xoth)、夏尔诺斯(Sharnoth)等天体位置的星图。《基塔布·阿尔·阿吉夫》现已不存一册，但在传说中，它却拥有绝大的力量。</t>
  </si>
  <si>
    <t>理智损失2d10=[2d10]</t>
  </si>
  <si>
    <t>克苏鲁神话：+6/+12%</t>
  </si>
  <si>
    <t>神话等级：54</t>
  </si>
  <si>
    <t>学时：68周</t>
  </si>
  <si>
    <t>建议法术：阿撒托斯请/送神术，克图格亚请/送神术，哈斯塔请/送神术，尼约格萨请/送神术，莎布-尼古拉丝请/送神术，犹格-索托斯请/送神术，食尸鬼联络术，奈亚拉托普请/送神术，潜沙怪联络术，支配术，阿萨托斯的恐怖诅咒，苏莱曼之尘，旧印开光术，伊本-加齐之粉，复活术，枯萎术，拜亚基召唤/束缚术，炎之精召唤/束缚术，外神仆役召唤/束缚术，维瑞之印。"</t>
  </si>
  <si>
    <t>《死灵之书》希腊文版</t>
  </si>
  <si>
    <t>希腊文，狄奥多拉斯·菲利塔斯译，约950</t>
  </si>
  <si>
    <t>早期手稿本具体不详。少量的对开本，在（佛罗伦萨？）出版后受到教会的查禁。此版本没有任何绘图、地图和表格。已知的最后一册复本1692年在塞勒姆被焚毁。</t>
  </si>
  <si>
    <t>克苏鲁神话：+5/+12%</t>
  </si>
  <si>
    <t>神话等级：51</t>
  </si>
  <si>
    <t>《死灵之书》拉丁文版</t>
  </si>
  <si>
    <t>拉丁文，奥劳斯·沃尔缪斯，1228（译注，〔丹〕奥劳斯·沃尔缪斯，1588-1654）</t>
  </si>
  <si>
    <t>一开始以手稿本流传，后来（15世纪末）以哥特体对开本在德国付印。后有一个几乎完全一致的版本，17世纪初在西班牙出版。现在已知存世的，前一个版本有一册，后一个版本有四册。</t>
  </si>
  <si>
    <t>克苏鲁神话：+5/+11%</t>
  </si>
  <si>
    <t>神话等级：48</t>
  </si>
  <si>
    <t>《死灵之书》英文版</t>
  </si>
  <si>
    <t>英文，约翰·迪伊博士译，1586</t>
  </si>
  <si>
    <t>从希腊文版翻译而来，翻译得很准确但经过了删节。没有付印；只有装订手抄本存世。已知有三册接近完整的复本。</t>
  </si>
  <si>
    <t>学时：50周</t>
  </si>
  <si>
    <t>建议法术：召唤天使亚兹拉尔（the A</t>
  </si>
  <si>
    <t>gel Yazriel.犹格-索托斯请/送神术），召唤深洞之主(the Lord of the Pit. 尼约格萨请/送神术），命令天使大利亚（the A</t>
  </si>
  <si>
    <t>gel dilyah.外神仆役召唤/束缚术），征询黑暗仆从（食尸鬼联络术），征询地之灵魂（奈亚拉托提普通神术），支配术，苏莱曼之尘，旧印开光术，伊本-加齐之粉，维瑞之印。"</t>
  </si>
  <si>
    <t>《萨塞克斯手稿》</t>
  </si>
  <si>
    <t>英文，巴伦·弗雷德里克译，1597</t>
  </si>
  <si>
    <t>拉丁文版《死灵之书》的混乱残缺的译本，在英国萨塞克斯郡印刷，八开本。正名《教团之锤》(Cultus Maleficarum)。</t>
  </si>
  <si>
    <t>克苏鲁神话：+2/+5%</t>
  </si>
  <si>
    <t>神话等级：21</t>
  </si>
  <si>
    <t>建议法术：和《阿齐夫》相同，但是不论是形式和意图上都可能存在危险的错漏。"</t>
  </si>
  <si>
    <t>《巨石的子民》</t>
  </si>
  <si>
    <t>英文，贾斯廷·杰弗里，1926</t>
  </si>
  <si>
    <t>诗集，开本4×6.75，暗红色硬麻布装订，伊利诺伊州孟莫斯县厄瑞玻斯出版社出版，共印1200册。和本书同名的诗被公认为杰弗里的杰作。</t>
  </si>
  <si>
    <t>理智损失1d3=d3]</t>
  </si>
  <si>
    <t>克苏鲁神话：+1/+2%</t>
  </si>
  <si>
    <t>神话等级：9</t>
  </si>
  <si>
    <t>《纳克特抄本》</t>
  </si>
  <si>
    <t>英文，作者、译者不详，15世纪</t>
  </si>
  <si>
    <t>英美图书馆目录当中有五册（不同）装订的手抄本（更大型著作的部分抄本，全本已佚）。早先的版本显然叫做《纳克提卡》(Pakotica)，用古典希腊文书写，这本书的源头可能来自在地球上播撒生命的海百合一样的史前生物。</t>
  </si>
  <si>
    <t>学时：45周</t>
  </si>
  <si>
    <t>建议法术：接触有翼者（古老者联络术）。"</t>
  </si>
  <si>
    <t>《波纳佩圣典》</t>
  </si>
  <si>
    <t>英文，阿布纳·伊齐基尔·霍格船长，1734</t>
  </si>
  <si>
    <t>在作者去世之后，约1795年于波士顿出版。4×6.75的十六开本，但准确度和完整度不及霍格的原本，据称原本仍有复本存世。详细描述了南海岛民的教团，教团的人类崇拜深潜者，并与之交媾。</t>
  </si>
  <si>
    <t>学时：10周</t>
  </si>
  <si>
    <t>建议法术：印刷本没有法术。原版手抄本包括：深潜者联络术，达贡联络术，海德拉联络术。"</t>
  </si>
  <si>
    <t>《新英格兰乐土上的奇术异事》</t>
  </si>
  <si>
    <t>英文，沃德·菲利普斯教士，1788?</t>
  </si>
  <si>
    <t>出版两次，第二次1801年在波士顿出版。粗糙的美产八开本，用仿造的哥特体字印刷。两个版本内文相同，只是印刷的地点、时期和印厂不同。在新英格兰的各大图书馆以及历史协会的图书馆中很常见。描述了女巫、术士、萨满巫师等等殖民时代的作恶者亵渎神明的行为。详述了发生在比灵顿树林(Billigto's Woods)内外的事件。</t>
  </si>
  <si>
    <t>学时：8周</t>
  </si>
  <si>
    <t>建议法术：无，但菲利普斯教士在他自己的复本上做的注释里揭示了Ithaka（伊塔库亚）请/送神术，Narlato（奈亚拉托提普）通神术，Sadogowah（撒托古亚）通神术，Yogge Sothyothe（犹格-索托斯）通神术，旧印开光术。"</t>
  </si>
  <si>
    <t>《真实的魔法》</t>
  </si>
  <si>
    <t>英文，西奥菲勒斯·文恩，17世纪</t>
  </si>
  <si>
    <t>又小又破烂的装订手写本，尽管如此它仍称得上是名副其实的恶魔学知识百科全书。</t>
  </si>
  <si>
    <t>学时：24周</t>
  </si>
  <si>
    <t>建议法术：召唤风之精（星之精召唤/束缚术），唤起“那个东西”（外神仆役召唤/束缚术），召唤有翼者（拜亚基召唤/束缚术），和黑暗者交谈（尼约格萨通神术）。"</t>
  </si>
  <si>
    <t>《玄君七章》</t>
  </si>
  <si>
    <t>中文，铉子(Hsa the Greater)，约公元2世纪</t>
  </si>
  <si>
    <t>Hsa是洛夫克拉夫特根据威妥玛拼音生造的汉语音节，读如“三”。七卷卷轴，每卷各有一个主题。据说还存在英译本《土七赜书》。</t>
  </si>
  <si>
    <t>学时：40周</t>
  </si>
  <si>
    <t>建议法术：召唤精灵（拜亚基召唤/束缚术），召唤地灵（钻地魔虫召唤/束缚术），食尸鬼联络术，廷达洛斯猎犬联络术，奈亚拉托提普通神术，卡达斯之门（通向卡达斯的时空门），恢复生命（复活术）。"</t>
  </si>
  <si>
    <t>《赞苏石板》</t>
  </si>
  <si>
    <t>英文，著者哈罗德·哈德利·科普兰教授，1916</t>
  </si>
  <si>
    <t>一个小册子，副标题是“一种推测的翻译”，印刷了400册。翻译了渔民从太平洋打捞出的墨玉石板上的雕刻内容。作者称这些雕刻是纳卡尔文僧侣体字，而纳卡尔语是古代姆大陆的崇高语言。册子描述了对加塔诺托亚、莎布-尼古拉丝和克苏鲁的崇拜。</t>
  </si>
  <si>
    <t>建议法术：文本有部分删节，并不包含法术。原本古姆文石板包含克苏鲁、加塔诺托亚、罗伊戈尔(Lloigor)、尤基亚(Yuggya)、佐斯-奥摩格通神术。"</t>
  </si>
  <si>
    <t>《格拉基启示录》</t>
  </si>
  <si>
    <t>英文，多人合作，1842</t>
  </si>
  <si>
    <t>订购印刷出版的九卷对开本，最后一卷出版于1865年。据称这之后又有三卷出版并私下流传。原版九卷对开本被很多大型图书馆收藏。每卷都由不同的邪教徒撰写，讨论了格拉基的不同方面，和它相关的存在和它们的教团。此版文本明显有删节，但保留了许多信息。</t>
  </si>
  <si>
    <t>建议法术：阿萨托斯请神术，道罗斯请/送神术，莎布-尼古拉丝请/送神术，埃霍特通神术，格拉基通神术，绿腐术。"</t>
  </si>
  <si>
    <t>《拉莱耶文本》</t>
  </si>
  <si>
    <t>中文，作者不详，约前3世纪</t>
  </si>
  <si>
    <t>据推测原来的泥版文献已经被毁，但是据说存在着卷轴抄本和晚近的英、德译本。此文本显然讨论的是达贡、海德拉、星之眷族、佐斯-奥摩格(Zoth-Ommog)、加塔诺托亚和克苏鲁，并且讲述了姆大陆与拉莱耶的沉没。</t>
  </si>
  <si>
    <t>学时：54周</t>
  </si>
  <si>
    <t>建议法术：塞伊格亚请神术，克苏鲁请/送神术，深潜者联络术，达贡联络术，海德拉联络术，忘却之波。"</t>
  </si>
  <si>
    <t>力量STR</t>
  </si>
  <si>
    <t>体质CON</t>
  </si>
  <si>
    <t>体型SIZ</t>
  </si>
  <si>
    <t>敏捷DEX</t>
  </si>
  <si>
    <t>意志POW</t>
  </si>
  <si>
    <t>智力INT</t>
  </si>
  <si>
    <t>攻击次数</t>
  </si>
  <si>
    <t>需求</t>
  </si>
  <si>
    <t>效果</t>
  </si>
  <si>
    <t>成功率1</t>
  </si>
  <si>
    <t>成功率2</t>
  </si>
  <si>
    <t>成功率3</t>
  </si>
  <si>
    <t>成功率4</t>
  </si>
  <si>
    <t>成功率5</t>
  </si>
  <si>
    <t>成功率6</t>
  </si>
  <si>
    <t>效果6</t>
  </si>
  <si>
    <t>宠物特质</t>
  </si>
  <si>
    <t>特质效果</t>
  </si>
  <si>
    <t>动物描述</t>
  </si>
  <si>
    <t>短吻鳄</t>
  </si>
  <si>
    <t>牙齿和躯体</t>
  </si>
  <si>
    <t>6/8游泳</t>
  </si>
  <si>
    <t>2d6</t>
  </si>
  <si>
    <t>咬紧不放</t>
  </si>
  <si>
    <t>力量对抗</t>
  </si>
  <si>
    <t>将对手咬住，每回合造成1d10+DB伤害</t>
  </si>
  <si>
    <t>死亡翻滚</t>
  </si>
  <si>
    <t>每回合造成2d6撕咬伤害，可贯穿</t>
  </si>
  <si>
    <t>能够隐匿的靠近猎物</t>
  </si>
  <si>
    <t>水中潜行</t>
  </si>
  <si>
    <t>在水中更不容易被发现</t>
  </si>
  <si>
    <t>冷血动物</t>
  </si>
  <si>
    <t>可能会袭击饲养者</t>
  </si>
  <si>
    <t>较温顺的温带淡水鳄鱼</t>
  </si>
  <si>
    <t>鳄鱼</t>
  </si>
  <si>
    <t>广泛分布于热带雨林湖泊</t>
  </si>
  <si>
    <t>兀鹫/秃鹫</t>
  </si>
  <si>
    <t>鸟喙和爪子</t>
  </si>
  <si>
    <t>5/12飞行</t>
  </si>
  <si>
    <t>1d6+DB</t>
  </si>
  <si>
    <t>俯冲攻击</t>
  </si>
  <si>
    <t>敏捷/闪避</t>
  </si>
  <si>
    <t>从空中快速俯冲而下，造成2d6的伤害</t>
  </si>
  <si>
    <t>侦察</t>
  </si>
  <si>
    <t>动态视觉</t>
  </si>
  <si>
    <t>略</t>
  </si>
  <si>
    <t>腐肉专精</t>
  </si>
  <si>
    <t>不会食物中毒/免疫1d10以下的毒物</t>
  </si>
  <si>
    <t>蝙蝠</t>
  </si>
  <si>
    <t>牙齿和爪子</t>
  </si>
  <si>
    <t>1/12飞行</t>
  </si>
  <si>
    <t>1d2</t>
  </si>
  <si>
    <t>集群攻击</t>
  </si>
  <si>
    <t>召集1d6+6只蝙蝠，每回合造成蝙蝠数量的伤害</t>
  </si>
  <si>
    <t>回声定位</t>
  </si>
  <si>
    <t>效果等同侦查，不受黑暗惩罚</t>
  </si>
  <si>
    <t>成群结队</t>
  </si>
  <si>
    <t>任何时候都可以召集1D10只蝙蝠</t>
  </si>
  <si>
    <t>美洲黑熊</t>
  </si>
  <si>
    <t>掌爪和牙齿</t>
  </si>
  <si>
    <t>12/7游泳</t>
  </si>
  <si>
    <t>扑倒猎物</t>
  </si>
  <si>
    <t>力量/敏捷</t>
  </si>
  <si>
    <t>利用庞大躯体扑倒对方，造成体格*1d6伤害</t>
  </si>
  <si>
    <t>熊可能会爬树</t>
  </si>
  <si>
    <t>嗅探</t>
  </si>
  <si>
    <t>同追踪</t>
  </si>
  <si>
    <t>体型恐吓</t>
  </si>
  <si>
    <t>小于对方体格的生物行动获得惩罚骰</t>
  </si>
  <si>
    <t>12/6游泳</t>
  </si>
  <si>
    <t>追逐猎物</t>
  </si>
  <si>
    <t>潜行对抗</t>
  </si>
  <si>
    <t>除非掩盖身形和气味，否则难以摆脱追踪</t>
  </si>
  <si>
    <t>同追踪，寻宝</t>
  </si>
  <si>
    <t>忠诚伙伴</t>
  </si>
  <si>
    <t>不会因为恐惧而逃离队友</t>
  </si>
  <si>
    <t>狼/野狼</t>
  </si>
  <si>
    <t>尖牙和利爪</t>
  </si>
  <si>
    <t>1d8+DB</t>
  </si>
  <si>
    <t>穿透尖牙</t>
  </si>
  <si>
    <t>被狼群扑倒，造成2d6的穿透伤害</t>
  </si>
  <si>
    <t>呼唤同伴</t>
  </si>
  <si>
    <t>召唤1d8+3的狼群</t>
  </si>
  <si>
    <t>野性呼唤</t>
  </si>
  <si>
    <t>受伤后攻击获得奖励骰</t>
  </si>
  <si>
    <t>马/野马</t>
  </si>
  <si>
    <t>踢踹和撕咬</t>
  </si>
  <si>
    <t>冲撞践踏</t>
  </si>
  <si>
    <t>撞倒体格较小的目标，造成体格*1d6的伤害</t>
  </si>
  <si>
    <t>飞跃悬崖</t>
  </si>
  <si>
    <t>马踏飞燕</t>
  </si>
  <si>
    <t>追逐获得奖励骰</t>
  </si>
  <si>
    <t>鲨鱼</t>
  </si>
  <si>
    <t>牙齿和撞击</t>
  </si>
  <si>
    <t>12游泳</t>
  </si>
  <si>
    <t>2d3+半DB</t>
  </si>
  <si>
    <t>紧咬不放</t>
  </si>
  <si>
    <t>将对手咬住，每回合造成2d6+DB伤害</t>
  </si>
  <si>
    <t>感知生命</t>
  </si>
  <si>
    <t>生命探测仪</t>
  </si>
  <si>
    <t>感知百公里外的鲜血</t>
  </si>
  <si>
    <t>鲜血欲望</t>
  </si>
  <si>
    <t>对受伤的目标增加奖励骰</t>
  </si>
  <si>
    <t>鼠/鼠群</t>
  </si>
  <si>
    <t>一拥而上</t>
  </si>
  <si>
    <t>大量的老鼠一拥而上，造成2d6伤害</t>
  </si>
  <si>
    <t>没人会注意</t>
  </si>
  <si>
    <t>擅长寻找食物</t>
  </si>
  <si>
    <t>任何时候都可以召集1D10只老鼠</t>
  </si>
  <si>
    <t>蟒蛇/蚺蛇</t>
  </si>
  <si>
    <t>缠绕窒息</t>
  </si>
  <si>
    <t>挣脱失败1d6+DB+窒息每回合</t>
  </si>
  <si>
    <t>丛林迷彩</t>
  </si>
  <si>
    <t>碾压</t>
  </si>
  <si>
    <t>造成体格*1d6的伤害</t>
  </si>
  <si>
    <t>毒蛇</t>
  </si>
  <si>
    <t>牙齿和毒素</t>
  </si>
  <si>
    <t>1d4+DB+毒</t>
  </si>
  <si>
    <t>毒牙撕咬</t>
  </si>
  <si>
    <t>体质对抗</t>
  </si>
  <si>
    <t>体质失败每回合造成1D10的中毒伤害</t>
  </si>
  <si>
    <t>剧毒</t>
  </si>
  <si>
    <t>造成2d10的剧毒伤害</t>
  </si>
  <si>
    <t>巨型乌贼</t>
  </si>
  <si>
    <t>触手和毒素</t>
  </si>
  <si>
    <t>4/10游泳</t>
  </si>
  <si>
    <t>触手缠绕</t>
  </si>
  <si>
    <t>八条触手分别缠绕，回合1D6+窒息伤害</t>
  </si>
  <si>
    <t>水下幽灵</t>
  </si>
  <si>
    <t>撕咬</t>
  </si>
  <si>
    <t>造成1d10+毒素</t>
  </si>
  <si>
    <t>首轮偷袭获得奖励骰</t>
  </si>
  <si>
    <t>美洲狮</t>
  </si>
  <si>
    <t>2d6+DB</t>
  </si>
  <si>
    <t>扑倒猎物并咬住脖子，造成2d6穿透伤害</t>
  </si>
  <si>
    <t>勇敢狮心</t>
  </si>
  <si>
    <t>不会因为恐惧而受到惩罚骰</t>
  </si>
  <si>
    <t>金雕</t>
  </si>
  <si>
    <t>1d4+DB</t>
  </si>
  <si>
    <t>从空中快速俯冲而下，造成1d6的伤害</t>
  </si>
  <si>
    <t>小型杀手</t>
  </si>
  <si>
    <t>对小动物造成双倍伤害</t>
  </si>
  <si>
    <t>秃鹰</t>
  </si>
  <si>
    <t>1d4-DB</t>
  </si>
  <si>
    <t>空中鬣狗</t>
  </si>
  <si>
    <t>针对飞行生物获得奖励骰</t>
  </si>
  <si>
    <t>神鹫/神鹰</t>
  </si>
  <si>
    <t>超距侦察</t>
  </si>
  <si>
    <t>能够在射程之外保持警戒</t>
  </si>
  <si>
    <t>黑熊</t>
  </si>
  <si>
    <t>撕咬和爪子</t>
  </si>
  <si>
    <t>嗅觉灵敏</t>
  </si>
  <si>
    <t>追踪奖励骰难以逃脱</t>
  </si>
  <si>
    <t>灰熊/棕熊</t>
  </si>
  <si>
    <t>眩晕攻击</t>
  </si>
  <si>
    <t>攻击自带眩晕效果</t>
  </si>
  <si>
    <t>北极熊</t>
  </si>
  <si>
    <t>12/10游泳</t>
  </si>
  <si>
    <t>2d6+2</t>
  </si>
  <si>
    <t>水陆两栖</t>
  </si>
  <si>
    <t>水中不产生惩罚骰</t>
  </si>
  <si>
    <t>骆驼</t>
  </si>
  <si>
    <t>1d4</t>
  </si>
  <si>
    <t>骆驼飞踢</t>
  </si>
  <si>
    <t>造成等同于DB的伤害</t>
  </si>
  <si>
    <t>吐口水</t>
  </si>
  <si>
    <t>吸引仇恨</t>
  </si>
  <si>
    <t>生存大师</t>
  </si>
  <si>
    <t>可以长期不吃不喝</t>
  </si>
  <si>
    <t>山猫/猞猁</t>
  </si>
  <si>
    <t>1D4-DB</t>
  </si>
  <si>
    <t>撕咬猎物</t>
  </si>
  <si>
    <t>将对手咬住，每回合造成1d4伤害</t>
  </si>
  <si>
    <t>体型娇小</t>
  </si>
  <si>
    <t>突袭奖励骰</t>
  </si>
  <si>
    <t>山狮/豹子</t>
  </si>
  <si>
    <t>DB+1</t>
  </si>
  <si>
    <t>将对手咬住，每回合造成1d4+DB伤害</t>
  </si>
  <si>
    <t>林间迷彩</t>
  </si>
  <si>
    <t>不容易被发现</t>
  </si>
  <si>
    <t>非洲狮</t>
  </si>
  <si>
    <t>1D6+DB</t>
  </si>
  <si>
    <t>压制摔打</t>
  </si>
  <si>
    <t>够摔打并压制猎物，回合2d6,压制奖励骰</t>
  </si>
  <si>
    <t>围猎习惯</t>
  </si>
  <si>
    <t>群体行动获得奖励骰</t>
  </si>
  <si>
    <t>老虎</t>
  </si>
  <si>
    <t>百兽之王</t>
  </si>
  <si>
    <t>对小型动物伤害加倍</t>
  </si>
  <si>
    <t>狗/猎犬</t>
  </si>
  <si>
    <t>咬紧猎物</t>
  </si>
  <si>
    <t>每回合造成1d2+DB伤害</t>
  </si>
  <si>
    <t>持续追踪</t>
  </si>
  <si>
    <t>豺狼</t>
  </si>
  <si>
    <t>快速自愈</t>
  </si>
  <si>
    <t>战斗结束后hp+1</t>
  </si>
  <si>
    <t>狼/郊狼</t>
  </si>
  <si>
    <t>每回合造成1d4+DB伤害</t>
  </si>
  <si>
    <t>背水一战</t>
  </si>
  <si>
    <t>鬣狗</t>
  </si>
  <si>
    <t>背后突袭</t>
  </si>
  <si>
    <t>猫/梦境猫</t>
  </si>
  <si>
    <t>连续撕咬</t>
  </si>
  <si>
    <t>三次命中后不需要进行后续检定，直到甩掉</t>
  </si>
  <si>
    <t>夜视</t>
  </si>
  <si>
    <t>灵巧落地</t>
  </si>
  <si>
    <t>免疫坠落伤害</t>
  </si>
  <si>
    <t>梦境居民</t>
  </si>
  <si>
    <t>必定可以前往幻梦境</t>
  </si>
  <si>
    <t>非洲象</t>
  </si>
  <si>
    <t>踹撞和卷握</t>
  </si>
  <si>
    <t>3D6</t>
  </si>
  <si>
    <t>抓卷摔打</t>
  </si>
  <si>
    <t>卷起摔下1D6+1，四处摔打2D6</t>
  </si>
  <si>
    <t>愤怒践踏</t>
  </si>
  <si>
    <t>范围6D6</t>
  </si>
  <si>
    <t>嗅觉</t>
  </si>
  <si>
    <t>同侦察</t>
  </si>
  <si>
    <t>庞然大物</t>
  </si>
  <si>
    <t>体格小的目标获得惩罚骰</t>
  </si>
  <si>
    <t>大猩猩</t>
  </si>
  <si>
    <t>捶打和撕咬</t>
  </si>
  <si>
    <t>愤怒捶打</t>
  </si>
  <si>
    <t>每回合造成2D6伤害</t>
  </si>
  <si>
    <t>猛跳</t>
  </si>
  <si>
    <t>1D6+击倒</t>
  </si>
  <si>
    <t>吼叫</t>
  </si>
  <si>
    <t>恐吓效果</t>
  </si>
  <si>
    <t>高等智慧</t>
  </si>
  <si>
    <t>可能会背叛同伴</t>
  </si>
  <si>
    <t>河马</t>
  </si>
  <si>
    <t>撞击和撕咬</t>
  </si>
  <si>
    <t>泰山压顶</t>
  </si>
  <si>
    <t>庞大的身躯碾压造成3D6伤害</t>
  </si>
  <si>
    <t>潜水游泳</t>
  </si>
  <si>
    <t>撞击</t>
  </si>
  <si>
    <t>撞翻船只</t>
  </si>
  <si>
    <t>摔打</t>
  </si>
  <si>
    <t>2D6每轮</t>
  </si>
  <si>
    <t>造粪机器</t>
  </si>
  <si>
    <t>全体AOE获得仇恨</t>
  </si>
  <si>
    <t>马/战马</t>
  </si>
  <si>
    <t>骑士冲锋</t>
  </si>
  <si>
    <t>造成体格*1d6的伤害，击倒</t>
  </si>
  <si>
    <t>践踏</t>
  </si>
  <si>
    <t>人马合一</t>
  </si>
  <si>
    <t>骑术叠加DB伤害</t>
  </si>
  <si>
    <t>骡</t>
  </si>
  <si>
    <t>猛烈撞击</t>
  </si>
  <si>
    <t>忍耐疼痛</t>
  </si>
  <si>
    <t>不会因为受伤而逃跑</t>
  </si>
  <si>
    <t>倔强如驴</t>
  </si>
  <si>
    <t>指令可能会失效</t>
  </si>
  <si>
    <t>麋鹿</t>
  </si>
  <si>
    <t>2D6</t>
  </si>
  <si>
    <t>巨角冲撞</t>
  </si>
  <si>
    <t>造成3D6的伤害，击倒</t>
  </si>
  <si>
    <t>林中巨鹿</t>
  </si>
  <si>
    <t>蝎子(疼痛)</t>
  </si>
  <si>
    <t>尾巴和钳子</t>
  </si>
  <si>
    <t>1D6+2</t>
  </si>
  <si>
    <t>蝎子毒素</t>
  </si>
  <si>
    <t>造成疼痛发烧恶心，每回合1d10毒素</t>
  </si>
  <si>
    <t>丧失斗志</t>
  </si>
  <si>
    <t>极难造成敌人撤退</t>
  </si>
  <si>
    <t>蝎子(麻痹)</t>
  </si>
  <si>
    <t>蝎子猛毒</t>
  </si>
  <si>
    <t>造成麻痹，每回合2d10毒素</t>
  </si>
  <si>
    <t>任人宰割</t>
  </si>
  <si>
    <t>极难造成无法行动</t>
  </si>
  <si>
    <t>蝎子(剧毒)</t>
  </si>
  <si>
    <t>3D6+1</t>
  </si>
  <si>
    <t>蝎子剧毒</t>
  </si>
  <si>
    <t>造成呼吸衰竭，每回合4d10毒素</t>
  </si>
  <si>
    <t>致命毒物</t>
  </si>
  <si>
    <t>极难造成濒死效果</t>
  </si>
  <si>
    <t>锤头鲨</t>
  </si>
  <si>
    <t>撕咬和撞击</t>
  </si>
  <si>
    <t>13游泳</t>
  </si>
  <si>
    <t>每回合造成1d6+DB的伤害</t>
  </si>
  <si>
    <t>嗅探血液</t>
  </si>
  <si>
    <t>海洋生命</t>
  </si>
  <si>
    <t>在海里每回合hp+1</t>
  </si>
  <si>
    <t>牛鲨</t>
  </si>
  <si>
    <t>10游泳</t>
  </si>
  <si>
    <t>虎鲨</t>
  </si>
  <si>
    <t>1d6+4</t>
  </si>
  <si>
    <t>大白鲨</t>
  </si>
  <si>
    <t>11游泳</t>
  </si>
  <si>
    <t>每回合造成1d10+DB的伤害</t>
  </si>
  <si>
    <t>黑犀牛</t>
  </si>
  <si>
    <t>冲撞和践踏</t>
  </si>
  <si>
    <t>野蛮冲锋</t>
  </si>
  <si>
    <t>造成1D10+4D6的冲撞伤害，距离衰减</t>
  </si>
  <si>
    <t>伤害DB</t>
  </si>
  <si>
    <t>气味</t>
  </si>
  <si>
    <t>激怒</t>
  </si>
  <si>
    <t>攻击奖励骰</t>
  </si>
  <si>
    <t>屹立不倒</t>
  </si>
  <si>
    <t>不会重伤惩罚</t>
  </si>
  <si>
    <t>毒蜘蛛</t>
  </si>
  <si>
    <t>撕咬和毒素</t>
  </si>
  <si>
    <t>致命毒素</t>
  </si>
  <si>
    <t>造成2d10的剧毒伤害，困难体质对抗</t>
  </si>
  <si>
    <t>隐匿</t>
  </si>
  <si>
    <t>对抗侦察</t>
  </si>
  <si>
    <t>蛛丝</t>
  </si>
  <si>
    <t>毒发身亡</t>
  </si>
  <si>
    <t>毒素伤害会叠加</t>
  </si>
  <si>
    <t>鳄龟</t>
  </si>
  <si>
    <t>撕咬和潜伏</t>
  </si>
  <si>
    <t>4/6游泳</t>
  </si>
  <si>
    <t>伏击啃咬</t>
  </si>
  <si>
    <t>幸运/侦察</t>
  </si>
  <si>
    <t>单次造成1d6+DB的伤害，造成断肢效果</t>
  </si>
  <si>
    <t>无法被力量挣脱</t>
  </si>
  <si>
    <t>野猪</t>
  </si>
  <si>
    <t>猪突猛进</t>
  </si>
  <si>
    <t>单次造成1d6+DB的伤害</t>
  </si>
  <si>
    <t>重伤后伤害翻倍</t>
  </si>
  <si>
    <t>家猪</t>
  </si>
  <si>
    <t>蟾蜍/毒蛙</t>
  </si>
  <si>
    <t>喷射和毒素</t>
  </si>
  <si>
    <t>毒液喷溅</t>
  </si>
  <si>
    <t>单次合造成1d10的毒素伤害</t>
  </si>
  <si>
    <t>喷吐</t>
  </si>
  <si>
    <t>1d10+毒素</t>
  </si>
  <si>
    <t>青蛙王子</t>
  </si>
  <si>
    <t>免疫异常控制</t>
  </si>
  <si>
    <t>兔子/野兔</t>
  </si>
  <si>
    <t>兔子飞踢</t>
  </si>
  <si>
    <t>单次造成1d4+1的伤害</t>
  </si>
  <si>
    <t>美味诱饵</t>
  </si>
  <si>
    <t>优先受到攻击</t>
  </si>
  <si>
    <t>山羊/岩羊</t>
  </si>
  <si>
    <t>横冲直撞</t>
  </si>
  <si>
    <t>恶魔之子</t>
  </si>
  <si>
    <t>受伤后伤害+1</t>
  </si>
  <si>
    <t>水牛/野牛</t>
  </si>
  <si>
    <t>冲撞</t>
  </si>
  <si>
    <t>DB+撞飞</t>
  </si>
  <si>
    <t>天之公牛</t>
  </si>
  <si>
    <t>闪避后伤害+1</t>
  </si>
  <si>
    <t>狐狸/雪貂</t>
  </si>
  <si>
    <t>灵巧</t>
  </si>
  <si>
    <t>闪避奖励骰</t>
  </si>
  <si>
    <t>魅惑之狐</t>
  </si>
  <si>
    <t>取悦获得奖励骰</t>
  </si>
  <si>
    <t>猎弓/求生弓</t>
  </si>
  <si>
    <t>1D6+半DB</t>
  </si>
  <si>
    <t>30码</t>
  </si>
  <si>
    <t>1</t>
  </si>
  <si>
    <t>97</t>
  </si>
  <si>
    <t>20/350</t>
  </si>
  <si>
    <t>短弓/土耳其弓</t>
  </si>
  <si>
    <t>两者</t>
  </si>
  <si>
    <t>15/300</t>
  </si>
  <si>
    <t>长弓/英式长弓</t>
  </si>
  <si>
    <t>50码</t>
  </si>
  <si>
    <t>30/800</t>
  </si>
  <si>
    <t>和弓/三枚打弓</t>
  </si>
  <si>
    <t>40码</t>
  </si>
  <si>
    <t>*/1500</t>
  </si>
  <si>
    <t>1D8+1+DB</t>
  </si>
  <si>
    <t>50/1000</t>
  </si>
  <si>
    <t>25/600</t>
  </si>
  <si>
    <t>反曲弓/光弓</t>
  </si>
  <si>
    <t>30/500</t>
  </si>
  <si>
    <t>竞技反曲弓</t>
  </si>
  <si>
    <t>60/2500</t>
  </si>
  <si>
    <t>现代复合弓</t>
  </si>
  <si>
    <t>70码</t>
  </si>
  <si>
    <t>*/2000</t>
  </si>
  <si>
    <t>现代材料制成，威力与精度优于传统弓。无声，弹药可回收。</t>
  </si>
  <si>
    <t>自制弩/简易弩</t>
  </si>
  <si>
    <t>15码</t>
  </si>
  <si>
    <t>1/4</t>
  </si>
  <si>
    <t>1920s，现代</t>
  </si>
  <si>
    <t>10/100</t>
  </si>
  <si>
    <t>装填缓慢威力有限，自制需要机械维修或者生存技能。</t>
  </si>
  <si>
    <t>强弓弩/生存弩</t>
  </si>
  <si>
    <t>1D10+2</t>
  </si>
  <si>
    <t>1/3</t>
  </si>
  <si>
    <t>*/800</t>
  </si>
  <si>
    <t>标准弩/狩猎弩</t>
  </si>
  <si>
    <t>1/2</t>
  </si>
  <si>
    <t>96</t>
  </si>
  <si>
    <t>60/300</t>
  </si>
  <si>
    <t>军用弩/MP9</t>
  </si>
  <si>
    <t>1D10+4</t>
  </si>
  <si>
    <t>精度高，易于训练。但装填速度是硬伤。适合隐秘行动和一击脱离。</t>
  </si>
  <si>
    <t>致残弩/改装弩</t>
  </si>
  <si>
    <t>2D6+致残</t>
  </si>
  <si>
    <t>5</t>
  </si>
  <si>
    <t>中世纪弩/木弩</t>
  </si>
  <si>
    <t>50/500</t>
  </si>
  <si>
    <t>钢片弩/金属弩</t>
  </si>
  <si>
    <t>1D10+1</t>
  </si>
  <si>
    <t>1921s，现代</t>
  </si>
  <si>
    <t>55/550</t>
  </si>
  <si>
    <t>拦截者/弹匣弩</t>
  </si>
  <si>
    <t>1(3)</t>
  </si>
  <si>
    <t>18</t>
  </si>
  <si>
    <t>弹簧滑轮弩/Lance</t>
  </si>
  <si>
    <t>1D6+1</t>
  </si>
  <si>
    <t>天魄/TRX515</t>
  </si>
  <si>
    <t>凤凰弩</t>
  </si>
  <si>
    <t>1D10+3</t>
  </si>
  <si>
    <t>轻骑兵弩</t>
  </si>
  <si>
    <t>莱卡狙击弩</t>
  </si>
  <si>
    <t>日本弩/石弓</t>
  </si>
  <si>
    <t>黄铜指虎</t>
  </si>
  <si>
    <t>1D3+1+DB</t>
  </si>
  <si>
    <t>燃烧的火把</t>
  </si>
  <si>
    <t>1D6+燃烧</t>
  </si>
  <si>
    <t>0.05/0.5</t>
  </si>
  <si>
    <t>包皮金属棍(甩棍、大头棍、护身棒)</t>
  </si>
  <si>
    <t>2/15</t>
  </si>
  <si>
    <t>大型棍状物(棒球棍、板球棒、拨火棍等)</t>
  </si>
  <si>
    <t>3/35</t>
  </si>
  <si>
    <t>小型棍状物(警棍等)</t>
  </si>
  <si>
    <t>220v通电导线</t>
  </si>
  <si>
    <t>2D8+眩晕</t>
  </si>
  <si>
    <t>95</t>
  </si>
  <si>
    <t>催泪瓦斯</t>
  </si>
  <si>
    <t>眩晕</t>
  </si>
  <si>
    <t>6码</t>
  </si>
  <si>
    <t>——/10</t>
  </si>
  <si>
    <t>螺丝刀/改锥</t>
  </si>
  <si>
    <t>1D4</t>
  </si>
  <si>
    <t>99</t>
  </si>
  <si>
    <t>自制</t>
  </si>
  <si>
    <t>板砖/厚书</t>
  </si>
  <si>
    <t>扳手/钢管</t>
  </si>
  <si>
    <t>水管枪</t>
  </si>
  <si>
    <t>碎玻璃瓶</t>
  </si>
  <si>
    <t>打磨的硬币</t>
  </si>
  <si>
    <t>1D2</t>
  </si>
  <si>
    <t>锋利的卡牌</t>
  </si>
  <si>
    <t>1D3</t>
  </si>
  <si>
    <t>自制电击器</t>
  </si>
  <si>
    <t>1D3+麻痹</t>
  </si>
  <si>
    <t>马鞭/皮鞭</t>
  </si>
  <si>
    <t>1D4+DB</t>
  </si>
  <si>
    <t>10码</t>
  </si>
  <si>
    <t>5/50</t>
  </si>
  <si>
    <t>九节鞭</t>
  </si>
  <si>
    <t>8码</t>
  </si>
  <si>
    <t>麒麟鞭</t>
  </si>
  <si>
    <t>12码</t>
  </si>
  <si>
    <t>200</t>
  </si>
  <si>
    <t>欧洲剑鞭</t>
  </si>
  <si>
    <t>两者,古董</t>
  </si>
  <si>
    <t>50/800</t>
  </si>
  <si>
    <t>土耳其锥鞭</t>
  </si>
  <si>
    <t>1D4+1+DB</t>
  </si>
  <si>
    <t>9码</t>
  </si>
  <si>
    <t>两者,罕见</t>
  </si>
  <si>
    <t>40/700</t>
  </si>
  <si>
    <t>电池电锯</t>
  </si>
  <si>
    <t>10</t>
  </si>
  <si>
    <t>相对最安静的锯，突袭性强。但电量焦虑是其最大弱点，续航会随使用递减。</t>
  </si>
  <si>
    <t>汽油链锯</t>
  </si>
  <si>
    <t>2D10+DB</t>
  </si>
  <si>
    <t>1(预热1轮)</t>
  </si>
  <si>
    <t>25</t>
  </si>
  <si>
    <t>经典恐怖象征。噪音巨大，潜行不可能。需启动预热(1轮)，故障风险高，大失败可能熄火或剧烈反弹。</t>
  </si>
  <si>
    <t>柴油链锯</t>
  </si>
  <si>
    <t>2D8+DB</t>
  </si>
  <si>
    <t>1(预热2轮)</t>
  </si>
  <si>
    <t>40</t>
  </si>
  <si>
    <t>扭矩大，续航长，但启动极慢(2轮)，更笨重，黑烟滚滚。适合持久围攻战。</t>
  </si>
  <si>
    <t>手持式圆锯</t>
  </si>
  <si>
    <t>2D6+DB</t>
  </si>
  <si>
    <t>20</t>
  </si>
  <si>
    <t>无防护罩时极为危险。伤害稍低但精准，适合对固定目标（如被束缚者）造成持续伤害。</t>
  </si>
  <si>
    <t>往复锯/马刀锯</t>
  </si>
  <si>
    <t>1D12+DB</t>
  </si>
  <si>
    <t>350</t>
  </si>
  <si>
    <t>“开膛破肚者”。独特的前后往复运动，像一把电动、永动的可怕刺刀。对付木质门窗和金属障碍物极佳。</t>
  </si>
  <si>
    <t>绞索</t>
  </si>
  <si>
    <t>2/30</t>
  </si>
  <si>
    <t>钢琴线/绞杀线</t>
  </si>
  <si>
    <t>分子线切割器</t>
  </si>
  <si>
    <t>手柄投射出一根几乎不可见的单分子线。能无声地切割金属、墙壁和生物组织。潜行攻击（如勒颈或背后切割）伤害加倍。对抗坚硬无比的目标时，守秘人可裁定其无效。</t>
  </si>
  <si>
    <t>大型刀具(甘蔗刀等)</t>
  </si>
  <si>
    <t>4/50</t>
  </si>
  <si>
    <t>中型刀具(切肉菜刀等)</t>
  </si>
  <si>
    <t>1D4+2+DB</t>
  </si>
  <si>
    <t>小型刀具(弹簧折叠刀等)</t>
  </si>
  <si>
    <t>2/6</t>
  </si>
  <si>
    <t>橡胶警棍</t>
  </si>
  <si>
    <t>防爆棍</t>
  </si>
  <si>
    <t>防身电棍</t>
  </si>
  <si>
    <t>1D3 + 麻痹</t>
  </si>
  <si>
    <t>80</t>
  </si>
  <si>
    <t>警用电棍</t>
  </si>
  <si>
    <t>1D4+1 + 麻痹</t>
  </si>
  <si>
    <t>甩棍</t>
  </si>
  <si>
    <t>现代战斗短刀</t>
  </si>
  <si>
    <t>15/400</t>
  </si>
  <si>
    <t>M3格斗刀</t>
  </si>
  <si>
    <t>10/300</t>
  </si>
  <si>
    <t>工兵铲</t>
  </si>
  <si>
    <t>5/60</t>
  </si>
  <si>
    <t>步枪刺刀</t>
  </si>
  <si>
    <t>1D6+1+DB</t>
  </si>
  <si>
    <t>5/150</t>
  </si>
  <si>
    <t>军用刺刀</t>
  </si>
  <si>
    <t>5/120</t>
  </si>
  <si>
    <t>三棱刺</t>
  </si>
  <si>
    <t>1D6+DB + 流血</t>
  </si>
  <si>
    <t>尼泊尔军刀</t>
  </si>
  <si>
    <t>1D10+DB</t>
  </si>
  <si>
    <t>10/200</t>
  </si>
  <si>
    <t>战术手电</t>
  </si>
  <si>
    <t>战术手套</t>
  </si>
  <si>
    <t>60</t>
  </si>
  <si>
    <t>双节棍</t>
  </si>
  <si>
    <t>三节棍</t>
  </si>
  <si>
    <t>1921s,现代</t>
  </si>
  <si>
    <t>农用链枷</t>
  </si>
  <si>
    <t>1922s,现代</t>
  </si>
  <si>
    <t>15/250</t>
  </si>
  <si>
    <t>金属链枷/铁链枷</t>
  </si>
  <si>
    <t>1923s,现代</t>
  </si>
  <si>
    <t>50/700</t>
  </si>
  <si>
    <t>辰星链枷/链锤</t>
  </si>
  <si>
    <t>1924s,现代</t>
  </si>
  <si>
    <t>60/900</t>
  </si>
  <si>
    <t>多头链枷/多头链锤</t>
  </si>
  <si>
    <t>1925s,现代</t>
  </si>
  <si>
    <t>分铜锁</t>
  </si>
  <si>
    <t>1D6+DB/缠绕</t>
  </si>
  <si>
    <t>1926s,现代</t>
  </si>
  <si>
    <t>投石</t>
  </si>
  <si>
    <t>1D4+半DB</t>
  </si>
  <si>
    <t>STR/5码</t>
  </si>
  <si>
    <t>1D3+半DB</t>
  </si>
  <si>
    <t>一次性</t>
  </si>
  <si>
    <t>0.5/3</t>
  </si>
  <si>
    <t>投矛</t>
  </si>
  <si>
    <t>1/25</t>
  </si>
  <si>
    <t>长矛/祖鲁长矛</t>
  </si>
  <si>
    <t>25/150</t>
  </si>
  <si>
    <t>长戟</t>
  </si>
  <si>
    <t>60/800</t>
  </si>
  <si>
    <t>长柄战斧</t>
  </si>
  <si>
    <t>矛/斧</t>
  </si>
  <si>
    <t>50/600</t>
  </si>
  <si>
    <t>薙刀/长柄刀</t>
  </si>
  <si>
    <t>矛/薙刀</t>
  </si>
  <si>
    <t>*/1000</t>
  </si>
  <si>
    <t>大薙刀/僧兵薙刀</t>
  </si>
  <si>
    <t>1D10+2+DB</t>
  </si>
  <si>
    <t>钩镰枪</t>
  </si>
  <si>
    <t>1925s,现代.罕见</t>
  </si>
  <si>
    <t>40/600</t>
  </si>
  <si>
    <t>斧枪</t>
  </si>
  <si>
    <t>70/900</t>
  </si>
  <si>
    <t>瑞士长戟</t>
  </si>
  <si>
    <t>1927s,现代</t>
  </si>
  <si>
    <t>80/1200</t>
  </si>
  <si>
    <t>中世纪步兵的完美武器。功能极其全面，可应对重甲、轻甲和骑兵。是佣兵文化的代表，实用至上。</t>
  </si>
  <si>
    <t>斩矛/朴刀</t>
  </si>
  <si>
    <t>矛/剑</t>
  </si>
  <si>
    <t>1928s,现代</t>
  </si>
  <si>
    <t>45/700</t>
  </si>
  <si>
    <t>偃月刀/长柄刀</t>
  </si>
  <si>
    <t>1929s,现代</t>
  </si>
  <si>
    <t>欧式骑枪</t>
  </si>
  <si>
    <t>2D8+DB(骑马)</t>
  </si>
  <si>
    <t>1930s,现代</t>
  </si>
  <si>
    <t>草叉/粪叉</t>
  </si>
  <si>
    <t>矛/斗殴</t>
  </si>
  <si>
    <t>1931s,现代</t>
  </si>
  <si>
    <t>大型剑（马刀）</t>
  </si>
  <si>
    <t>30/75</t>
  </si>
  <si>
    <t>中型剑（佩剑、重剑）</t>
  </si>
  <si>
    <t>15/100</t>
  </si>
  <si>
    <t>轻型剑（花剑、剑杖）</t>
  </si>
  <si>
    <t>25/100</t>
  </si>
  <si>
    <t>中华长剑/汉剑</t>
  </si>
  <si>
    <t>1D8+2 + DB</t>
  </si>
  <si>
    <t>打刀/太刀</t>
  </si>
  <si>
    <t>剑/日本刀</t>
  </si>
  <si>
    <t>脇差</t>
  </si>
  <si>
    <t>1D6+1 + DB</t>
  </si>
  <si>
    <t>忍者刀</t>
  </si>
  <si>
    <t>1D8 + DB</t>
  </si>
  <si>
    <t>短刀/日式短刀</t>
  </si>
  <si>
    <t>1D4 + DB</t>
  </si>
  <si>
    <t>苦无/环柄飞刀</t>
  </si>
  <si>
    <t>手里剑/忍者镖</t>
  </si>
  <si>
    <t>大型手里剑/隼爪</t>
  </si>
  <si>
    <t>卍手里剑</t>
  </si>
  <si>
    <t>锁镰/卷镰</t>
  </si>
  <si>
    <t>1D6 + DB(缠绕)</t>
  </si>
  <si>
    <t>x</t>
  </si>
  <si>
    <t>十手/短棒</t>
  </si>
  <si>
    <t>斗殴/短棒</t>
  </si>
  <si>
    <t>忍杖/空心棒</t>
  </si>
  <si>
    <t>斗殴/杖</t>
  </si>
  <si>
    <t>1D6 + DB</t>
  </si>
  <si>
    <t>熊手/钩爪</t>
  </si>
  <si>
    <t>斗殴/投掷</t>
  </si>
  <si>
    <t>刺又 / 突棒</t>
  </si>
  <si>
    <t>矛/短棒</t>
  </si>
  <si>
    <t>金砕棒</t>
  </si>
  <si>
    <t>2D6 + DB</t>
  </si>
  <si>
    <t>手杵/狼牙棒</t>
  </si>
  <si>
    <t>2D4+DB</t>
  </si>
  <si>
    <t>戒刀</t>
  </si>
  <si>
    <t>金刚杖/降魔杵</t>
  </si>
  <si>
    <t>禅杖/月牙铲</t>
  </si>
  <si>
    <t>1D10+1+DB</t>
  </si>
  <si>
    <t>鞭锏/钢鞭</t>
  </si>
  <si>
    <t>2D4+2+DB</t>
  </si>
  <si>
    <t>猫叉</t>
  </si>
  <si>
    <t>剑杖</t>
  </si>
  <si>
    <t>斗殴/杖/剑</t>
  </si>
  <si>
    <t>1D6 + DB(杖) / 1D8(剑)</t>
  </si>
  <si>
    <t>袖箭/隐藏弩</t>
  </si>
  <si>
    <t>3</t>
  </si>
  <si>
    <t>*/20</t>
  </si>
  <si>
    <t>吹箭/吹针</t>
  </si>
  <si>
    <t>1D3+毒药</t>
  </si>
  <si>
    <t>1(2)</t>
  </si>
  <si>
    <t>*/80</t>
  </si>
  <si>
    <t>袖剑/暗杀剑</t>
  </si>
  <si>
    <t>98</t>
  </si>
  <si>
    <t>20/150</t>
  </si>
  <si>
    <t>手杖剑/伞剑</t>
  </si>
  <si>
    <t>剑/斗殴</t>
  </si>
  <si>
    <t>50/400</t>
  </si>
  <si>
    <t>雨伞枪/伪装枪</t>
  </si>
  <si>
    <t>60/1000</t>
  </si>
  <si>
    <t>手套枪/掌心雷</t>
  </si>
  <si>
    <t>35/稀有</t>
  </si>
  <si>
    <t>射笔/毒针戒指</t>
  </si>
  <si>
    <t>1D2+毒药</t>
  </si>
  <si>
    <t>3码</t>
  </si>
  <si>
    <t>25/200</t>
  </si>
  <si>
    <t>欧洲十字剑/单手剑</t>
  </si>
  <si>
    <r>
      <rPr>
        <b/>
        <sz val="11"/>
        <rFont val="宋体"/>
        <charset val="134"/>
      </rPr>
      <t>——</t>
    </r>
    <r>
      <rPr>
        <b/>
        <sz val="11"/>
        <rFont val="Arial"/>
        <charset val="134"/>
      </rPr>
      <t xml:space="preserve">	</t>
    </r>
  </si>
  <si>
    <t>欧洲大剑/长剑</t>
  </si>
  <si>
    <t>欧洲双手剑/巨型剑</t>
  </si>
  <si>
    <t>苏格兰大剑/斩剑</t>
  </si>
  <si>
    <t>2D8 + DB</t>
  </si>
  <si>
    <t>需要 力量（STR 75+） 才能有效使用。以其巨大的尺寸和独特的护手设计闻名。在开阔地带可同时攻击2个相邻的敌人（相邻目标攻击检定有惩罚骰）。在狭窄空间是致命的累赘。</t>
  </si>
  <si>
    <t>西班牙细剑</t>
  </si>
  <si>
    <t>决斗之王。极度专注于刺击，攻击时可忽略目标部分闪避加成（因其速度）。通常与匕首或斗篷配合使用，是技巧与优雅的象征。</t>
  </si>
  <si>
    <t>维京战斧</t>
  </si>
  <si>
    <t>1D10+2 + DB</t>
  </si>
  <si>
    <t>简单、粗暴、有效。可以用于劈砍，也可用斧钩拉扯敌人的盾牌（缴械检定）。是维京文化中勇武与掠夺的象征。</t>
  </si>
  <si>
    <t>古希腊双刃战斧</t>
  </si>
  <si>
    <t>又称“Labrys”，是米诺文明中女祭司的权杖象征。对称的双刃设计代表了权力与平衡。在某些古老仪式中，它可能是开启密门或献祭的工具。</t>
  </si>
  <si>
    <t>波斯舍施尔弯刀</t>
  </si>
  <si>
    <t>1D8+3 + DB</t>
  </si>
  <si>
    <t>伊斯兰世界的名刃，弧度极大，锋利无比。特别适合马上劈砍。刀身常有大马士革钢的独特花纹，是艺术与杀戮的结合。</t>
  </si>
  <si>
    <t>土耳其基利弯刀</t>
  </si>
  <si>
    <t>奥斯曼禁卫军的象征。刀身前部明显加宽，重心靠前，劈砍力量十足。是帝国武力的体现。</t>
  </si>
  <si>
    <t>印度帕塔拳剑</t>
  </si>
  <si>
    <t>剑身与拳套一体。直刺的威力极强，且能保护持剑手。挥舞起来如同手臂的延伸，但灵活性稍差。</t>
  </si>
  <si>
    <t>阿拉伯双弧刀</t>
  </si>
  <si>
    <t>1D6+1 + DB/每把</t>
  </si>
  <si>
    <t>刀身呈独特的双弧度。是身份和地位的象征，常精美装饰。双持时攻防一体，但需要高超技巧。</t>
  </si>
  <si>
    <t>埃及镰刃剑</t>
  </si>
  <si>
    <t>法老的象征性武器，如图坦卡蒙所持。独特的形状更适合钩割和缴械。在涉及古埃及神话的剧本中，可能是对抗阿米特等怪物的仪式武器。</t>
  </si>
  <si>
    <t>玛雅黑曜石锯剑</t>
  </si>
  <si>
    <t>1D10 + DB+撕裂</t>
  </si>
  <si>
    <t>木棍上镶嵌锋利的黑曜石片。造成的伤口极其恐怖，但武器本身不耐用，可能在一次重击后破损。是献祭仪式中常用的工具。</t>
  </si>
  <si>
    <t>北美战棍</t>
  </si>
  <si>
    <t>斗殴/短棍</t>
  </si>
  <si>
    <t>1D10 + DB</t>
  </si>
  <si>
    <t>棍端带有石球或铁锤。是部落勇士的荣誉象征。成功命中可能造成击晕效果（目标CON检定）</t>
  </si>
  <si>
    <t>菲律宾魔杖</t>
  </si>
  <si>
    <t>菲律宾武术Eskrima/Arnis的代表武器。训练体系完整，攻防一体。通常双持，擅长缴械和近身缠斗。</t>
  </si>
  <si>
    <t>泰国拳术刀箍</t>
  </si>
  <si>
    <t>在拳锋上缠绕浸渍过药水或玻璃碎片的布带。使徒手攻击变得致命，是古泰拳中残酷的技法。</t>
  </si>
  <si>
    <t>印度环刃</t>
  </si>
  <si>
    <t>1D8(投掷) / 1D6 + DB</t>
  </si>
  <si>
    <t>接触/25码</t>
  </si>
  <si>
    <t>锡克教徒的标志性武器。投掷时飞行轨迹稳定，可远距离攻击。也可套在手臂上用于近战格挡和切割。</t>
  </si>
  <si>
    <t>蒙古弯刀</t>
  </si>
  <si>
    <t>为骑兵冲锋优化设计。弧度适合在马上借助冲力进行拖割，是蒙古帝国席卷欧亚的利器。</t>
  </si>
  <si>
    <t>波斯战锤</t>
  </si>
  <si>
    <t>2D4+1 + DB</t>
  </si>
  <si>
    <t>锤头常制成鸟首或其他动物形状。是破甲利器，专门对付重甲骑士。锤击的钝力能造成严重内伤。</t>
  </si>
  <si>
    <t>刚果祭祀刀</t>
  </si>
  <si>
    <t xml:space="preserve">1D6 + DB </t>
  </si>
  <si>
    <t>用于古老献祭仪式。每次造成伤害，使用者都需进行SAN检定(0/1)。可能吸引旧神的注意。</t>
  </si>
  <si>
    <t>因纽特骨刃</t>
  </si>
  <si>
    <t>由海兽牙齿或骨骼磨制。在极寒环境中不会变脆，对“寒冷”属性生物有奇效。</t>
  </si>
  <si>
    <t>普莫拉匕首</t>
  </si>
  <si>
    <t>刀身细长，常用于投掷。是恩加拉马音乐的伴奏者使用的刀具，挥舞时有微弱的、令人不安的节奏感。</t>
  </si>
  <si>
    <t>秘银匕首</t>
  </si>
  <si>
    <t>1D4+DB/2D6(特殊)</t>
  </si>
  <si>
    <t>镀银或纯银的匕首。对狼人、某些精怪等弱银生物有特效。</t>
  </si>
  <si>
    <t>电棍、电击枪(接触)</t>
  </si>
  <si>
    <t>1D3+眩晕</t>
  </si>
  <si>
    <t>——/200</t>
  </si>
  <si>
    <t>战斗回力镖</t>
  </si>
  <si>
    <t>2/4</t>
  </si>
  <si>
    <t>飞石索</t>
  </si>
  <si>
    <t>1D6+缠绕</t>
  </si>
  <si>
    <t>3/40</t>
  </si>
  <si>
    <t>南美/西班牙土著用于绊倒或束缚大型目标(STR对抗)</t>
  </si>
  <si>
    <t>手斧/镰刀</t>
  </si>
  <si>
    <t>3/9</t>
  </si>
  <si>
    <t>伐木斧/消防斧</t>
  </si>
  <si>
    <t>1D8+2+DB</t>
  </si>
  <si>
    <t>5/10</t>
  </si>
  <si>
    <t>气动射钉枪</t>
  </si>
  <si>
    <t>完全无声，易于伪装成工具。但威力有限，射程近。是刺客或城市潜行的工具。</t>
  </si>
  <si>
    <t>电击枪(远程)</t>
  </si>
  <si>
    <t>15英尺</t>
  </si>
  <si>
    <t>——/400</t>
  </si>
  <si>
    <t>燧发枪</t>
  </si>
  <si>
    <t>30/300</t>
  </si>
  <si>
    <t>.22(5.6mm)小型自动手枪</t>
  </si>
  <si>
    <t>6</t>
  </si>
  <si>
    <t>25/190</t>
  </si>
  <si>
    <t>.25(6.35mm)短口手枪(单管)</t>
  </si>
  <si>
    <t>12/55</t>
  </si>
  <si>
    <t>.32(7.65mm)左轮手枪</t>
  </si>
  <si>
    <t>15/200</t>
  </si>
  <si>
    <t>.32(7.65mm)自动手枪</t>
  </si>
  <si>
    <t>.357 马格南左轮</t>
  </si>
  <si>
    <t>——/425</t>
  </si>
  <si>
    <t>.38(9mm)左轮手枪</t>
  </si>
  <si>
    <t>.38(9mm)自动手枪</t>
  </si>
  <si>
    <t>30/375</t>
  </si>
  <si>
    <t>贝瑞塔 M9</t>
  </si>
  <si>
    <t>——/500</t>
  </si>
  <si>
    <t>9mm 格洛克 17</t>
  </si>
  <si>
    <t>17</t>
  </si>
  <si>
    <t>9mm 鲁格 P08</t>
  </si>
  <si>
    <t>75/600</t>
  </si>
  <si>
    <t>.41(10.4mm) 左轮手枪</t>
  </si>
  <si>
    <t>1920s,罕见</t>
  </si>
  <si>
    <t>30/——</t>
  </si>
  <si>
    <t>.44(11.2mm) 马格南左轮手枪</t>
  </si>
  <si>
    <t>1D10+1D4+2</t>
  </si>
  <si>
    <t>.45(11.43mm) 左轮手枪</t>
  </si>
  <si>
    <t>.45(11.43mm) 自动手枪</t>
  </si>
  <si>
    <t>7</t>
  </si>
  <si>
    <t>40/375</t>
  </si>
  <si>
    <t>IMI 沙漠之鹰</t>
  </si>
  <si>
    <t>1D10+1D6+3</t>
  </si>
  <si>
    <t>94</t>
  </si>
  <si>
    <t>.58 (14.7mm)1855 年式春田步枪</t>
  </si>
  <si>
    <t>25/350</t>
  </si>
  <si>
    <t>.22 (5.6mm)栓式枪机步枪</t>
  </si>
  <si>
    <t>30</t>
  </si>
  <si>
    <t>13/70</t>
  </si>
  <si>
    <t>.30 (7.62mm)杠杆式枪机步枪</t>
  </si>
  <si>
    <t>19/150</t>
  </si>
  <si>
    <t>.45 马提尼·亨利步枪</t>
  </si>
  <si>
    <t>1D8+1D6+3</t>
  </si>
  <si>
    <t>20/200</t>
  </si>
  <si>
    <t>莫兰上校的气动步枪</t>
  </si>
  <si>
    <t>2D6+1</t>
  </si>
  <si>
    <t>88</t>
  </si>
  <si>
    <t>加兰德M1、M2步枪</t>
  </si>
  <si>
    <t>2D6+4</t>
  </si>
  <si>
    <t>110</t>
  </si>
  <si>
    <t>二战及以后</t>
  </si>
  <si>
    <t>400</t>
  </si>
  <si>
    <t>SKS 半自动步枪(56 半)</t>
  </si>
  <si>
    <t>90</t>
  </si>
  <si>
    <t>.303 (7.7mm) 李·恩菲尔德</t>
  </si>
  <si>
    <t>50/300</t>
  </si>
  <si>
    <t>.30——06 (7.62mm) 栓式枪机步枪</t>
  </si>
  <si>
    <t>75/175</t>
  </si>
  <si>
    <t>.30——06 (7.62mm) 半自动步枪</t>
  </si>
  <si>
    <t>275</t>
  </si>
  <si>
    <t>.444 (11.28mm) 马林步枪</t>
  </si>
  <si>
    <t>2D8+4</t>
  </si>
  <si>
    <t>猎象枪(双管)</t>
  </si>
  <si>
    <t>3D6+4</t>
  </si>
  <si>
    <t>1 or 2</t>
  </si>
  <si>
    <t>400/1000</t>
  </si>
  <si>
    <t>20 号霰弹枪(双管)</t>
  </si>
  <si>
    <t>2D6/1D6/1D3</t>
  </si>
  <si>
    <t>10/20/50</t>
  </si>
  <si>
    <t>16 号霰弹枪(双管)</t>
  </si>
  <si>
    <t>2D6+2/1D6+1/1D4</t>
  </si>
  <si>
    <t>40/稀有</t>
  </si>
  <si>
    <t>12 号霰弹枪(双管)</t>
  </si>
  <si>
    <t>4D6/2D6/1D6</t>
  </si>
  <si>
    <t>40/200</t>
  </si>
  <si>
    <t>12 号霰弹枪(泵动)</t>
  </si>
  <si>
    <t>45/100</t>
  </si>
  <si>
    <t>12 号霰弹枪(半自动)</t>
  </si>
  <si>
    <t>12 号霰弹枪(双管,锯短)</t>
  </si>
  <si>
    <t>4D6/1D6</t>
  </si>
  <si>
    <t>10 号霰弹枪(双管)</t>
  </si>
  <si>
    <t>4D6+2/2D6+1/1D4</t>
  </si>
  <si>
    <t>1920s，罕见</t>
  </si>
  <si>
    <t>稀有</t>
  </si>
  <si>
    <t>12 号贝里尼 M3(折叠式枪托)</t>
  </si>
  <si>
    <t>——/895</t>
  </si>
  <si>
    <t>12 号 SPAS (折叠式枪托)</t>
  </si>
  <si>
    <t>——/600</t>
  </si>
  <si>
    <t>AK-47 或 AKM</t>
  </si>
  <si>
    <t>1(2)or全自动</t>
  </si>
  <si>
    <t>AK-74</t>
  </si>
  <si>
    <t>——/1000</t>
  </si>
  <si>
    <t>巴雷特M82</t>
  </si>
  <si>
    <t>2D10+1D8+6</t>
  </si>
  <si>
    <t>250</t>
  </si>
  <si>
    <t>——/3000</t>
  </si>
  <si>
    <t>FN FAL</t>
  </si>
  <si>
    <t>1(2)or3连射</t>
  </si>
  <si>
    <t>——/1500</t>
  </si>
  <si>
    <t>加利尔突击步枪</t>
  </si>
  <si>
    <t>1(2)or连射</t>
  </si>
  <si>
    <t>——/2000</t>
  </si>
  <si>
    <t>M16A2</t>
  </si>
  <si>
    <t>M4</t>
  </si>
  <si>
    <t>1or3连射</t>
  </si>
  <si>
    <t>斯泰尔 AUG</t>
  </si>
  <si>
    <t>——/1100</t>
  </si>
  <si>
    <t>贝雷塔 M70/90</t>
  </si>
  <si>
    <t>1or全自动</t>
  </si>
  <si>
    <t>——/2800</t>
  </si>
  <si>
    <t>MP18I/MP28II</t>
  </si>
  <si>
    <t>20/30/32</t>
  </si>
  <si>
    <t>1000/20000</t>
  </si>
  <si>
    <t>MP5</t>
  </si>
  <si>
    <t>15/30</t>
  </si>
  <si>
    <t>MAC-11</t>
  </si>
  <si>
    <t>1(3)or全自动</t>
  </si>
  <si>
    <t>32</t>
  </si>
  <si>
    <t>——/750</t>
  </si>
  <si>
    <t>蝎式冲锋枪</t>
  </si>
  <si>
    <t>汤普森冲锋枪</t>
  </si>
  <si>
    <t>20/30/50</t>
  </si>
  <si>
    <t>200+/1600</t>
  </si>
  <si>
    <t>乌兹微型冲锋枪</t>
  </si>
  <si>
    <t>1882 年式加特林</t>
  </si>
  <si>
    <t>全自动</t>
  </si>
  <si>
    <t>2000/14000</t>
  </si>
  <si>
    <t>M1918 式勃朗宁自动步枪</t>
  </si>
  <si>
    <t>800/1500</t>
  </si>
  <si>
    <t>勃朗宁 M1917A1(7.62mm)</t>
  </si>
  <si>
    <t>3000/30000</t>
  </si>
  <si>
    <t>布伦轻机枪</t>
  </si>
  <si>
    <t>30/100</t>
  </si>
  <si>
    <t>3000/50000</t>
  </si>
  <si>
    <t>路易斯Ⅰ型机枪</t>
  </si>
  <si>
    <t>27/97</t>
  </si>
  <si>
    <t>3000/20000</t>
  </si>
  <si>
    <t>GE M134 式 7.62mm 速射机枪</t>
  </si>
  <si>
    <t>4000</t>
  </si>
  <si>
    <t>FN 米尼米(5.56mm)，弹夹/弹带</t>
  </si>
  <si>
    <t>30/200</t>
  </si>
  <si>
    <t>维克斯.303 机枪</t>
  </si>
  <si>
    <t>信号枪(信号弹枪)</t>
  </si>
  <si>
    <t>1D10+1D3+燃烧</t>
  </si>
  <si>
    <t>15/75</t>
  </si>
  <si>
    <t>泰瑟网枪</t>
  </si>
  <si>
    <t>1D3+束缚/1D4每轮</t>
  </si>
  <si>
    <t>发射带电的纳米纤维网。命中后目标需进行STR检定逃脱，否则被束缚并每轮受到1D4电击伤害。</t>
  </si>
  <si>
    <t>燃烧瓶</t>
  </si>
  <si>
    <t>2D6+燃烧</t>
  </si>
  <si>
    <t>STR码</t>
  </si>
  <si>
    <t>炸药棒</t>
  </si>
  <si>
    <t>4D10/3码</t>
  </si>
  <si>
    <t>STR英尺</t>
  </si>
  <si>
    <t>2/5</t>
  </si>
  <si>
    <t>手榴弹</t>
  </si>
  <si>
    <t>81mm迫击炮</t>
  </si>
  <si>
    <t>6D10/6码</t>
  </si>
  <si>
    <t>500码</t>
  </si>
  <si>
    <t>独立装弹</t>
  </si>
  <si>
    <t>75mm野战火炮</t>
  </si>
  <si>
    <t>10D10/2码</t>
  </si>
  <si>
    <t>1500/——</t>
  </si>
  <si>
    <t>120mm坦克炮(稳定)</t>
  </si>
  <si>
    <t>2000码</t>
  </si>
  <si>
    <t>5英寸舰载炮(稳定)</t>
  </si>
  <si>
    <t>15D10/4码</t>
  </si>
  <si>
    <t>3000码</t>
  </si>
  <si>
    <t>自动上弹</t>
  </si>
  <si>
    <t>雷管</t>
  </si>
  <si>
    <t>2D10/1码</t>
  </si>
  <si>
    <t>20/整盒</t>
  </si>
  <si>
    <t>爆破筒</t>
  </si>
  <si>
    <t>1D10/3码</t>
  </si>
  <si>
    <t>就地</t>
  </si>
  <si>
    <t>一次使用</t>
  </si>
  <si>
    <t>塑胶炸弹(C4) 100克</t>
  </si>
  <si>
    <t>6D10/3码</t>
  </si>
  <si>
    <t>反步兵地雷</t>
  </si>
  <si>
    <t>4D10/5码</t>
  </si>
  <si>
    <t>布置</t>
  </si>
  <si>
    <t>阔剑地雷</t>
  </si>
  <si>
    <t>6D6/20码</t>
  </si>
  <si>
    <t>火焰喷射器</t>
  </si>
  <si>
    <t>25码</t>
  </si>
  <si>
    <t>至少10</t>
  </si>
  <si>
    <t>93</t>
  </si>
  <si>
    <t>热熔枪</t>
  </si>
  <si>
    <t>6D6+熔化</t>
  </si>
  <si>
    <t>纳米虫群散布器</t>
  </si>
  <si>
    <t>1D6/轮</t>
  </si>
  <si>
    <t>20码</t>
  </si>
  <si>
    <t>释放后，虫群在区域内持续存在3轮，吞噬所有有机物和指定金属。范围内的生物每轮都受到伤害。只能用强电磁脉冲或能量武器驱散。</t>
  </si>
  <si>
    <t>火箭背包+喷射器</t>
  </si>
  <si>
    <t>3D6+燃烧/飞行</t>
  </si>
  <si>
    <t>结合了机动性与范围攻击。使用者可短距飞行。在密闭空间使用极为危险，可能引燃自身环境。</t>
  </si>
  <si>
    <t>化学物质发射器</t>
  </si>
  <si>
    <t>取决于内容物</t>
  </si>
  <si>
    <t>可更换</t>
  </si>
  <si>
    <t>现代,科幻</t>
  </si>
  <si>
    <t>可装载不同化学剂：燃烧剂（2D6燃烧伤害）、镇静剂（目标CON检定失败则昏迷）、腐蚀酸（1D6/轮，持续3轮）。装填不同罐子需要一整轮动作。</t>
  </si>
  <si>
    <t>M72 式单发轻型反坦克炮</t>
  </si>
  <si>
    <t>8d10/1码</t>
  </si>
  <si>
    <t>150码</t>
  </si>
  <si>
    <t>M79 40mm 榴弹发射器</t>
  </si>
  <si>
    <t>3D10/2码</t>
  </si>
  <si>
    <t>PzB 39 反坦克枪</t>
  </si>
  <si>
    <t>3D10+10</t>
  </si>
  <si>
    <t>300码</t>
  </si>
  <si>
    <t>二战，现代</t>
  </si>
  <si>
    <t>1500/15000</t>
  </si>
  <si>
    <t>早期反装甲方案。需要两脚架部署。后坐力巨大，STR&lt;15者使用后下一轮无法行动。仅对早期轻装甲有效。</t>
  </si>
  <si>
    <t>巴祖卡火箭筒</t>
  </si>
  <si>
    <t>4D10+10</t>
  </si>
  <si>
    <t>——/20000</t>
  </si>
  <si>
    <t>开创性单兵反坦克武器。发射时有巨大尾焰，不能在密闭空间使用。需装填手。</t>
  </si>
  <si>
    <t>铁拳榴弹发射器</t>
  </si>
  <si>
    <t>5D10</t>
  </si>
  <si>
    <t>60码</t>
  </si>
  <si>
    <t>一次性使用，价格低廉。超口径弹头，威力大但精度差。是“发射即弃”的典范。</t>
  </si>
  <si>
    <t>RPG-7火箭筒</t>
  </si>
  <si>
    <t>4D10+10(破甲)/6D6(杀爆)</t>
  </si>
  <si>
    <t>2000+500/发</t>
  </si>
  <si>
    <t>全球扩散最广的重武器。有多种弹头可选。攻击移动目标有减值。黑市常见。</t>
  </si>
  <si>
    <t>“卡尔古斯塔夫”无后坐力炮</t>
  </si>
  <si>
    <t>6D6(多用途)</t>
  </si>
  <si>
    <t>25000+3000/发</t>
  </si>
  <si>
    <t>可发射多种弹药（破甲、杀爆、照明）。发射时后喷火焰危险，但无后坐力。是西方班组火力的支柱。</t>
  </si>
  <si>
    <t>“标枪”反坦克导弹</t>
  </si>
  <si>
    <t>8D10</t>
  </si>
  <si>
    <t>2500码</t>
  </si>
  <si>
    <t>1/5</t>
  </si>
  <si>
    <t>发射后不管，自动导引。可采用 攻顶模式 打击坦克薄弱顶部。系统重，需小组携带。</t>
  </si>
  <si>
    <t>单兵磁轨炮</t>
  </si>
  <si>
    <t>4D12+20</t>
  </si>
  <si>
    <t>1500码</t>
  </si>
  <si>
    <t>发射超高速弹丸，几乎瞬时命中。开火时有巨大的电磁爆，可能暴露位置并干扰附近电子产品。</t>
  </si>
  <si>
    <t>单兵等离子炮</t>
  </si>
  <si>
    <t>6D10+燃烧</t>
  </si>
  <si>
    <t>200码</t>
  </si>
  <si>
    <t>射程内所有生物需进行 敏捷检定，失败则受到一半溅射伤害。对工事和集群目标效果极佳。</t>
  </si>
  <si>
    <t>粒子束分解炮</t>
  </si>
  <si>
    <t>分解/体质对抗</t>
  </si>
  <si>
    <t>将目标部分物质分解为基本粒子。对无机物（装甲、墙壁）是即死的。对生物目标进行 极端CON检定，失败即死。有失控风险。</t>
  </si>
  <si>
    <t>“圣约”燃料炮</t>
  </si>
  <si>
    <t>100码</t>
  </si>
  <si>
    <t>发射粘性等离子团，命中后短暂附着再爆炸。可进行弹跳射击。爆炸范围较大。</t>
  </si>
  <si>
    <t>“米诺陶”智能导弹发射巢</t>
  </si>
  <si>
    <t>1D10/发(可齐射)</t>
  </si>
  <si>
    <t>5000码</t>
  </si>
  <si>
    <t>1(6)</t>
  </si>
  <si>
    <t>发射后自动索敌，可同时攻击多个目标或集中攻击一个目标。是单兵能携带的最强面杀伤武器之一。</t>
  </si>
  <si>
    <t>金属风暴投射器</t>
  </si>
  <si>
    <t>1(100)</t>
  </si>
  <si>
    <t>在极短时间内发射海量弹丸，形成毁灭性金属射流。一次清空整个“弹仓”，造成范围性伤害（如10x10码内所有目标受到5D10伤害）。之后需要长时间冷却和重装。</t>
  </si>
  <si>
    <t>爆弹枪/火箭枪</t>
  </si>
  <si>
    <t>2D10+4</t>
  </si>
  <si>
    <t>命中后弹头内微型火箭推进并爆炸。成功命中后，对主目标额外造成1D6爆炸伤害（可闪避）。后坐力巨大，需高力量(STR 14+)。</t>
  </si>
  <si>
    <t>新星之矛</t>
  </si>
  <si>
    <t>3D6 + 2D6/轮燃烧</t>
  </si>
  <si>
    <t>投掷后，矛尖会变成一个小型的等离子球体，持续灼烧目标。目标需要花费一整轮动作并成功进行困难STR检定才能拔出它。像鱼叉一样，后面可以栓绳子把目标拖过来。</t>
  </si>
  <si>
    <t>箭式个人制导武器</t>
  </si>
  <si>
    <t>4D10(破甲)</t>
  </si>
  <si>
    <t>600码</t>
  </si>
  <si>
    <t>1(持续)</t>
  </si>
  <si>
    <t>单兵微型导弹。发射后激光驾束制导，需持续照射目标。对固定工事和轻型车辆有效。</t>
  </si>
  <si>
    <t>高斯手枪/线圈手枪</t>
  </si>
  <si>
    <t>2D6+2</t>
  </si>
  <si>
    <t>几乎无声，无枪口焰。发射超音速金属弹丸，可无视部分轻护甲。</t>
  </si>
  <si>
    <t>高斯步枪/磁轨步枪</t>
  </si>
  <si>
    <t>120码</t>
  </si>
  <si>
    <t>开火时有巨大的电流爆裂声和轨道烧蚀痕迹。可击穿轻型载具装甲，是单兵反器材武器。</t>
  </si>
  <si>
    <t>狙击型高斯步枪/长射程磁轨武器</t>
  </si>
  <si>
    <t>3D10+6</t>
  </si>
  <si>
    <t>专用反器材/反人员狙击武器。开火时有巨大的音爆和电磁脉冲，会暴露位置。首次从隐蔽位置攻击时，技能检定有加成。</t>
  </si>
  <si>
    <t>激光手枪</t>
  </si>
  <si>
    <t>激光步枪</t>
  </si>
  <si>
    <t>3D6+燃烧</t>
  </si>
  <si>
    <t>粒子束步枪</t>
  </si>
  <si>
    <t>3D10+穿甲</t>
  </si>
  <si>
    <t>相位枪</t>
  </si>
  <si>
    <t>2D6/击晕/撬锁</t>
  </si>
  <si>
    <t>可切换模式：击晕（目标CON检定失败则昏迷）、致死（2D6）、或切割（用于破坏门锁）。高等文明的标志。</t>
  </si>
  <si>
    <t>冷冻射线枪</t>
  </si>
  <si>
    <t>2D6+冷冻</t>
  </si>
  <si>
    <t>目标敏捷和闪避减半（直到解冻）。若伤害超过目标HP一半，则被完全冻结（需解冻，极难体质）。</t>
  </si>
  <si>
    <t>闪电链发射器</t>
  </si>
  <si>
    <t>2D8+电弧</t>
  </si>
  <si>
    <t>命中首个目标后，电弧会跳跃至最近的一个目标（伤害减半），最多跳跃3次。在潮湿环境或金属环境中效果范围增加。</t>
  </si>
  <si>
    <t>电弧脉冲步枪</t>
  </si>
  <si>
    <t>1D10+EMP</t>
  </si>
  <si>
    <t>主要针对机器人、载具和动力装甲。范围内的电子设备需进行幸运检定，失败则永久失效。对无防护生物伤害一般。</t>
  </si>
  <si>
    <t>太阳聚焦步枪</t>
  </si>
  <si>
    <t>1(需聚焦)</t>
  </si>
  <si>
    <t>需阳光</t>
  </si>
  <si>
    <t>对同一目标连续攻击时，每轮伤害增加1D6（最大4D6）。一旦中断或目标找到掩体，伤害重置。夜间或阴天无效。</t>
  </si>
  <si>
    <t>E11爆能步枪</t>
  </si>
  <si>
    <t>DL44爆能手枪</t>
  </si>
  <si>
    <t>圣约等离子步枪</t>
  </si>
  <si>
    <t>2D6+穿甲</t>
  </si>
  <si>
    <t>全自动(过热)</t>
  </si>
  <si>
    <t>星盟的制式武器。连射速度极快，但持续射击会导致过热（约连续射击一轮后），需要冷却时间。过热的武器下一轮无法使用。被等离子弹命中的目标护甲会更快失效。</t>
  </si>
  <si>
    <t>蜂群无人机手枪</t>
  </si>
  <si>
    <t>1D4/无人机</t>
  </si>
  <si>
    <t>释放一群协同攻击的微型无人机。可指令它们攻击一个或多个目标。易受范围电磁脉冲影响。可用于侦察、骚扰或破坏精密设备。</t>
  </si>
  <si>
    <t>等离子发射器</t>
  </si>
  <si>
    <t>4D6+溅射</t>
  </si>
  <si>
    <t>BFG 9000/毁灭战士</t>
  </si>
  <si>
    <t>6D6+3D6(溅射)</t>
  </si>
  <si>
    <t>莉娜激光炮</t>
  </si>
  <si>
    <t>1D100</t>
  </si>
  <si>
    <t>可充能</t>
  </si>
  <si>
    <t>一个非常不稳定的原型武器。伤害骰是1D100，意味着它可能只是烧焦目标（1点伤害），也可能瞬间将其气化（100点伤害）。每次发射后，有50%几率发生故障（卡壳、爆炸造成1D6自伤、或召唤出一只来自平行宇宙的奇怪生物）。</t>
  </si>
  <si>
    <t>量子波动炮</t>
  </si>
  <si>
    <t>1000码</t>
  </si>
  <si>
    <t>3次使用</t>
  </si>
  <si>
    <t>发射时会有明显的能量聚集和经典的喊出招式名环节。光束巨大，能贯穿一条直线上的所有目标。使用者的决心和情感可能影响其威力（守秘人可酌情给予加值）。充能期间使用者脆弱无比。</t>
  </si>
  <si>
    <t>阳电子炮/湮灭炮</t>
  </si>
  <si>
    <t>需充能</t>
  </si>
  <si>
    <t>离子电浆炮</t>
  </si>
  <si>
    <t>4D6+EMP</t>
  </si>
  <si>
    <t>命中点周围5码内生物受到一半溅射伤害（敏捷检定减半）。对电子设备有高概率瘫痪效果。</t>
  </si>
  <si>
    <t>智能冲锋枪</t>
  </si>
  <si>
    <t>需要约2秒锁定目标（最多5个）。锁定后扣动扳机，子弹会自动追踪目标要害。对已锁定的目标攻击检定自动成功，但目标可利用掩体或高速移动（敏捷检定）来规避锁定。</t>
  </si>
  <si>
    <t>智能手枪</t>
  </si>
  <si>
    <t>12</t>
  </si>
  <si>
    <t>需要约2秒锁定目标（最多3个）。锁定后扣动扳机，子弹会自动追踪目标要害。对已锁定的目标攻击检定自动成功，但目标可利用掩体或高速移动（敏捷检定）来规避锁定。</t>
  </si>
  <si>
    <t>LAPD 909 执法者手枪</t>
  </si>
  <si>
    <t>1d10/2d6(榴弹)</t>
  </si>
  <si>
    <t>一种奇特的武器。有一个普通枪口和一个较大的下挂发射器。可以发射标准子弹（1D10）或“爆炸弹”（范围小范围爆炸，2D6）。主要用于测试目标是否是复制人（一种“图灵测试”的暴力形式），充满了黑色电影和存在主义的色彩。</t>
  </si>
  <si>
    <t>穿刺矛发射器</t>
  </si>
  <si>
    <t>2D6+2D8</t>
  </si>
  <si>
    <t>酸液喷射炮</t>
  </si>
  <si>
    <t>2D6+腐蚀</t>
  </si>
  <si>
    <t>喷射强腐蚀性液体。命中后目标除非能刮掉液体（消耗一整轮动作），否则下一轮继续受到全额伤害。对金属和生物组织尤其有效。</t>
  </si>
  <si>
    <t>奇点手雷/微型黑洞</t>
  </si>
  <si>
    <t>激活后产生一个持续2秒的微型黑洞，吞噬范围内的一切。爆炸半径10码内的所有目标和物体都会被吸入中心点。投掷者自己如果未能及时逃离（敏捷检定）也会被卷入。幸存者SAN检定 1D6/1D20。这是单人能携带的最终极的毁灭力量，也是同归于尽的最后手段。</t>
  </si>
  <si>
    <t>感官炸弹</t>
  </si>
  <si>
    <t>1D6san</t>
  </si>
  <si>
    <t>爆炸后释放出覆盖所有频谱的强光、震耳欲聋的噪音和难以忍受的气味。范围内的所有生物陷入1D3轮的目眩、耳聋和恶心状态（所有技能检定承受惩罚）。是完美的逃脱工具。</t>
  </si>
  <si>
    <t>反物质手雷</t>
  </si>
  <si>
    <t>10D10</t>
  </si>
  <si>
    <r>
      <rPr>
        <sz val="11"/>
        <rFont val="宋体"/>
        <charset val="134"/>
      </rPr>
      <t>爆炸中心的一切物质化为纯能量。范围极大（守秘人裁定）。幸存者需进行极端难度的SAN检定（1D10/1D100）。宇宙级的危险。</t>
    </r>
  </si>
  <si>
    <t>黑洞炸弹/塌缩黑洞</t>
  </si>
  <si>
    <t>即死</t>
  </si>
  <si>
    <t>产生一个短暂的微型奇点，吞噬爆炸范围内的一切物质。幸存者（如果在最边缘挣脱）需进行极限SAN检定（1D100）。属于星球级毁灭武器。</t>
  </si>
  <si>
    <t>斥力场手雷</t>
  </si>
  <si>
    <t>2D6+击倒</t>
  </si>
  <si>
    <t>爆炸不产生冲击波，而是产生一个强大的向外的斥力场。范围内的所有生物被猛烈推撞到周围的墙壁或彼此，需进行敏捷检定以免摔倒。</t>
  </si>
  <si>
    <t>质能转化手雷</t>
  </si>
  <si>
    <t>4D6</t>
  </si>
  <si>
    <t>根据E=mc²公式，将手雷内极小质量的物质完全转化为能量。爆炸极为剧烈，并产生强光和辐射。范围内的所有生物需进行CON检定，失败则患上辐射病。</t>
  </si>
  <si>
    <t>相位手雷</t>
  </si>
  <si>
    <t>脱离现实</t>
  </si>
  <si>
    <t>爆炸不产生冲击波，而是创造一个短暂的相位场。范围内的实体（包括生物）会暂时“掉出”现实维度1D3轮，期间无法行动也无法被影响，然后重新出现。可能有个别倒霉蛋永远回不来了（守秘人秘密进行幸运检定）。</t>
  </si>
  <si>
    <t>隐形力场刀(单分子刀)</t>
  </si>
  <si>
    <t>刀身由能量场形成，可见光下完全隐形。首次对某目标攻击时，潜行检定获得加成。</t>
  </si>
  <si>
    <t>动力拳套/液压拳套</t>
  </si>
  <si>
    <t>液压动力驱动的拳套。攻击时无视目标的大部分物理护甲。也可用于砸开墙壁和车门。</t>
  </si>
  <si>
    <t>动能重甲拳套</t>
  </si>
  <si>
    <t>动力外骨骼的组成部分。攻击时有机会击退中型或更小的目标（STR对抗检定）。也可用于砸开强化门（检定有加成）</t>
  </si>
  <si>
    <t>螳螂刃(单分子刀)</t>
  </si>
  <si>
    <t>从手臂弹出的锋利刀片。允许使用者在攀爬检定上获得加成（可插入墙壁）。是街头战士的标志，使用它本身就是一个赛博精神病的潜在标志（长期使用可能导致SAN值缓慢流失）</t>
  </si>
  <si>
    <t>时间锚点匕首</t>
  </si>
  <si>
    <t>1D4+DB+无法治愈</t>
  </si>
  <si>
    <t>被此匕首造成的伤口不会自然愈合，因为它被锁定在“受伤”的时间点。目标需要魔法或高级外科手术才能愈合此伤，否则伤口将持续流血（每小时损失1HP）。如果匕首被拔出，目标需进行CON检定，否则立即受到2D6点时间撕裂伤害。</t>
  </si>
  <si>
    <t>维度相位刀</t>
  </si>
  <si>
    <t>1D8+DB(无视护甲)</t>
  </si>
  <si>
    <t>刀身在攻击的瞬间会进行微观层面的维度相位，绕过目标的物理防御。可以切割任何物理材料。但对纯能量屏障或魔法防护无效。</t>
  </si>
  <si>
    <t>光剑 / 光束军刀</t>
  </si>
  <si>
    <t>3D8+无视护甲</t>
  </si>
  <si>
    <t>MS用武器的缩小版。可以格挡能量武器攻击（需困难敏捷检定）。与实体剑碰撞时，可通过力量对抗试图摧毁对方的武器。</t>
  </si>
  <si>
    <t>等离子剑/等离子光剑</t>
  </si>
  <si>
    <t>可以格挡甚至偏转爆能束等能量武器攻击（需进行困难敏捷检定）。是身份和力量的象征，但极其显眼。</t>
  </si>
  <si>
    <t>无人机蜂巢</t>
  </si>
  <si>
    <t>电子学/计算机</t>
  </si>
  <si>
    <t>1D6/无人机</t>
  </si>
  <si>
    <r>
      <rPr>
        <sz val="11"/>
        <rFont val="宋体"/>
        <charset val="134"/>
      </rPr>
      <t>释放一群小型自杀式无人机。可进行侦察、骚扰或集火一个目标。易受电磁脉冲影响。</t>
    </r>
  </si>
  <si>
    <t>模因病毒发射器</t>
  </si>
  <si>
    <t>心理学/计算机</t>
  </si>
  <si>
    <t>1D8 INT + 1D10 SAN</t>
  </si>
  <si>
    <t>可视范围</t>
  </si>
  <si>
    <t>将一个自我毁灭性的信息（如“宇宙是痛苦的”）直接植入目标大脑。目标需进行INT检定抵抗，失败则智力受损并陷入疯狂。可能通过对话二次传播。</t>
  </si>
  <si>
    <t>单兵传送信标</t>
  </si>
  <si>
    <t>1D10+1D6san</t>
  </si>
  <si>
    <t>全球</t>
  </si>
  <si>
    <t>设置信标后，可将使用者或指定目标瞬间传送到信标位置。传送有机生命有风险：每次需进行CON检定，失败则承受1D10伤害（身体重组错误）和1D6 SAN损失。</t>
  </si>
  <si>
    <t>隐形场生成器</t>
  </si>
  <si>
    <t>隐形</t>
  </si>
  <si>
    <t>10分钟</t>
  </si>
  <si>
    <t>幻影制造器</t>
  </si>
  <si>
    <t>电子学/投掷</t>
  </si>
  <si>
    <t>诱饵</t>
  </si>
  <si>
    <t>投掷后产生一个与使用者一模一样的全息幻影，可以简单移动和发出声音。用于吸引火力、迷惑敌人。敌人需进行智力检定看穿幻象。每个诱饵工作五分钟。</t>
  </si>
  <si>
    <t>神经网络劫持器</t>
  </si>
  <si>
    <t>电子学/生物学</t>
  </si>
  <si>
    <t>持续</t>
  </si>
  <si>
    <t>发射信号覆盖并覆盖目标的神经系统。使用者必须专注（无法做其他事），每轮与目标进行POW对抗。成功则能像操控木偶一样控制目标的动作，但目标会保留意识。这种体验对双方都可能造成SAN损失。</t>
  </si>
  <si>
    <t>【选择特质】</t>
  </si>
  <si>
    <t>"</t>
  </si>
  <si>
    <t>【容颜早衰】</t>
  </si>
  <si>
    <t>&amp;外貌&amp;</t>
  </si>
  <si>
    <t>\n调查员的外貌早早衰老，大部分觉得你是老人</t>
  </si>
  <si>
    <t>\n外貌-15。当与年长NPC（年龄50岁以上）互动时，说服或信用评级检定获得奖励骰；当需要展现活力或吸引力的社交场合（如取悦年轻人或参加派对），说服和取悦检定面临惩罚骰。【减益特质】【影响自己】【永久持续】【被动生效】</t>
  </si>
  <si>
    <t>",</t>
  </si>
  <si>
    <t>【青春常驻】</t>
  </si>
  <si>
    <t>\n调查员的外貌不受自然年龄增长的影响</t>
  </si>
  <si>
    <t>\n外貌属性不受自然年龄增长影响。但更容易被神秘组织或超自然存在追踪，在所有与这类存在相关的遭遇中，灵感检定获得奖励骰，但潜行检定面临惩罚骰。【增益特质】【影响自己】【永久持续】【被动生效】</t>
  </si>
  <si>
    <t>【亲和力场】</t>
  </si>
  <si>
    <t>\n调查员的面容与气质令人如沐春风，不自觉地心生信任</t>
  </si>
  <si>
    <t>\n外貌+5。初始交涉（或说服）技能增加15%。取悦检定获得奖励骰。但在对抗恐吓或欺骗时，意志检定面临惩罚骰。【增益特质】【影响自己】【永久持续】【被动生效】</t>
  </si>
  <si>
    <t>【经验渴求】</t>
  </si>
  <si>
    <t>&amp;成长&amp;</t>
  </si>
  <si>
    <t>\n调查员执着于事情的终局，这使你从每次经历中都能汲取更多教训</t>
  </si>
  <si>
    <t>\n模组结束时，可选择将一个成功使用过的技能进行两次成长检定，或对两个不同的成功使用过的技能各进行一次成长检定。该特质每场模组只能触发一次。【增益特质】【影响自己】【单个模组】【被动生效】</t>
  </si>
  <si>
    <t>【时间悖论】</t>
  </si>
  <si>
    <t>&amp;超自然&amp;</t>
  </si>
  <si>
    <t>\n调查员的身体难以受到时间法术的影响</t>
  </si>
  <si>
    <t>\n对抗时间加速、减速、衰老等超自然效果时，体质检定获得奖励骰。但佩戴的机械手表总是走得不准，所有基于精确时间（如定时炸弹或同步行动）的检定面临惩罚骰。【增益特质】【影响自己】【永久持续】【被动生效】</t>
  </si>
  <si>
    <t>【不怒自威】</t>
  </si>
  <si>
    <t>\n调查员面容刚毅，眼神锐利，无需言语便能传达威胁</t>
  </si>
  <si>
    <t>\n外貌-5。初始恐吓技能增加20%。恐吓检定获得奖励骰。但取悦和说服检定面临惩罚骰。【减益特质】【影响自己】【永久持续】【被动生效】</t>
  </si>
  <si>
    <t>【道德混沌】</t>
  </si>
  <si>
    <t>&amp;心智&amp;</t>
  </si>
  <si>
    <t>\n调查员内心的道德感缺失，对常人所忌讳的暴行感到麻木</t>
  </si>
  <si>
    <t>\n当亲自造成致命伤害或目睹残酷场面时，可进行理智检定，成功则失去0点理智，失败则正常失去理智。每场模组最多触发一次。【增益特质】【影响自己】【单个模组】【触发条件：造成致命伤害或目睹残酷场面】</t>
  </si>
  <si>
    <t>【狂战之血】</t>
  </si>
  <si>
    <t>&amp;战斗&amp;</t>
  </si>
  <si>
    <t>\n调查员在战斗中会点燃内心的狂怒，忽略防御以专注于摧毁</t>
  </si>
  <si>
    <t>\n战斗中可以主动激活，使斗殴或斧技能+10%，但闪避技能-10%。持续3回合，每场战斗限一次。激活时，消耗1点理智作为代价。【增益特质】【影响自己】【持续3回合】【主动激活，消耗1理智】</t>
  </si>
  <si>
    <t>【鹤发童颜】</t>
  </si>
  <si>
    <t>\n调查员拥有一头苍老的银发，但面容却红润如少年</t>
  </si>
  <si>
    <t>\n与学者、医生或神秘主义者打交道时，说服获得奖励骰。试图融入普通年轻人或老年人群体时，乔装修定面临惩罚骰。【双面特质】【影响自己】【永久持续】【被动生效】</t>
  </si>
  <si>
    <t>【年长智者】</t>
  </si>
  <si>
    <t>&amp;年龄&amp;</t>
  </si>
  <si>
    <t>\n调查员已步入人生的黄昏，岁月带走了活力，却赋予了智慧</t>
  </si>
  <si>
    <t>\n力量&amp;体质-10，智力或教育（任选其一）+10。初始年龄变更为老年（50岁以上）。所有知识类技能（如图书馆使用、历史）获得奖励骰。但运动类技能检定面临惩罚骰。【双面特质】【影响自己】【永久持续】【被动生效】</t>
  </si>
  <si>
    <t>【年富力强】</t>
  </si>
  <si>
    <t>\n调查员正处于生命的黄金时期，身体机能处于巅峰</t>
  </si>
  <si>
    <t>\n力量&amp;体质+5。初始年龄变更为中年（30-49岁）。在需要进行体力对抗的检定（如攀爬或游泳）中获得奖励骰。但教育属性上限降低5点。【增益特质】【影响自己】【永久持续】【被动生效】</t>
  </si>
  <si>
    <t>【稚气面容】</t>
  </si>
  <si>
    <t>\n调查员看起来比实际年龄小很多，常常被人低估</t>
  </si>
  <si>
    <t>\n外貌+10。初始信用评级降低10%。在需要博取同情或降低他人戒心的说服检定中获得奖励骰。但在权威场合（如与警察或上司互动），信用评级检定面临惩罚骰。【双面特质】【影响自己】【永久持续】【被动生效】</t>
  </si>
  <si>
    <t>【天生瘢痕】</t>
  </si>
  <si>
    <t>\n调查员的面部或身体有着无法掩盖的巨大瘢痕</t>
  </si>
  <si>
    <t>\n外貌-15。所有基于第一印象的社交技能（如说服、取悦）检定面临惩罚骰。但恐吓检定获得奖励骰。对抗恐惧效果时，意志检定获得奖励骰。【减益特质】【影响自己】【永久持续】【被动生效】</t>
  </si>
  <si>
    <t>【旧印烙痕】</t>
  </si>
  <si>
    <t>\n调查员身体上莫名出现了一个无法消除的、类似旧印的疤痕</t>
  </si>
  <si>
    <t>\n对神话生物和超自然存在的灵感检定获得奖励骰。但同时，那些存在也更容易注意到你，在所有与神话生物相关的遭遇中，潜行检定面临惩罚骰。【双面特质】【影响自己】【永久持续】【被动生效】</t>
  </si>
  <si>
    <t>【战场伤痕】</t>
  </si>
  <si>
    <t>\n调查员有着参与战争留下的伤疤和缝合线</t>
  </si>
  <si>
    <t>\n恐吓技能获得奖励骰。在需要展现亲和力或优雅的社交场合（如取悦、交际），检定面临惩罚骰。对抗恐惧效果时意志检定获得奖励骰。医疗技能对自身的治疗检定获得奖励骰。【双面特质】【影响自己】【永久持续】【被动生效】</t>
  </si>
  <si>
    <t>【白化症候】</t>
  </si>
  <si>
    <t>\n调查员患有严重的白化病，苍白的皮肤和头发在人群中极为显眼</t>
  </si>
  <si>
    <t>\n潜行（在明亮环境下）和乔装修定面临惩罚骰。在强光环境下，侦查检定面临惩罚骰。在黑暗环境中潜行获得惩罚骰。对抗强光导致的目盲效果时，体质检定获得奖励骰。【减益特质】【影响自己】【永久持续】【被动生效】</t>
  </si>
  <si>
    <t>【日晒痕迹】</t>
  </si>
  <si>
    <t>\n调查员的皮肤极易晒黑，并留下了深色的、难以消退的日晒痕迹</t>
  </si>
  <si>
    <t>\n在户外环境（如丛林、沙漠）进行追踪或潜行时，获得奖励骰。但在上流社会的社交场合，信用评级或说服检定面临惩罚骰。【双面特质】【影响自己】【永久持续】【被动生效】</t>
  </si>
  <si>
    <t>【双色异瞳】</t>
  </si>
  <si>
    <t>\n调查员天生拥有两种颜色的瞳孔，在人群中非常突出</t>
  </si>
  <si>
    <t>\n基于第一印象的说服或取悦检定获得奖励骰。进行乔装修定以掩盖身份时，面临惩罚骰。对幻觉和幻象的看破检定（如灵感或意志检定）获得奖励骰。【双面特质】【影响自己】【永久持续】【被动生效】</t>
  </si>
  <si>
    <t>【电眼袭人】</t>
  </si>
  <si>
    <t>\n调查员的眼睛深邃而迷人，仿佛能看穿灵魂，让人难以抗拒</t>
  </si>
  <si>
    <t>\n可以使用外貌代替说服进行言语交涉。每日一次，在对单个目标进行取悦或说服时，可以重掷失败的检定。激活时，消耗1点理智作为代价。【增益特质】【影响单目标】【每日一次】【主动激活，消耗1理智】</t>
  </si>
  <si>
    <t>【嗜酒如命】</t>
  </si>
  <si>
    <t>&amp;习性&amp;</t>
  </si>
  <si>
    <t>\n调查员依赖酒精来维持精神状态，一旦失去它就会焦躁不安</t>
  </si>
  <si>
    <t>\n在微醺状态下，所有技能检定承受惩罚骰。完全清醒时，所有智力和教育相关的技能检定承受惩罚骰。戒断时需进行意志检定（难度标准），失败则陷入临时疯狂1小时。【减益特质】【影响自己】【永久持续】【被动生效】</t>
  </si>
  <si>
    <t>【酒中灵感】</t>
  </si>
  <si>
    <t>\n酒精能奇异地激发调查员的灵感，在混沌的思维中捕捉到洞见</t>
  </si>
  <si>
    <t>\n饮酒后，接下来1小时内进行的灵感和艺术类技能检定获得奖励骰。但在此期间，所有需要精细操作或冷静判断的技能（如锁匠或驾驶）承受惩罚骰。每场模组最多触发两次。【双面特质】【影响自己】【持续1小时】【触发条件：饮酒后】</t>
  </si>
  <si>
    <t>【酒精过敏】</t>
  </si>
  <si>
    <t>&amp;身体&amp;</t>
  </si>
  <si>
    <t>\n调查员的身体对酒精极度敏感，极易中毒</t>
  </si>
  <si>
    <t>\n摄入任何酒精后，需立即进行体质检定（难度困难）。失败则陷入中毒状态（属性减半），成功则晕眩1回合。中毒效果的持续时间和严重程度翻倍。【减益特质】【影响自己】【永久持续】【触发条件：摄入酒精】</t>
  </si>
  <si>
    <t>【酒精代谢】</t>
  </si>
  <si>
    <t>\n调查员的身体能飞速分解酒精，几乎无法醉酒</t>
  </si>
  <si>
    <t>\n免疫因饮酒导致的晕眩和中毒状态。但永远无法通过酒精获得社交加成或麻痹感官，并且在需要喝醉来融入场合时，乔装修定面临惩罚骰。【增益特质】【影响自己】【永久持续】【被动生效】</t>
  </si>
  <si>
    <t>【习惯警戒】</t>
  </si>
  <si>
    <t>\n调查员即使在睡梦中，潜意识也保持着高度的警觉</t>
  </si>
  <si>
    <t>\n在睡眠或休息时，聆听检定获得奖励骰。但因此很难获得高质量睡眠，长期冒险后，恢复的理智和生命值减半（至少恢复1点）。【双面特质】【影响自己】【永久持续】【被动生效】</t>
  </si>
  <si>
    <t>【缺乏戒心】</t>
  </si>
  <si>
    <t>\n调查员天性乐观，对潜在的威胁总是后知后觉</t>
  </si>
  <si>
    <t>\n无法在战斗的第一轮行动（被偷袭时），并且侦查和聆听检定以发现潜在危险时，面临惩罚骰。初始幸运+10。每场模组一次，当因缺乏戒心陷入危机时，可重掷一次幸运检定。【双面特质】【影响自己】【永久持续】【被动生效】</t>
  </si>
  <si>
    <t>【敏锐听觉】</t>
  </si>
  <si>
    <t>&amp;感官&amp;</t>
  </si>
  <si>
    <t>\n调查员的耳朵能捕捉到常人无法察觉的细微声响</t>
  </si>
  <si>
    <t>\n聆听检定获得奖励骰。面对突如其来的巨大噪音时，受到的惊吓和影响是常人的两倍（理智损失增加1点或临时性耳聋1回合）。【双面特质】【影响自己】【永久持续】【被动生效】</t>
  </si>
  <si>
    <t>【听力障碍】</t>
  </si>
  <si>
    <t>\n调查员的听力存在缺陷，常常需要别人重复话语</t>
  </si>
  <si>
    <t>\n聆听检定面临惩罚骰。读唇语成为可能的重要技能（初始读唇语技能+10%）。对抗声波攻击时获得一个奖励骰。【减益特质】【影响自己】【永久持续】【被动生效】</t>
  </si>
  <si>
    <t>【动态视力】</t>
  </si>
  <si>
    <t>\n调查员的眼睛能轻易捕捉快速移动的物体和细节</t>
  </si>
  <si>
    <t>\n侦查（针对移动目标）和射击检定获得奖励骰。阅读细小文字或进行长时间、高专注的静态观察时，可能会感到疲劳（持续1小时后，侦查检定面临惩罚骰）。【增益特质】【影响自己】【永久持续】【被动生效】</t>
  </si>
  <si>
    <t>【视野狭窄】</t>
  </si>
  <si>
    <t>\n调查员的视野存在盲区，难以察觉静止或处于余光中的事物</t>
  </si>
  <si>
    <t>\n侦查检定面临惩罚骰。更容易被伏击（偷袭检定自动成功）。但对强光和闪光效果的抵抗获得奖励骰。【减益特质】【影响自己】【永久持续】【被动生效】</t>
  </si>
  <si>
    <t>【过目不忘】</t>
  </si>
  <si>
    <t>\n调查员拥有如同相机般的记忆能力，细节清晰可查</t>
  </si>
  <si>
    <t>\n知识和智力检定在回忆信息时获得奖励骰。但恐怖记忆也会格外清晰，接触能勾起恐怖回忆的场景时，理智检定失败则多失去1点理智。【双面特质】【影响自己】【永久持续】【被动生效】</t>
  </si>
  <si>
    <t>【记忆碎片】</t>
  </si>
  <si>
    <t>\n调查员的记忆像是破碎的镜子，难以拼凑出完整的画面</t>
  </si>
  <si>
    <t>\n需要进行回忆的智力或知识检定时，面临惩罚骰。但面对极度恐怖事件时，可进行意志检定来选择性遗忘，成功则少失去1点理智。每场模组限一次。【双面特质】【影响自己】【永久持续】【被动生效】</t>
  </si>
  <si>
    <t>【严重脸盲】</t>
  </si>
  <si>
    <t>\n调查员几乎无法通过面容和名字来识别不同的人</t>
  </si>
  <si>
    <t>\n无法进行通过外貌识人的侦查检定。识别他人主要依靠声音、衣着或行为特征（初始聆听或灵感检定可替代）。对伪装和变形的看破检定获得奖励骰。【减益特质】【影响自己】【永久持续】【被动生效】</t>
  </si>
  <si>
    <t>【追踪嗅觉】</t>
  </si>
  <si>
    <t>\n调查员的嗅觉异常灵敏，可以像猎犬一样通过气味追踪目标</t>
  </si>
  <si>
    <t>\n追踪技能获得奖励骰。在密闭或空气不流通的环境中，过度的气味信息可能让你必须进行体质检定（难度标准），否则会感到恶心（属性临时-5持续1小时）。【双面特质】【影响自己】【永久持续】【被动生效】</t>
  </si>
  <si>
    <t>【嗅觉迟钝】</t>
  </si>
  <si>
    <t>\n调查员难以分辨复杂的气味，甚至对恶臭也反应平平</t>
  </si>
  <si>
    <t>\n免疫因恶臭气味导致的恶心状态。但所有依赖嗅觉的侦查或追踪检定自动失败。对抗气味类攻击时获得奖励骰。【双面特质】【影响自己】【永久持续】【被动生效】</t>
  </si>
  <si>
    <t>【社交达人】</t>
  </si>
  <si>
    <t>&amp;社交&amp;</t>
  </si>
  <si>
    <t>\n调查员天生具有亲和力，能让陌生人在短时间内产生信任</t>
  </si>
  <si>
    <t>\n说服和取悦技能获得奖励骰。高谈阔论也更容易引起不必要的注意，潜行检定面临惩罚骰。每场模组一次，可重掷一次失败的社交技能检定。【双面特质】【影响自己】【永久持续】【被动生效】</t>
  </si>
  <si>
    <t>【人憎狗厌】</t>
  </si>
  <si>
    <t>\n不知为何，陌生人和动物总会对调查员产生莫名的厌恶</t>
  </si>
  <si>
    <t>\n所有基于第一印象的社交技能检定面临惩罚骰。驯兽技能检定也面临惩罚骰。但恐吓野生动物时获得奖励骰。每场模组一次，当因厌恶陷入冲突时，可进行意志检定以避免额外理智损失。【减益特质】【影响自己】【永久持续】【被动生效】</t>
  </si>
  <si>
    <t>【天生领袖】</t>
  </si>
  <si>
    <t>\n调查员身上有一种让人愿意追随的气质，能在绝境中凝聚人心</t>
  </si>
  <si>
    <t>\n当在团队中担任领导角色时，可以花费1点幸运，让一名队友重掷一次失败的技能检定。每场模组限一次。激活时，调查员自身下一回合行动顺序延迟。【增益特质】【影响友方单目标】【单个模组】【主动激活，消耗1幸运】</t>
  </si>
  <si>
    <t>【背叛宿命】</t>
  </si>
  <si>
    <t>&amp;命运&amp;</t>
  </si>
  <si>
    <t>\n调查员似乎总是被命运捉弄，身边的人最终往往会离你而去或背叛</t>
  </si>
  <si>
    <t>\n初始信用评级降低10%。在剧情需要时，守秘人可以让一个友好的NPC变得疏远或敌对，并为此补偿你1点灵感。每场模组最多触发一次。【减益特质】【影响自己】【永久持续】【被动生效】</t>
  </si>
  <si>
    <t>【巧手匠心】</t>
  </si>
  <si>
    <t>\n调查员的双手异常协调稳定，非常适合进行精细操作</t>
  </si>
  <si>
    <t>\n艺术与手艺、操作重型机械、锁匠等需要双手精细操作的技能检定获得奖励骰。但手部受到伤害时，伤害值+1。每场模组一次，可重掷一次失败的操作类技能检定。【双面特质】【影响自己】【永久持续】【被动生效】</t>
  </si>
  <si>
    <t>【震颤之手】</t>
  </si>
  <si>
    <t>\n调查员的手指和四肢会不受控制地颤抖</t>
  </si>
  <si>
    <t>\n所有需要精细操作的技能（如射击、艺术与手艺、急救）检定面临惩罚骰。但进行伪装颤抖或神经质行为的表演检定时获得奖励骰。手部受到伤害时，伤害值+1。【减益特质】【影响自己】【永久持续】【被动生效】</t>
  </si>
  <si>
    <t>【灵巧双手】</t>
  </si>
  <si>
    <t>\n调查员的双手天生就适合创作，能更快地完成制作</t>
  </si>
  <si>
    <t>\n进行艺术与手艺制作时，所需时间减少25%。锁匠和急救检定获得奖励骰。但手部受到伤害时，伤害值+1。【双面特质】【影响自己】【永久持续】【被动生效】</t>
  </si>
  <si>
    <t>【左利优势】</t>
  </si>
  <si>
    <t>\n调查员是熟练的左利手，在右利手主导的世界中形成了独特优势</t>
  </si>
  <si>
    <t>\n使用左手进行任何活动都不会受到惩罚。在战斗中，对手在第一次面对你时，其闪避或格挡检定面临惩罚骰。但使用专为右利手设计的工具时，操作检定面临惩罚骰。【双面特质】【影响敌方单目标】【永久持续】【被动生效】</t>
  </si>
  <si>
    <t>【下盘稳固】</t>
  </si>
  <si>
    <t>\n调查员的平衡感极佳，不易被绊倒或推倒</t>
  </si>
  <si>
    <t>\n闪避检定获得奖励骰。对抗冲撞、擒抱等效果时，力量或敏捷检定获得奖励骰。但在狭窄空间（宽度小于1米）移动时，潜行检定面临惩罚骰。【增益特质】【影响自己】【永久持续】【被动生效】</t>
  </si>
  <si>
    <t>【行为怪异】</t>
  </si>
  <si>
    <t>&amp;行为&amp;</t>
  </si>
  <si>
    <t>\n调查员的行为模式与常人迥异，可能擅长用脚完成手的工作</t>
  </si>
  <si>
    <t>\n所有乔装修定面临惩罚骰。进行某些超乎常理的行动时（如逃脱束缚、解谜），灵感检定获得奖励骰。每场模组一次，可重掷一次失败的非常规行动检定。【双面特质】【影响自己】【永久持续】【被动生效】</t>
  </si>
  <si>
    <t>【动物亲和】</t>
  </si>
  <si>
    <t>\n动物们能感受到调查员平和的心境，本能地信任和亲近</t>
  </si>
  <si>
    <t>\n驯兽技能获得奖励骰。野外动物对你发起攻击前，通常会先进行警告。通过动物获得的信息侦查检定获得奖励骰。但神话生物和超自然生物对你更有兴趣。【增益特质】【影响动物目标】【永久持续】【被动生效】</t>
  </si>
  <si>
    <t>【动物畏惧】</t>
  </si>
  <si>
    <t>\n动物们会因调查员身上某种无法言喻的气息而感到不安和敌视</t>
  </si>
  <si>
    <t>\n所有驯兽检定自动失败。动物会主动避开你，或在可能的情况下优先攻击你。但对抗动物攻击时的闪避获得奖励骰。每场模组一次，当被动物围攻时，恐吓检定获得奖励骰。【减益特质】【影响动物目标】【永久持续】【被动生效】</t>
  </si>
  <si>
    <t>【艺术灵魂】</t>
  </si>
  <si>
    <t>&amp;技艺&amp;</t>
  </si>
  <si>
    <t>\n调查员对艺术有着天生的感悟力和创造力</t>
  </si>
  <si>
    <t>\n初始艺术与手艺技能点增加20%。完成一件满意的艺术作品时，可以恢复1D3点理智。每模组限一次。但艺术创作时会完全投入，期间侦查和聆听检定自动失败。【增益特质】【影响自己】【单个模组】【主动完成艺术作品】</t>
  </si>
  <si>
    <t>【艺术绝缘】</t>
  </si>
  <si>
    <t>\n调查员的大脑似乎缺少感受艺术的区域，对艺术一窍不通</t>
  </si>
  <si>
    <t>\n无法进行艺术与手艺检定，也无法通过艺术手段恢复理智。但对艺术类幻觉和魅惑效果抵抗获得奖励骰。每场模组一次，可自动通过一次艺术相关的理智检定。【减益特质】【影响自己】【永久持续】【被动生效】</t>
  </si>
  <si>
    <t>【艺术专精】</t>
  </si>
  <si>
    <t>\n调查员将全部热情投入到了某一项特定的艺术形式中</t>
  </si>
  <si>
    <t>\n选择一项特定的艺术与手艺专业，该技能获得奖励骰。其他所有艺术与手艺专业检定面临惩罚骰。在专精领域创作时，所需时间减少25%。【双面特质】【影响自己】【永久持续】【被动生效】</t>
  </si>
  <si>
    <t>【艺术痴迷】</t>
  </si>
  <si>
    <t>\n调查员的生命与艺术创作紧密相连，离开了它将魂不守舍</t>
  </si>
  <si>
    <t>\n当身处你的艺术工具或灵感源附近时，灵感检定获得一个奖励骰。若连续24小时无法接触艺术创作，所有技能检定承受一个惩罚骰，直到你进行至少1小时的创作。完成重要作品时可恢复1D3点理智。【双面特质】【影响自己】【永久持续】【被动生效】</t>
  </si>
  <si>
    <t>【运动健将】</t>
  </si>
  <si>
    <t>\n调查员天生协调，擅长各种体育运动</t>
  </si>
  <si>
    <t>\n所有运动类技能（如闪避、攀爬、跳跃、潜行、游泳）检定获得一个奖励骰。但进行精细操作或静态技能检定时，面临惩罚骰。【增益特质】【影响自己】【永久持续】【被动生效】</t>
  </si>
  <si>
    <t>【体格异常】</t>
  </si>
  <si>
    <t>\n调查员的体格与常人不同，力量内敛</t>
  </si>
  <si>
    <t>\n你的伤害加成不直接与体格（SIZ）属性挂钩，而是固定为+0。但你的擒抱、冲撞等基于体格的效果检定可获得一个奖励骰。对抗物理击退效果时，体质检定获得奖励骰。【双面特质】【影响自己】【永久持续】【被动生效】</t>
  </si>
  <si>
    <t>【体格压制】</t>
  </si>
  <si>
    <t>\n调查员善于利用自身体格优势碾压对手</t>
  </si>
  <si>
    <t>\n当你的体格（SIZ）高于目标时，在斗殴、擒抱检定中获得一个奖励骰。但对抗敏捷型攻击时，闪避检定面临惩罚骰。【增益特质】【影响自己】【永久持续】【被动生效】</t>
  </si>
  <si>
    <t>【夜视强化】</t>
  </si>
  <si>
    <t>\n调查员的眼睛能更好地适应黑暗环境</t>
  </si>
  <si>
    <t>\n在微光环境下，侦查检定不受惩罚。但在强光或白昼下进行侦查检定时，面临一个惩罚骰。对抗闪光效果时，体质检定获得奖励骰。【双面特质】【影响自己】【永久持续】【被动生效】</t>
  </si>
  <si>
    <t>【夜如白昼】</t>
  </si>
  <si>
    <t>\n调查员拥有如同猫科动物般的卓越夜视能力</t>
  </si>
  <si>
    <t>\n在黑暗环境中，你的侦查和追踪检定获得一个奖励骰。但突然暴露在强光下（如闪光灯）会导致你失明1D4轮，而非通常的1轮。白昼户外环境下，所有基于视觉的检定面临惩罚骰。【双面特质】【影响自己】【永久持续】【被动生效】</t>
  </si>
  <si>
    <t>【严重夜盲】</t>
  </si>
  <si>
    <t>\n调查员在光线不足时视力急剧下降</t>
  </si>
  <si>
    <t>\n在昏暗或黑暗环境中，你的侦查检定自动失败，且所有基于视力的技能检定面临两个惩罚骰。但在强光环境下，侦查检定获得奖励骰。【减益特质】【影响自己】【永久持续】【被动生效】</t>
  </si>
  <si>
    <t>【叛逆天性】</t>
  </si>
  <si>
    <t>\n调查员天性叛逆，极度抗拒被他人支配</t>
  </si>
  <si>
    <t>\n对抗精神控制、催眠、说服（命令性）的意志检定获得一个奖励骰。但你在团队中听从指挥时，相关的协作技能检定面临惩罚骰。每场模组一次，可自动通过一次反抗权威的意志检定。【双面特质】【影响自己】【永久持续】【被动生效】</t>
  </si>
  <si>
    <t>【顺从习惯】</t>
  </si>
  <si>
    <t>\n调查员习惯于服从权威或强势者的指令</t>
  </si>
  <si>
    <t>\n你更容易被说服或命令（相关意志检定面临惩罚骰）。在遵循一个明确的指令时，执行该指令的技能检定可获得一个奖励骰。每场模组一次，当完全服从指令导致负面后果时，可减少1点理智损失。【双面特质】【影响自己】【永久持续】【被动生效】</t>
  </si>
  <si>
    <t>【家族弃子】</t>
  </si>
  <si>
    <t>&amp;背景&amp;</t>
  </si>
  <si>
    <t>\n调查员因某种原因被家族驱逐，孤身一人</t>
  </si>
  <si>
    <t>\n你的初始信用评级降低15%。由于无所依靠，你在绝境中爆发出惊人的运气，每日一次，可以重掷一次幸运检定。对抗家族相关社交压力时，意志检定获得奖励骰。【双面特质】【影响自己】【永久持续】【被动生效】</t>
  </si>
  <si>
    <t>【名门之后】</t>
  </si>
  <si>
    <t>\n调查员出身于名门望族，背景显赫</t>
  </si>
  <si>
    <t>\n你的初始信用评级提高20%。但你的一举一动都代表着家族颜面，任何公开的丑闻或失败都会导致你的信用评级遭受双倍损失。每场模组一次，可借助家族影响力重掷一次社交检定。【双面特质】【影响自己】【永久持续】【被动生效】</t>
  </si>
  <si>
    <t>【领导气场】</t>
  </si>
  <si>
    <t>\n调查员言谈举止间自带一种令人信服的权威感</t>
  </si>
  <si>
    <t>\n在进行公开演讲、指挥或谈判时，说服检定获得一个奖励骰。可以花费1点理智，让5米范围内的友方在下一回合获得一次奖励骰。每场战斗限一次。【增益特质】【影响范围友方】【战斗场景】【主动激活，消耗1理智】</t>
  </si>
  <si>
    <t>【小丑气质】</t>
  </si>
  <si>
    <t>\n调查员总给人一种不靠谱的印象，说的话难以被认真对待</t>
  </si>
  <si>
    <t>\n所有基于严肃交流的说服检定面临一个惩罚骰。但你的胡言乱语有时会被他人无视，对抗读心或测谎的意志检定可获得一个奖励骰。每场模组一次，可故意表现滑稽来降低他人敌意。【双面特质】【影响自己】【永久持续】【被动生效】</t>
  </si>
  <si>
    <t>【斗殴专家】</t>
  </si>
  <si>
    <t>\n调查员是近身格斗的老手，经验丰富</t>
  </si>
  <si>
    <t>\n斗殴技能获得一个奖励骰。你可以在战斗中使用一些非常规的阴招，使对手下一回合闪避检定面临惩罚骰。每场战斗限一次。【增益特质】【影响敌方单目标】【战斗场景】【主动激活，无消耗】</t>
  </si>
  <si>
    <t>【近战疲软】</t>
  </si>
  <si>
    <t>\n调查员的近战攻击总是难以造成有效伤害</t>
  </si>
  <si>
    <t>\n你的所有近战伤害骰（斗殴、冷兵器）结果取最小值（例如1D4恒为1）。此效果在大成功时无效。但因此你更注重防御，闪避检定获得奖励骰。【减益特质】【影响自己】【永久持续】【被动生效】</t>
  </si>
  <si>
    <t>【远程失准】</t>
  </si>
  <si>
    <t>\n调查员的远程攻击总是差之毫厘，难以命中要害</t>
  </si>
  <si>
    <t>\n你的所有远程伤害骰（射击、投掷）结果取最小值。此效果在大成功时无效。但因此你更注重近战，斗殴检定获得奖励骰。【减益特质】【影响自己】【永久持续】【被动生效】</t>
  </si>
  <si>
    <t>【运动缺陷】</t>
  </si>
  <si>
    <t>\n调查员的运动神经存在先天缺陷，极易失误</t>
  </si>
  <si>
    <t>\n进行任何运动类技能（闪避、攀爬、跳跃等）检定时，失败即视为大失败。但静态技能（如图书馆使用、心理学）检定获得奖励骰。【减益特质】【影响自己】【永久持续】【被动生效】</t>
  </si>
  <si>
    <t>【恐高症候】</t>
  </si>
  <si>
    <t>\n调查员对高处、深渊或特定的障碍物心存恐惧</t>
  </si>
  <si>
    <t>\n进行攀爬、跳跃或越过特定障碍的检定面临一个惩罚骰。成功克服一次重大恐惧后（如从高处救人），可恢复1D3点理智。每场模组限一次。【双面特质】【影响自己】【永久持续】【被动生效】</t>
  </si>
  <si>
    <t>【深度专注】</t>
  </si>
  <si>
    <t>\n调查员一旦专注于某件事，就会忽略周围的一切</t>
  </si>
  <si>
    <t>\n你可以花费一轮时间进行准备，使下一个特定技能检定获得一个奖励骰。但在你专注期间，侦查和聆听检定自动失败。每场模组可使用三次。【双面特质】【影响自己】【持续单次检定】【主动激活，消耗一轮时间】</t>
  </si>
  <si>
    <t>【鉴宝大师】</t>
  </si>
  <si>
    <t>\n调查员对稀有物品的市价和来源了如指掌</t>
  </si>
  <si>
    <t>\n估价和艺术与手艺（鉴定）检定获得奖励骰。通过话术使物品在交易时的价值提高20%。但容易被不法分子盯上，潜行检定面临惩罚骰。【增益特质】【影响自己】【永久持续】【被动生效】</t>
  </si>
  <si>
    <t>【灵物感应】</t>
  </si>
  <si>
    <t>\n调查员拥有鉴定神秘物品的奇特天赋</t>
  </si>
  <si>
    <t>\n你可以尝试感知物品上附着的微弱超自然气息。在进行鉴定或辨识物品神秘学属性的检定时，神秘学或灵感检定获得一个奖励骰。但接触被诅咒物品时，理智损失增加1点。【双面特质】【影响自己】【永久持续】【被动生效】</t>
  </si>
  <si>
    <t>【捡漏专家】</t>
  </si>
  <si>
    <t>\n调查员总能在不起眼的地方发现宝贝</t>
  </si>
  <si>
    <t>\n当你在杂货摊、二手市场等地进行侦查或估价检定时，若幸运检定成功，你可以用极低的价格发现一件具有未知效果的真品。每模组限一次。但获得的物品可能带有未预见的风险。【增益特质】【影响自己】【单个模组】【触发条件：幸运检定成功】</t>
  </si>
  <si>
    <t>【血脉诅咒】</t>
  </si>
  <si>
    <t>\n调查员的家族血脉中流淌着古老的巫术诅咒</t>
  </si>
  <si>
    <t>\n你的体质检定面临一个惩罚骰。作为与诅咒共生的代价，你的神秘学技能获得一个奖励骰。每场模组一次，当生命值低于一半时，可自动通过一次超自然检定。【双面特质】【影响自己】【永久持续】【被动生效】</t>
  </si>
  <si>
    <t>【异血传承】</t>
  </si>
  <si>
    <t>\n调查员的祖先中混入了非人的存在</t>
  </si>
  <si>
    <t>\n你的体质检定获得一个奖励骰。但由于血脉中的混沌低语，你的意志（POW）检定面临一个惩罚骰。对神话生物的灵感检定获得奖励骰。【双面特质】【影响自己】【永久持续】【被动生效】</t>
  </si>
  <si>
    <t>【绝症缠身】</t>
  </si>
  <si>
    <t>\n调查员身患不治之症，生命已如风中残烛</t>
  </si>
  <si>
    <t>\n每日需进行一次体质检定，失败则失去1点生命值。此生命值损失无法自然恢复，只能通过医疗手段暂缓。但因此对死亡有了独特感悟，医学和急救技能获得奖励骰。【减益特质】【影响自己】【永久持续】【每日触发】</t>
  </si>
  <si>
    <t>【虚弱丧钟】</t>
  </si>
  <si>
    <t>\n调查员的身体正不可逆转地走向衰亡</t>
  </si>
  <si>
    <t>\n每日需进行一次体质检定，失败则你的生命值上限永久减少1点。当生命值上限降至0时，调查员死亡。但每次生命值上限减少时，灵感检定获得奖励骰，持续24小时。【减益特质】【影响自己】【永久持续】【每日触发】</t>
  </si>
  <si>
    <t>【面容骇人】</t>
  </si>
  <si>
    <t>\n调查员因特殊体征而外貌丑陋，令人不安</t>
  </si>
  <si>
    <t>\n所有交涉类技能（说服、取悦）检定面临一个惩罚骰。但恐吓检定获得一个奖励骰。对抗恐惧效果的意志检定获得奖励骰。【双面特质】【影响自己】【永久持续】【被动生效】</t>
  </si>
  <si>
    <t>【影之追猎】</t>
  </si>
  <si>
    <t>\n调查员正被来自其他时空的自己追杀</t>
  </si>
  <si>
    <t>\n一个能力、装备与你完全相同的影子正在追杀你。成功躲避或击败他后，你可以获得他的一件物品或一项临时技能加成（+20%持续24小时），但这会引来更强大的追杀。每场模组触发一次。【双面特质】【影响自己】【单个模组】【被动生效】</t>
  </si>
  <si>
    <t>【仇敌遍地】</t>
  </si>
  <si>
    <t>\n调查员天生就容易招惹敌人</t>
  </si>
  <si>
    <t>\n你在社交互动中一旦说服或信用评级检定失败，结果通常会直接变为敌对。你的名字似乎总在仇敌名单上。但因此锻炼出警觉，潜行和聆听检定获得奖励骰。【减益特质】【影响自己】【永久持续】【被动生效】</t>
  </si>
  <si>
    <t>【武器保养】</t>
  </si>
  <si>
    <t>\n调查员深知如何维护和保养自己的武器</t>
  </si>
  <si>
    <t>\n你使用的武器不会因故障或损坏等普通原因而失效（大失败导致的毁灭性损坏除外）。武器保养时间减少50%。但过度依赖武器，徒手战斗检定面临惩罚骰。【增益特质】【影响自己】【永久持续】【被动生效】</t>
  </si>
  <si>
    <t>【诸武精通】</t>
  </si>
  <si>
    <t>\n调查员是天生的武器大师，能熟练使用各种兵器</t>
  </si>
  <si>
    <t>\n使用任何你未受训的武器时，不再承受未受训惩罚（默认技能基础值为相应的属性值）。但因此博而不精，所有武器技能的成长检定面临惩罚骰。【双面特质】【影响自己】【永久持续】【被动生效】</t>
  </si>
  <si>
    <t>【射击精通】</t>
  </si>
  <si>
    <t>\n调查员对枪械的运用出神入化</t>
  </si>
  <si>
    <t>\n使用枪械时，其有效射程增加50%。远程攻击（射击）检定获得一个奖励骰。但近战战斗时，斗殴检定面临惩罚骰。每场战斗一次，可重掷一次失败的射击检定。【增益特质】【影响自己】【战斗场景】【被动生效】</t>
  </si>
  <si>
    <t>【武器破坏】</t>
  </si>
  <si>
    <t>\n调查员的攻击方式异常猛烈，极易损毁兵器</t>
  </si>
  <si>
    <t>\n当你进行攻击检定时，若投出96-100（大失败），你使用的武器将会损坏。若你的攻击检定为困难成功，则可以尝试摧毁对手的武器（对手需进行体质检定，失败则武器损坏）。每场战斗限一次武器破坏效果。【双面特质】【影响自己和敌方】【战斗场景】【被动生效】</t>
  </si>
  <si>
    <t>【描边大师】</t>
  </si>
  <si>
    <t>\n调查员在使用远程武器时准头极差</t>
  </si>
  <si>
    <t>\n所有远程攻击（射击）检定面临一个惩罚骰。但因此你更注重近战，斗殴检定获得奖励骰。每场战斗一次，可故意射偏来为友方创造机会。【减益特质】【影响自己】【永久持续】【被动生效】</t>
  </si>
  <si>
    <t>【装填笨拙】</t>
  </si>
  <si>
    <t>\n调查员在装填弹药时总是手忙脚乱</t>
  </si>
  <si>
    <t>\n所有需要装填弹药的武器，其装填时间增加一轮（至少为一轮）。但经过充分准备后，第一次射击检定获得奖励骰。每场战斗限一次。【减益特质】【影响自己】【永久持续】【被动生效】</t>
  </si>
  <si>
    <t>【武侠情怀】</t>
  </si>
  <si>
    <t>\n调查员痴迷于古典侠客文化，崇尚冷兵器</t>
  </si>
  <si>
    <t>\n你使用冷兵器或进行徒手斗殴时，相关技能检定获得一个奖励骰。但你拒绝使用现代枪械，使用枪械时技能检定面临惩罚骰。每场模组一次，可在使用冷兵器时重掷一次失败的检定。【双面特质】【影响自己】【永久持续】【被动生效】</t>
  </si>
  <si>
    <t>【蓄力重击】</t>
  </si>
  <si>
    <t>\n调查员的徒手攻击蕴含着惊人的穿透力</t>
  </si>
  <si>
    <t>\n你的徒手斗殴攻击（非武器）造成的伤害翻倍，但使用后本回合无法进行闪避。每场战斗只能使用一次。激活时需消耗一轮进行蓄力。【增益特质】【影响自己】【单次战斗】【主动激活，消耗一轮时间】</t>
  </si>
  <si>
    <t>【传家至宝】</t>
  </si>
  <si>
    <t>\n调查员身上携带着一件价值连城的传家宝</t>
  </si>
  <si>
    <t>\n你拥有一件高价值（信用评级+30%）的宝物。该信息一旦泄露，会不断引来贪婪的窃贼与亡命之徒。每场模组一次，可展示宝物获得社交加成。【双面特质】【影响自己】【永久持续】【被动生效】</t>
  </si>
  <si>
    <t>【赃物传家】</t>
  </si>
  <si>
    <t>\n调查员持有的传家宝其实是来路不正的赃物</t>
  </si>
  <si>
    <t>\n你拥有一件高价值宝物，但它正被高价悬赏通缉。你在黑市中的信用评级+15%，但在正常社会的信用评级面临惩罚骰。每场模组可能遭遇一次追捕。【双面特质】【影响自己】【永久持续】【被动生效】</t>
  </si>
  <si>
    <t>【脚步轻盈】</t>
  </si>
  <si>
    <t>\n调查员的步伐轻巧，行动迅捷无声</t>
  </si>
  <si>
    <t>\n潜行和追踪检定获得一个奖励骰。你的基础移动速度增加1米。但负重能力降低25%，携带重物时所有敏捷检定面临惩罚骰。【增益特质】【影响自己】【永久持续】【被动生效】</t>
  </si>
  <si>
    <t>【脚步沉重】</t>
  </si>
  <si>
    <t>\n调查员步伐沉重，难以隐藏行踪</t>
  </si>
  <si>
    <t>\n潜行和追踪检定面临一个惩罚骰。你留下的足迹非常清晰，追踪你的检定可获得奖励骰。但下盘稳固，对抗击退效果时力量检定获得奖励骰。【减益特质】【影响自己】【永久持续】【被动生效】</t>
  </si>
  <si>
    <t>【灵巧躲闪】</t>
  </si>
  <si>
    <t>\n调查员身形灵活，善于闪避攻击</t>
  </si>
  <si>
    <t>\n闪避检定获得一个奖励骰。但过度专注于闪避，反击检定面临惩罚骰。每场战斗一次，可自动闪避一次普通攻击。【增益特质】【影响自己】【永久持续】【被动生效】</t>
  </si>
  <si>
    <t>【呆若木鸡】</t>
  </si>
  <si>
    <t>\n调查员在遭受攻击时容易僵直，难以闪避</t>
  </si>
  <si>
    <t>\n闪避检定面临一个惩罚骰。你无法在战斗中进行反击。但因此更注重防御，受到的第一次攻击伤害减半（每场战斗一次）。【减益特质】【影响自己】【永久持续】【被动生效】</t>
  </si>
  <si>
    <t>【幸运赌徒】</t>
  </si>
  <si>
    <t>\n调查员信奉运气，总将决定权交给天命</t>
  </si>
  <si>
    <t>\n每日一次，你可以进行一次幸运检定，来代替任何一项技能检定。若幸运检定失败，则视为该技能检定大失败。使用后24小时内幸运检定面临惩罚骰。【双面特质】【影响自己】【每日一次】【主动激活，无消耗】</t>
  </si>
  <si>
    <t>【赌性难改】</t>
  </si>
  <si>
    <t>\n调查员嗜赌成性，倾向于用打赌解决争端</t>
  </si>
  <si>
    <t>\n在任何非必要情况下，你都可以提议进行一次赌局。若对方同意，你在后续相关的对抗检定中获得一个奖励骰。若拒绝，你可能会因此变得焦躁（下一技能检定面临惩罚骰）。每场模组限三次。【双面特质】【影响自己】【永久持续】【主动激活】</t>
  </si>
  <si>
    <t>【厨艺精湛】</t>
  </si>
  <si>
    <t>\n调查员是一位烹饪大师</t>
  </si>
  <si>
    <t>\n你的烹饪（艺术与手艺：厨艺）检定获得一个奖励骰。你制作的美食可以让食用者在接下来12小时内，首次理智检定时获得一个奖励骰。每日限制作一次有效美食。【增益特质】【影响友方】【每日一次】【主动制作】</t>
  </si>
  <si>
    <t>【地狱厨艺】</t>
  </si>
  <si>
    <t>\n调查员制作的食物在外观和味道上都堪称灾难</t>
  </si>
  <si>
    <t>\n你制作的食物，食用者必须进行一次体质检定，失败则陷入恶心或食物中毒状态。但某些非人存在可能格外喜欢你的料理，与这类存在互动时社交检定获得奖励骰。【减益特质】【影响食用者】【永久持续】【被动生效】</t>
  </si>
  <si>
    <t>【幸运厨艺】</t>
  </si>
  <si>
    <t>\n调查员烹饪的食物效果完全随机</t>
  </si>
  <si>
    <t>\n你制作的每份食物都是一场豪赌。食用前进行一次幸运检定：成功则获得1D4点临时生命或理智；失败则失去1点理智或生命。每模组限三次。烹饪检定面临惩罚骰。【双面特质】【影响食用者】【单个模组】【主动制作】</t>
  </si>
  <si>
    <t>【神之味觉】</t>
  </si>
  <si>
    <t>\n调查员拥有超乎常人的味觉</t>
  </si>
  <si>
    <t>\n你可以通过品尝，精准分辨食物的成分、来源甚至制作时间。对抗通过食物进行的投毒时，你的侦查（或体质）检定获得一个奖励骰。但对劣质食物会产生强烈排斥。【增益特质】【影响自己】【永久持续】【被动生效】</t>
  </si>
  <si>
    <t>【美食家舌】</t>
  </si>
  <si>
    <t>\n调查员对食物有着极高的要求</t>
  </si>
  <si>
    <t>\n每天若未能享用到一顿符合你标准的精致美食，你在当晚的所有技能检定承受一个惩罚骰。但品尝到极品美食时，可恢复1点理智。每模组限一次。【减益特质】【影响自己】【每日持续】【被动生效】</t>
  </si>
  <si>
    <t>【钢铁肠胃】</t>
  </si>
  <si>
    <t>\n调查员拥有一个强大的胃，能消化任何称之为食物的东西</t>
  </si>
  <si>
    <t>\n你免疫因食物变质、口味怪异或轻微毒性导致的恶心与中毒效果。你可以从常人无法下咽的东西中汲取营养。但可能因此错过食物中的警示信号。【增益特质】【影响自己】【永久持续】【被动生效】</t>
  </si>
  <si>
    <t>【察言观色】</t>
  </si>
  <si>
    <t>\n调查员能通过观察微表情和小动作来揣摩对方想法</t>
  </si>
  <si>
    <t>\n你可以使用侦查技能来代替心理学进行检定，但需要更长时间的观察（至少2轮），且无法感知复杂的情感。每日限三次。【增益特质】【影响自己】【永久持续】【主动使用】</t>
  </si>
  <si>
    <t>【洞悉人性】</t>
  </si>
  <si>
    <t>\n调查员对人性有深刻的洞察，能看穿表面的伪装</t>
  </si>
  <si>
    <t>\n心理学检定获得一个奖励骰。但因此你也更了解人性的阴暗面，在进行与人性黑暗面相关的理智检定时，理智损失增加1点（至少为1）。每场模组一次，可自动通过一次心理学检定。【双面特质】【影响自己】【永久持续】【被动生效】</t>
  </si>
  <si>
    <t>【面无表情】</t>
  </si>
  <si>
    <t>\n调查员面部肌肉僵硬，无法做出丰富的表情</t>
  </si>
  <si>
    <t>\n他人对你使用的心理学检定面临一个惩罚骰。但你在进行取悦和需要通过表情传达情绪的表演时，检定也面临惩罚骰。对抗精神控制的意志检定获得奖励骰。【双面特质】【影响自己】【永久持续】【被动生效】</t>
  </si>
  <si>
    <t>【社交混乱】</t>
  </si>
  <si>
    <t>\n调查员的社交信号是混乱和颠倒的</t>
  </si>
  <si>
    <t>\n当你尝试取悦某人时，实际效果为恐吓；当你尝试恐吓某人时，实际效果为取悦。你需要通过困难智力检定来正常使用说服。但某些非理性存在可能对此免疫。【减益特质】【影响自己】【永久持续】【被动生效】</t>
  </si>
  <si>
    <t>【反应迅捷】</t>
  </si>
  <si>
    <t>\n调查员的神经反射速度异于常人，能迅速应对突发状况</t>
  </si>
  <si>
    <t>\n闪避和反击检定获得一个奖励骰。战斗中获得先攻权（主动判定+10）。但持续紧张会导致疲劳，长时间战斗后所有检定面临惩罚骰。【增益特质】【影响自己】【永久持续】【被动生效】</t>
  </si>
  <si>
    <t>【动物沟通】</t>
  </si>
  <si>
    <t>\n调查员天生就懂得如何与动物沟通并下达指令</t>
  </si>
  <si>
    <t>\n驯兽技能获得一个奖励骰。你可以对动物下达比跟随、攻击更复杂的指令。每日一次，可与野生动物建立临时心灵链接。【增益特质】【影响动物目标】【永久持续】【主动使用】</t>
  </si>
  <si>
    <t>【驾驶精通】</t>
  </si>
  <si>
    <t>\n调查员对于各种载具的操控得心应手</t>
  </si>
  <si>
    <t>\n所有驾驶类技能（汽车驾驶、飞行器、船）检定获得一个奖励骰。在驾驶载具时，可进行一些特技动作。但过度自信可能导致风险。【增益特质】【影响自己】【永久持续】【被动生效】</t>
  </si>
  <si>
    <t>【危险驾驶】</t>
  </si>
  <si>
    <t>\n调查员的驾驶风格极其狂野且不稳定</t>
  </si>
  <si>
    <t>\n当驾驶检定失败时，结果直接视为大失败，通常会导致载具严重损毁并造成1D6点伤害（车内所有成员）。但紧急情况下，驾驶检定可获得奖励骰。【减益特质】【影响车内所有成员】【永久持续】【被动生效】</t>
  </si>
  <si>
    <t>【金钱至上】</t>
  </si>
  <si>
    <t>\n调查员深信金钱是解决一切问题的万能钥匙</t>
  </si>
  <si>
    <t>\n当试图通过贿赂、利诱来解决问题时，说服或信用评级检定获得一个奖励骰。你很难相信那些不涉及利益的关系，相关心理学检定面临惩罚骰。【双面特质】【影响自己】【永久持续】【被动生效】</t>
  </si>
  <si>
    <t>【清廉正直】</t>
  </si>
  <si>
    <t>\n调查员有着极高的道德准则，蔑视用金钱开道的行为</t>
  </si>
  <si>
    <t>\n对抗贿赂、利诱的意志检定获得一个奖励骰。但你因此很难通过潜规则办事，在某些社交场合会显得格格不入。每场模组一次，可因坚持原则恢复1D3点理智。【双面特质】【影响自己】【永久持续】【被动生效】</t>
  </si>
  <si>
    <t>【财富开路】</t>
  </si>
  <si>
    <t>\n调查员擅长将财富转化为即时的行动力</t>
  </si>
  <si>
    <t>\n在一个场景中，你可以消耗1D10点信用评级，来使你的一次技能检定获得+20%的临时加值。每场模组限一次。使用后24小时内信用评级检定面临惩罚骰。【增益特质】【影响自己】【单个模组】【主动激活，消耗信用评级】</t>
  </si>
  <si>
    <t>【贪婪本性】</t>
  </si>
  <si>
    <t>\n调查员的欲望深不见底，总是想要更多</t>
  </si>
  <si>
    <t>\n在任何可以获得额外奖励（金钱、宝物、信息）的场合，你需要进行一次困难意志检定，失败则必须冒险去获取它，即使明知有危险。但成功获取时，可恢复1点理智。【减益特质】【影响自己】【永久持续】【被动生效】</t>
  </si>
  <si>
    <t>【悲情过往】</t>
  </si>
  <si>
    <t>\n调查员曾失去至亲或遭遇重大人生变故，令人同情</t>
  </si>
  <si>
    <t>\n在与善良或富有同情心的NPC交流时，说服检定获得一个奖励骰。但每次模组中，当遭遇与过去悲剧相似的情境时，必须进行理智检定，失败则失去1D3点理智。【双面特质】【影响自己】【永久持续】【被动生效】</t>
  </si>
  <si>
    <t>【寻亲宿命】</t>
  </si>
  <si>
    <t>\n调查员有家庭成员神秘失踪，这驱使着你不断追寻真相</t>
  </si>
  <si>
    <t>\n你的灵感检定在寻找与家人相关的线索时获得一个奖励骰。每场模组一次，可自动通过一次与寻亲相关的检定。但你的行动容易被利用，相关社交检定面临惩罚骰。【双面特质】【影响自己】【永久持续】【被动生效】</t>
  </si>
  <si>
    <t>【灭门遗孤】</t>
  </si>
  <si>
    <t>\n调查员是某场可怕惨案的唯一幸存者</t>
  </si>
  <si>
    <t>\n你对暴力与死亡的场景的理智检定获得一个奖励骰（首次目睹类似场景时理智损失减半）。那场惨案的元凶或相关者，可能就在你本次的冒险中。每场模组一次，可在对抗凶手时获得伤害加成。【双面特质】【影响自己】【永久持续】【被动生效】</t>
  </si>
  <si>
    <t>【身世成谜】</t>
  </si>
  <si>
    <t>\n调查员是在福利院长大的孤儿，身世成谜</t>
  </si>
  <si>
    <t>\n守秘人会为你提供一个关于你出身的神秘线索。你的初始幸运增加5点，但初始信用评级降低10%。每场模组一次，可因身世秘密获得灵感奖励骰。【双面特质】【影响自己】【永久持续】【被动生效】</t>
  </si>
  <si>
    <t>【存在稀薄】</t>
  </si>
  <si>
    <t>\n调查员的存在感异常稀薄，麻烦总会绕着你走</t>
  </si>
  <si>
    <t>\n在混战或混乱中，你永远不会被优先选择为攻击目标。但你在需要引起他人注意时，说服检定面临惩罚骰。潜行检定获得奖励骰。【双面特质】【影响自己】【永久持续】【被动生效】</t>
  </si>
  <si>
    <t>【厄运标记】</t>
  </si>
  <si>
    <t>\n调查员仿佛被厄运标记，总是最先承受灾难</t>
  </si>
  <si>
    <t>\n在任何危险情境下，你总是被优先选定为目标或牺牲品。作为补偿，你的初始生命值增加5点。每场模组一次，当因厄运陷入危机时，可重掷一次幸运检定。【双面特质】【影响自己】【永久持续】【被动生效】</t>
  </si>
  <si>
    <t>【绝境逢生】</t>
  </si>
  <si>
    <t>\n调查员总能在绝境中看到一线生机</t>
  </si>
  <si>
    <t>\n当你因伤害而生命值降至0时，你可以立即进行一次幸运检定。若成功，则生命值稳定在1点。每场模组限一次。使用后24小时内所有检定面临惩罚骰。【增益特质】【影响自己】【单个模组】【触发条件：生命值降至0】</t>
  </si>
  <si>
    <t>【健壮体魄】</t>
  </si>
  <si>
    <t>\n调查员拥有着强健的体魄，不易被病魔击倒</t>
  </si>
  <si>
    <t>\n对抗疾病与感染的体质检定获得一个奖励骰。疾病与中毒状态的持续时间减半。但新陈代谢过快，每日需额外进食一次。【增益特质】【影响自己】【永久持续】【被动生效】</t>
  </si>
  <si>
    <t>【英雄体魄】</t>
  </si>
  <si>
    <t>\n调查员的身躯如同神话中的英雄般强健</t>
  </si>
  <si>
    <t>\n你的力量与体质各增加5点（不超过属性上限）。你免疫自然疾病和普通毒素。但食量是常人的两倍，长期饥饿会导致属性临时下降。【增益特质】【影响自己】【永久持续】【被动生效】</t>
  </si>
  <si>
    <t>【乐观天性】</t>
  </si>
  <si>
    <t>\n调查员总能从消极中找到积极的一面，快速振作</t>
  </si>
  <si>
    <t>\n临时疯狂与不定性疯狂的持续时间减半。每日一次，可自动通过一次理智检定（仍需记录损失）。但在严肃或悲伤的场合可能引起他人反感，社交检定面临惩罚骰。【双面特质】【影响自己】【永久持续】【被动生效】</t>
  </si>
  <si>
    <t>【享乐天性】</t>
  </si>
  <si>
    <t>\n调查员通过奢侈的享受来麻痹神经，维持理智</t>
  </si>
  <si>
    <t>\n你可以通过挥霍来恢复理智。消耗1D10点信用评级，恢复等量的理智值。每场模组限一次。使用后24小时内，所有与节俭相关的检定面临惩罚骰。【增益特质】【影响自己】【单个模组】【主动激活，消耗信用评级】</t>
  </si>
  <si>
    <t>【悲观天性】</t>
  </si>
  <si>
    <t>\n调查员看待世界的眼光总是灰暗的，难以摆脱阴影</t>
  </si>
  <si>
    <t>\n你的临时疯狂与不定性疯狂的持续时间翻倍。在面临绝境时，你的意志检定可获得一个奖励骰。每场模组一次，当预测的坏事确实发生时，可恢复1点理智。【双面特质】【影响自己】【永久持续】【被动生效】</t>
  </si>
  <si>
    <t>【骑术精通】</t>
  </si>
  <si>
    <t>\n调查员是天生的骑手，与坐骑心意相通</t>
  </si>
  <si>
    <t>\n骑术检定获得一个奖励骰。你可以驱使坐骑做出一些高难度动作。与坐骑建立默契后，移动速度增加25%。【增益特质】【影响自己】【永久持续】【被动生效】</t>
  </si>
  <si>
    <t>【狂野驾驭】</t>
  </si>
  <si>
    <t>\n调查员的载具操控充满了不可预测性</t>
  </si>
  <si>
    <t>\n当你进行驾驶或骑术检定时，若投出96-100，视为大失败；若投出1-5，则视为大成功。每日一次，可重掷一次驾驶或骑术检定。【双面特质】【影响自己】【永久持续】【被动生效】</t>
  </si>
  <si>
    <t>【暴躁易怒】</t>
  </si>
  <si>
    <t>\n调查员脾气火爆，一点就着，难以控制情绪</t>
  </si>
  <si>
    <t>\n在遭受挑衅或侮辱后，你可以立即对挑衅者发动一次反击，且此次反击检定获得一个奖励骰。但因此你很难进行冷静的谈判，相关社交检定面临惩罚骰。每场模组限三次。【双面特质】【影响自己】【永久持续】【触发条件：遭受挑衅】</t>
  </si>
  <si>
    <t>【绝境冷静】</t>
  </si>
  <si>
    <t>\n调查员越是身处险境，头脑就越是清晰</t>
  </si>
  <si>
    <t>\n当你陷入孤军奋战或绝境（如生命值低于一半）时，所有技能检定获得一个奖励骰。但平时进行常规行动时，灵感检定面临惩罚骰。【增益特质】【影响自己】【永久持续】【触发条件：生命值低于一半或孤军奋战】</t>
  </si>
  <si>
    <t>【愈战愈勇】</t>
  </si>
  <si>
    <t>\n调查员在伤痛与疯狂中能爆发出更强的战斗力</t>
  </si>
  <si>
    <t>\n你每损失5点生命值或理智值，你的所有攻击造成的伤害便永久+1。此加值在生命值或理智恢复后依然保留，直至战斗结束。但战斗结束后会陷入虚弱状态，所有属性临时-5。【增益特质】【影响自己】【单次战斗】【被动生效】</t>
  </si>
  <si>
    <t>【思维跳跃】</t>
  </si>
  <si>
    <t>\n调查员的思维天马行空，常有惊人之举</t>
  </si>
  <si>
    <t>\n灵感检定和用于发明创造的智力检定获得一个奖励骰。每场模组一次，可提出一个非常规解决方案并获得临时加成。但你提出的方案往往听起来匪夷所思，团队协作检定面临惩罚骰。【双面特质】【影响自己】【永久持续】【被动生效】</t>
  </si>
  <si>
    <t>【机械亲和】</t>
  </si>
  <si>
    <t>\n调查员对非武器类机械装置有着天然的亲和力</t>
  </si>
  <si>
    <t>\n操作、维修非武器类机械装置（如汽车、发电机）时，技能检定难度降低一级（如困难变为常规）。但对待精密电子设备时，相关检定面临惩罚骰。【增益特质】【影响自己】【永久持续】【被动生效】</t>
  </si>
  <si>
    <t>【机械天才】</t>
  </si>
  <si>
    <t>\n调查员是个不折不扣的机械天才</t>
  </si>
  <si>
    <t>\n机械维修和操作复杂机械的检定获得一个奖励骰。每日一次，可自动通过一次机械相关检定。但过度依赖机械解决方案，面对超自然现象时灵感检定面临惩罚骰。【增益特质】【影响自己】【永久持续】【被动生效】</t>
  </si>
  <si>
    <t>【机械过载】</t>
  </si>
  <si>
    <t>\n调查员的维修方式非常激进</t>
  </si>
  <si>
    <t>\n当机械维修检定失败时，该机械装置会立即发生爆炸，对周围所有生物造成1D6点伤害。但成功时维修效果翻倍，设备性能临时提升。每场模组限三次过载尝试。【减益特质】【影响范围生物】【永久持续】【触发条件：维修失败】</t>
  </si>
  <si>
    <t>【电气过载】</t>
  </si>
  <si>
    <t>\n调查员维修电子设备时总伴随着电火花</t>
  </si>
  <si>
    <t>\n当电气维修检定失败时，会造成严重的短路，可能引发火灾或触电（1D3点伤害），并永久损坏该设备。但成功时设备获得临时强化，效果提升50%。【减益特质】【影响自己和设备】【永久持续】【触发条件：维修失败】</t>
  </si>
  <si>
    <t>【应急抢修】</t>
  </si>
  <si>
    <t>\n调查员掌握着一种快速但极不稳定的应急维修技术</t>
  </si>
  <si>
    <t>\n你可以不进行检定，花费一轮时间让一个损坏的机械或电子设备临时恢复功能，持续1D3轮。之后该设备会彻底损坏，无法再被维修。每场模组限一次。【双面特质】【影响设备】【单次使用】【主动激活，消耗一轮时间】</t>
  </si>
  <si>
    <t>【遗传疯狂】</t>
  </si>
  <si>
    <t>\n调查员家族中有着精神病史，你亦不能幸免</t>
  </si>
  <si>
    <t>\n你无需进行初始理智检定。守秘人会为你指定一种固有的疯狂症状，它无法被治愈，会在压力下不定期发作。但对同类疯狂症状的抵抗获得奖励骰。【减益特质】【影响自己】【永久持续】【被动生效】</t>
  </si>
  <si>
    <t>【顽固疯狂】</t>
  </si>
  <si>
    <t>\n调查员的疯狂症状总是格外持久</t>
  </si>
  <si>
    <t>\n你的临时疯狂与不定性疯狂的持续时间变为三倍。但在疯狂状态下，所有意志检定获得奖励骰。每场模组一次，可主动触发疯狂状态获得临时加值。【减益特质】【影响自己】【永久持续】【被动生效】</t>
  </si>
  <si>
    <t>【狂人学识】</t>
  </si>
  <si>
    <t>\n在理智的边界，调查员能窥见非常识的知识</t>
  </si>
  <si>
    <t>\n当你陷入临时疯狂时，你的克苏鲁神话技能会临时增加10%。疯狂状态结束后，该加值消失，并需正常进行理智检定。每场模组限触发一次。【双面特质】【影响自己】【临时疯狂期间】【被动生效】</t>
  </si>
  <si>
    <t>【狂乱爆发】</t>
  </si>
  <si>
    <t>\n调查员在疯狂中会释放出无差别的破坏欲</t>
  </si>
  <si>
    <t>\n当你陷入临时疯狂时，你造成的所有伤害翻倍。但在此期间，你无法区分敌我，会攻击距离你最近的生物。疯狂结束后，需进行意志检定以避免陷入更深疯狂。【双面特质】【影响自己和周围生物】【临时疯狂期间】【被动生效】</t>
  </si>
  <si>
    <t>【大地感知】</t>
  </si>
  <si>
    <t>\n调查员能通过脚感知大地，获取信息</t>
  </si>
  <si>
    <t>\n将手或脚接触地面后，可以通过一次灵感或地质学检定，来感知该区域大致的结构、近期是否有人经过等模糊信息。每日限三次使用。在人工地面上效果减半。【增益特质】【影响自己】【永久持续】【主动使用】</t>
  </si>
  <si>
    <t>【自然之子】</t>
  </si>
  <si>
    <t>&amp;环境&amp;</t>
  </si>
  <si>
    <t>\n调查员在自然环境中如鱼得水</t>
  </si>
  <si>
    <t>\n在荒野、山地、丛林等非城市环境下，你的潜行、追踪、生存检定获得一个奖励骰。但在城市环境中，所有社交和导航检定面临惩罚骰。【双面特质】【影响自己】【永久持续】【被动生效】</t>
  </si>
  <si>
    <t>【都市之子】</t>
  </si>
  <si>
    <t>\n调查员是钢筋水泥丛林中的原住民</t>
  </si>
  <si>
    <t>\n在城镇、城市环境中，你的导航、图书馆使用、说服（与市民）检定获得一个奖励骰。但在自然环境中，所有生存和追踪检定面临惩罚骰。【双面特质】【影响自己】【永久持续】【被动生效】</t>
  </si>
  <si>
    <t>【大地厌弃】</t>
  </si>
  <si>
    <t>\n调查员被大地所厌恶</t>
  </si>
  <si>
    <t>\n当你双脚站立于自然地面（泥土、沙石）时，你进行的所有技能检定都无法获得奖励骰，已有的奖励骰也会被无效化。但在人造地面上，所有检定获得奖励骰。【减益特质】【影响自己】【永久持续】【被动生效】</t>
  </si>
  <si>
    <t>【天空厌弃】</t>
  </si>
  <si>
    <t>\n调查员被天空所抛弃</t>
  </si>
  <si>
    <t>\n当你双脚离开地面（如位于高处、乘坐飞行器）时，你进行的所有技能检定都面临一个惩罚骰。但在地面行动时，移动速度增加10%。【减益特质】【影响自己】【永久持续】【被动生效】</t>
  </si>
  <si>
    <t>【坚韧不拔】</t>
  </si>
  <si>
    <t>\n调查员的身心都坚韧无比</t>
  </si>
  <si>
    <t>\n体质与意志检定获得一个奖励骰。每日一次，可自动通过一次体质或意志检定。但过度坚韧可能导致麻木，情感相关的检定面临惩罚骰。【增益特质】【影响自己】【永久持续】【被动生效】</t>
  </si>
  <si>
    <t>【钢铁意志】</t>
  </si>
  <si>
    <t>\n调查员的意志坚不可摧，能够直面恐惧</t>
  </si>
  <si>
    <t>\n你不会因理智损失而陷入临时疯狂。但累积的理智损失依然会触发不定性疯狂，且触发时症状更为严重。每场模组一次，可完全抵抗一次精神控制效果。【双面特质】【影响自己】【永久持续】【被动生效】</t>
  </si>
  <si>
    <t>【财富自卑】</t>
  </si>
  <si>
    <t>\n调查员在财富面前会感到自卑与怯懦</t>
  </si>
  <si>
    <t>\n当你的信用评级低于对方时，你对其进行的所有对抗性检定都面临一个惩罚骰。但在与同等或更低信用评级者互动时，社交检定获得奖励骰。【双面特质】【影响自己】【永久持续】【被动生效】</t>
  </si>
  <si>
    <t>【力量畏惧】</t>
  </si>
  <si>
    <t>\n调查员在体魄强健者面前会感到畏惧</t>
  </si>
  <si>
    <t>\n当你的体格（SIZ）或力量（STR）低于对方时，你对其进行的所有对抗性检定都面临一个惩罚骰。但在与体格力量相当或更低者互动时，社交检定获得奖励骰。【双面特质】【影响自己】【永久持续】【被动生效】</t>
  </si>
  <si>
    <t>【超凡意志】</t>
  </si>
  <si>
    <t>\n调查员的意志超越了凡人的界限</t>
  </si>
  <si>
    <t>\n你不会因理智损失而陷入任何形式的疯狂（临时或不定性）。但你依然会累积理智损失，当理智降至0时，调查员将获得一种永久的、角色扮演层面的超然或扭曲，并由守秘人接管。每场模组一次，可完全抵抗一次超自然恐惧。【双面特质】【影响自己】【永久持续】【被动生效】</t>
  </si>
  <si>
    <t>【理智脆弱】</t>
  </si>
  <si>
    <t>\n调查员的精神防线异常脆弱</t>
  </si>
  <si>
    <t>\n你因任何原因损失的理智值都会翻倍（至少为1）。但对疯狂状态的抵抗力增强，疯狂持续时间减半。【减益特质】【影响自己】【永久持续】【被动生效】</t>
  </si>
  <si>
    <t>【意志薄弱】</t>
  </si>
  <si>
    <t>\n调查员的意志如同薄纸，一触即溃</t>
  </si>
  <si>
    <t>\n所有意志检定自动失败。但作为补偿，你的临时疯狂持续时间减半（因为你很快就能忘记或适应）。每场模组一次，当因意志薄弱避开危险时，可恢复1点理智。【减益特质】【影响自己】【永久持续】【被动生效】</t>
  </si>
  <si>
    <t>【情场高手】</t>
  </si>
  <si>
    <t>\n调查员深谙与异性交往之道，游刃有余</t>
  </si>
  <si>
    <t>\n在与异性进行取悦、说服或交际检定时，获得一个奖励骰。但可能引发嫉妒或感情纠纷，相关社交检定面临惩罚骰。每场模组一次，可自动通过一次异性相关的社交检定。【双面特质】【影响自己】【永久持续】【被动生效】</t>
  </si>
  <si>
    <t>【美貌社交】</t>
  </si>
  <si>
    <t>\n调查员的美貌本身就是一种强大的社交工具</t>
  </si>
  <si>
    <t>\n在进行社交互动时，你可以使用外貌属性代替相应的社交技能（如说服）进行检定。每日限一次。但过度依赖外貌可能导致被轻视，智力相关检定面临惩罚骰。【增益特质】【影响自己】【每日一次】【主动激活，无消耗】</t>
  </si>
  <si>
    <t>【家业继承】</t>
  </si>
  <si>
    <t>\n调查员继承了一笔可观的家产，包括企业或土地</t>
  </si>
  <si>
    <t>\n你的初始信用评级翻倍（最高不超过95%）。但你需要花费大量时间管理产业，每月需进行信用评级检定以避免资产缩水。长期冒险可能导致信用评级下降。【双面特质】【影响自己】【永久持续】【被动生效】</t>
  </si>
  <si>
    <t>【世家财富】</t>
  </si>
  <si>
    <t>\n调查员的家族拥有世代积累的、深不可测的财富</t>
  </si>
  <si>
    <t>\n你的真实财富远超表面信用评级。当陷入绝境时，你可以通过家族影响力寻求一次外部援助（如律师团、私人军队），此效果由守秘人裁定，每模组限一次。使用后24小时内所有潜行检定面临惩罚骰。【增益特质】【影响自己】【单个模组】【主动激活，无消耗】</t>
  </si>
  <si>
    <t>【破产落魄】</t>
  </si>
  <si>
    <t>\n调查员因故破产，所有资产均被冻结或没收</t>
  </si>
  <si>
    <t>\n你的初始信用评级为0，且无法通过正常途径提升。你获得生存技能+20%，因为你必须学会在底层生活。每场模组一次，可因贫困经历获得社交加成。【双面特质】【影响自己】【永久持续】【被动生效】</t>
  </si>
  <si>
    <t>【债务缠身】</t>
  </si>
  <si>
    <t>\n调查员身负巨额债务，每月都在被追讨</t>
  </si>
  <si>
    <t>\n每月需进行一次信用评级检定，失败则信用评级永久减少1D10点。当信用评级降至0时，你将面临债主的致命威胁。但因此锻炼出警觉，聆听和潜行检定获得奖励骰。【减益特质】【影响自己】【永久持续】【每月触发】</t>
  </si>
  <si>
    <t>【语言天才】</t>
  </si>
  <si>
    <t>\n调查员对语言有着超乎常人的领悟力</t>
  </si>
  <si>
    <t>\n学习新语言时，所需时间减半。即使面对未知语言，也可以通过一次困难智力检定来理解其大致的含义或情绪。但母语使用可能受到影响，母语相关检定面临惩罚骰。【增益特质】【影响自己】【永久持续】【被动生效】</t>
  </si>
  <si>
    <t>【背叛天性】</t>
  </si>
  <si>
    <t>\n调查员内心深处没有团队的概念，背叛如呼吸般自然</t>
  </si>
  <si>
    <t>\n当你攻击队友时，攻击检定获得一个奖励骰。若你的行为直接导致一名队友死亡或永久疯狂，你可以恢复1D6点理智值。但团队协作时所有检定面临惩罚骰。【减益特质】【影响友方】【永久持续】【触发条件：攻击队友】</t>
  </si>
  <si>
    <t>【忠诚卫士】</t>
  </si>
  <si>
    <t>\n调查员将同伴的安危置于自身之上</t>
  </si>
  <si>
    <t>\n你绝不会主动抛弃同伴。当你在冒险中成功救助一名队友（如通过急救或协助脱离险境）时，恢复1点理智值。每场模组最多恢复3点。但当队友死亡时，理智损失翻倍。【增益特质】【影响自己和友方】【单个模组】【触发条件：救助队友】</t>
  </si>
  <si>
    <t>【自我中心】</t>
  </si>
  <si>
    <t>\n调查员将自我生存与利益视为最高准则</t>
  </si>
  <si>
    <t>\n你可以主动牺牲或抛弃重要的盟友、物品或信息来确保自身安全，且不会因此损失理智值。但团队协作时所有检定面临惩罚骰，且信用评级永久-10。【增益特质】【影响自己】【永久持续】【主动选择】</t>
  </si>
  <si>
    <t>【牺牲精神】</t>
  </si>
  <si>
    <t>\n调查员拥有强烈的奉献精神，甘愿为他人牺牲</t>
  </si>
  <si>
    <t>\n当你成功使一名队友免受伤害（如通过闪避为其挡下攻击）或脱离险境时，恢复1点理智值。每场模组最多恢复3点。但当保护失败时，受到的伤害增加50%。【增益特质】【影响自己和友方】【单个模组】【触发条件：保护队友】</t>
  </si>
  <si>
    <t>【魔法天赋】</t>
  </si>
  <si>
    <t>\n调查员对魔法的结构和原理有着天生的亲和力</t>
  </si>
  <si>
    <t>\n学习神话法术时，所需时间减半。学习法术的智力检定获得一个奖励骰。但施法时理智损失增加1点，且更容易吸引超自然存在的注意。【增益特质】【影响自己】【永久持续】【被动生效】</t>
  </si>
  <si>
    <t>【迅捷施法】</t>
  </si>
  <si>
    <t>\n调查员施法时省略了部分冗长步骤，速度惊人</t>
  </si>
  <si>
    <t>\n你施放所有法术的施法时间减少1轮（至少为即时）。但法术的魔力（MP）消耗增加1点，且法术失败后果更严重。【双面特质】【影响自己】【永久持续】【被动生效】</t>
  </si>
  <si>
    <t>【魔法器物】</t>
  </si>
  <si>
    <t>\n调查员持有一件效果微弱的魔法物品</t>
  </si>
  <si>
    <t>\n你拥有一件魔法物品，其效果由守秘人决定（例如每日一次，提供1点临时护甲）。它可能成为其他神秘存在追寻的目标。每场模组可能遭遇一次相关威胁。【增益特质】【影响自己】【永久持续】【被动生效】</t>
  </si>
  <si>
    <t>【诅咒器物】</t>
  </si>
  <si>
    <t>\n调查员被一件不祥的魔法物品所绑定，无法摆脱</t>
  </si>
  <si>
    <t>\n你拥有一件强大的魔法物品，但它与你绑定，无法丢弃或摧毁。该物品每日会对你造成1点理智或生命损失，并会带来厄运。每场模组一次，可在危急时获得临时加值。【减益特质】【影响自己】【永久持续】【每日触发】</t>
  </si>
  <si>
    <t>【魔法排斥】</t>
  </si>
  <si>
    <t>\n调查员的存在本身会排斥神秘的以太</t>
  </si>
  <si>
    <t>\n你无法学习或施展任何神话法术。你对法术效果的抵抗检定获得一个奖励骰。但治疗法术对你效果减半，且与魔法物品互动时面临惩罚骰。【双面特质】【影响自己】【永久持续】【被动生效】</t>
  </si>
  <si>
    <t>【法术爆炸】</t>
  </si>
  <si>
    <t>\n调查员的法术能量极不稳定，总会以爆炸形式释放</t>
  </si>
  <si>
    <t>\n你施放的所有法术都会在施法者位置产生爆炸，对范围内所有生物（包括你自己）造成等同于法术魔力（MP）消耗点的伤害。但法术效果范围增加50%。【减益特质】【影响范围生物】【永久持续】【被动生效】</t>
  </si>
  <si>
    <t>【道具扭曲】</t>
  </si>
  <si>
    <t>\n调查员与神话道具的相性极差，常引发意外</t>
  </si>
  <si>
    <t>\n当你使用神话魔法道具时，若幸运检定失败，则道具效果会发生不可预测的扭曲（由守秘人决定），通常会产生负面效果。但成功时道具效果提升50%。【减益特质】【影响自己】【永久持续】【触发条件：使用魔法道具】</t>
  </si>
  <si>
    <t>【学习天才】</t>
  </si>
  <si>
    <t>\n调查员在专业领域的学习效率远超常人</t>
  </si>
  <si>
    <t>\n创建角色时，你的职业技能点额外增加60点。但兴趣技能点减少30点，且所有非专业技能的成长检定面临惩罚骰。【增益特质】【影响自己】【角色创建】【被动生效】</t>
  </si>
  <si>
    <t>【专业精通】</t>
  </si>
  <si>
    <t>\n调查员在某一专业领域已耕耘多年</t>
  </si>
  <si>
    <t>\n创建角色时，选择一项职业技能，其初始技能值额外增加10点。但其他所有职业技能的初始技能值减少5点。【增益特质】【影响自己】【角色创建】【被动生效】</t>
  </si>
  <si>
    <t>【技艺巅峰】</t>
  </si>
  <si>
    <t>\n调查员在将一项技能锤炼至巅峰后，获得了心灵的满足</t>
  </si>
  <si>
    <t>\n当你的任何一项技能通过成长检定提升至90%或以上时，你立即恢复1D10点理智值。每项技能仅能触发一次。但达到巅峰后该技能无法继续提升。【增益特质】【影响自己】【永久持续】【触发条件：技能达到90%】</t>
  </si>
  <si>
    <t>【博学多才】</t>
  </si>
  <si>
    <t>\n调查员博学多闻，兴趣广泛</t>
  </si>
  <si>
    <t>\n创建角色时，你的兴趣技能点额外增加60点。但职业技能点减少30点，且所有专业技能的成长检定面临惩罚骰。【增益特质】【影响自己】【角色创建】【被动生效】</t>
  </si>
  <si>
    <t>【射击冠军】</t>
  </si>
  <si>
    <t>\n调查员曾在正式射击比赛中获得荣誉</t>
  </si>
  <si>
    <t>\n选择一项特定的火器技能，其初始技能值增加20%。但其他所有火器技能检定面临惩罚骰，且近战战斗时斗殴检定面临惩罚骰。【增益特质】【影响自己】【永久持续】【被动生效】</t>
  </si>
  <si>
    <t>【走火入魔】</t>
  </si>
  <si>
    <t>\n调查员使用枪械时总是险象环生</t>
  </si>
  <si>
    <t>\n当你进行射击检定失败时，你不会miss，而是会命中一个由守秘人指定的意外目标（队友、自己或重要物品），并造成全额伤害。但成功时伤害增加50%。【减益特质】【影响范围目标】【永久持续】【触发条件：射击失败】</t>
  </si>
  <si>
    <t>【大众脸孔】</t>
  </si>
  <si>
    <t>\n调查员的长相毫无特点，极易被人遗忘</t>
  </si>
  <si>
    <t>\n潜行（混入人群时）和乔装（改变身份时）检定获得一个奖励骰。但你需要通过说服检定才能让人记住你，信用评级检定面临惩罚骰。【双面特质】【影响自己】【永久持续】【被动生效】</t>
  </si>
  <si>
    <t>【罪犯脸孔】</t>
  </si>
  <si>
    <t>\n调查员不幸与某个通缉犯长相相似</t>
  </si>
  <si>
    <t>\n你经常被警方盘问和调查。所有与执法人员打交道的信用评级和说服检定面临一个惩罚骰。但在犯罪团伙中社交检定获得奖励骰。【双面特质】【影响自己】【永久持续】【被动生效】</t>
  </si>
  <si>
    <t>【明星脸孔】</t>
  </si>
  <si>
    <t>\n调查员与某位社会名流或明星长相酷似</t>
  </si>
  <si>
    <t>\n你总是受到不必要的关注。所有在公共场合进行的潜行和乔装检定面临一个惩罚骰，但初始信用评级+5%。每场模组一次，可借助知名度获得社交加成。【双面特质】【影响自己】【永久持续】【被动生效】</t>
  </si>
  <si>
    <t>【恶名远扬】</t>
  </si>
  <si>
    <t>\n调查员过去的恶行广为流传，声名狼藉</t>
  </si>
  <si>
    <t>\n初始说服与信用评级技能减少15%。但恐吓技能增加10%。在与犯罪组织互动时，社交检定获得奖励骰。【双面特质】【影响自己】【永久持续】【被动生效】</t>
  </si>
  <si>
    <t>【外貌偏见】</t>
  </si>
  <si>
    <t>\n调查员会不自觉地因他人的外貌而产生偏见</t>
  </si>
  <si>
    <t>\n当你与外貌出众（APP≥80）或丑陋（APP≤30）的NPC互动时，所有社交检定自动获得一个奖励骰或惩罚骰（由守秘人根据情境判定）。心理学检定面临惩罚骰。【减益特质】【影响自己】【永久持续】【被动生效】</t>
  </si>
  <si>
    <t>【声名远播】</t>
  </si>
  <si>
    <t>\n调查员因过去的善举而拥有良好的声誉</t>
  </si>
  <si>
    <t>\n初始说服与信用评级技能增加15%。人们更愿意向你提供帮助，但也对你抱有更高的道德期待。任何不道德行为都会导致信用评级双倍损失。【双面特质】【影响自己】【永久持续】【被动生效】</t>
  </si>
  <si>
    <t>【伪装大师】</t>
  </si>
  <si>
    <t>\n调查员是伪装大师，能轻易改变自身形象</t>
  </si>
  <si>
    <t>\n乔装检定获得一个奖励骰。你制作伪装道具所需的时间和成本减半。但过度依赖伪装可能导致身份混淆，相关智力检定面临惩罚骰。【增益特质】【影响自己】【永久持续】【被动生效】</t>
  </si>
  <si>
    <t>【诡异装扮】</t>
  </si>
  <si>
    <t>\n调查员的乔装总会无意中透露出恐怖谷效应或诡异感</t>
  </si>
  <si>
    <t>\n你的乔装检定结果总是会显得有些不自然或令人不安。但因此，你的恐吓检定获得一个奖励骰。正常社交场合的说服检定面临惩罚骰。【双面特质】【影响自己】【永久持续】【被动生效】</t>
  </si>
  <si>
    <t>【气象预知】</t>
  </si>
  <si>
    <t>\n调查员能通过观察自然现象精准预测天气</t>
  </si>
  <si>
    <t>\n通过一次成功的教育或自然科学检定，你可以准确预测未来12小时的天气变化，并能察觉出超自然力量对气候的干扰。每日限三次使用。【增益特质】【影响自己】【永久持续】【主动使用】</t>
  </si>
  <si>
    <t>【情绪天气】</t>
  </si>
  <si>
    <t>\n调查员的情绪能轻微影响周围的天气</t>
  </si>
  <si>
    <t>\n你可以消耗1点魔力（MP），让局部天气（如一片街区）在你的情绪影响下，在晴朗与阴雨间切换。效果持续1小时，且每日限一次。使用后理智检定面临惩罚骰。【增益特质】【影响范围环境】【每日一次】【主动激活，消耗1MP】</t>
  </si>
  <si>
    <t>【时间庇护】</t>
  </si>
  <si>
    <t>\n调查员受到时间的微妙庇护</t>
  </si>
  <si>
    <t>\n每日一次，当你受到一个法术的直接影响时，你可以进行一次意志检定，若成功则完全抵抗该法术效果。但对抗时间相关效果时，所有检定面临惩罚骰。【增益特质】【影响自己】【每日一次】【触发条件：受到法术影响】</t>
  </si>
  <si>
    <t>【时间凝固】</t>
  </si>
  <si>
    <t>\n调查员的存在与时间流完美融合，不受其扰动</t>
  </si>
  <si>
    <t>\n你免疫所有改变年龄、加速或减速时间的效果（无论有益还是有害）。你的生理年龄永远定格在当前。但治疗法术和自然恢复效果减半。【增益特质】【影响自己】【永久持续】【被动生效】</t>
  </si>
  <si>
    <t>【虚荣心强】</t>
  </si>
  <si>
    <t>\n调查员将大部分钱财都花在了维持光鲜的外表上</t>
  </si>
  <si>
    <t>\n你的初始现金减半。所有基于第一印象的社交技能（说服、取悦）检定获得一个奖励骰。每月需进行信用评级检定以避免负债。【双面特质】【影响自己】【永久持续】【被动生效】</t>
  </si>
  <si>
    <t>【时尚先锋】</t>
  </si>
  <si>
    <t>\n调查员是潮流的引领者，总是衣着得体，品味出众</t>
  </si>
  <si>
    <t>\n初始外貌和说服技能各增加10%。但你每月需要在服饰和社交上花费额外的金钱，否则信用评级可能下降。每场模组一次，可借助时尚获得社交加成。【双面特质】【影响自己】【永久持续】【被动生效】</t>
  </si>
  <si>
    <t>【财富焦虑】</t>
  </si>
  <si>
    <t>\n调查员对拥有财富感到莫名的焦虑与负罪感</t>
  </si>
  <si>
    <t>\n当你的信用评级高于50%时，所有意志检定面临一个惩罚骰。但当信用评级低于30%时，所有生存和坚韧相关检定获得奖励骰。【双面特质】【影响自己】【永久持续】【被动生效】</t>
  </si>
  <si>
    <t>【挥霍无度】</t>
  </si>
  <si>
    <t>\n调查员无法容忍账户里有结余，必须全部花光</t>
  </si>
  <si>
    <t>\n若在一天结束时，你持有的现金超过你信用评级所对应的日薪，则因焦虑失去1点理智值。但购物时可以获得临时社交加成，持续24小时。【减益特质】【影响自己】【每日触发】【被动生效】</t>
  </si>
  <si>
    <t>【吝啬成性】</t>
  </si>
  <si>
    <t>\n调查员将财富视作生命，失去它们如同割肉</t>
  </si>
  <si>
    <t>\n每当你的信用评级永久降低时，你失去等同于降低数值的理智值。但所有与节俭和讨价还价相关的检定获得奖励骰，且初始现金增加50%。【减益特质】【影响自己】【永久持续】【触发条件：信用评级降低】</t>
  </si>
  <si>
    <t>【囤积癖好】</t>
  </si>
  <si>
    <t>\n调查员有强烈的囤积癖，所有东西都必须买多份</t>
  </si>
  <si>
    <t>\n你购买任何物品的数量至少为2，总价格翻倍。但你在需要时总能从库存中拿出备用品，由守秘人裁定。负重能力减少25%。【双面特质】【影响自己】【永久持续】【被动生效】</t>
  </si>
  <si>
    <t>【家传秘典】</t>
  </si>
  <si>
    <t>\n调查员的家族流传下一本神秘的古书</t>
  </si>
  <si>
    <t>\n你拥有一本未曾解读的神话原典或其抄本。阅读它可能带来知识与疯狂（阅读时克苏鲁神话+5%，但理智损失增加50%），并让你成为某些存在的目标。每场模组一次，可从中获得关键线索。【双面特质】【影响自己】【永久持续】【被动生效】</t>
  </si>
  <si>
    <t>【谬误原典】</t>
  </si>
  <si>
    <t>\n调查员持有的原典在传承中出现了大量谬误</t>
  </si>
  <si>
    <t>\n你拥有一本神话原典的手抄本，但其内容存在大量错误。阅读它需要进行困难智力检定，失败则学会错误法术或获得虚假知识，可能导致灾难。但成功时克苏鲁神话技能获得双倍成长。【减益特质】【影响自己】【永久持续】【主动阅读】</t>
  </si>
  <si>
    <t>【特权借阅】</t>
  </si>
  <si>
    <t>\n调查员拥有一张极具分量的借书证或介绍信</t>
  </si>
  <si>
    <t>\n你在大多数图书馆和档案馆进行图书馆使用检定时，获得一个奖励骰，并能访问一些普通人不被允许的区域。但可能引起其他研究者的嫉妒，相关社交检定面临惩罚骰。【增益特质】【影响自己】【永久持续】【被动生效】</t>
  </si>
  <si>
    <t>【灾难幸存】</t>
  </si>
  <si>
    <t>\n调查员曾从一场巨大的自然灾害中幸存</t>
  </si>
  <si>
    <t>\n生存和意志检定获得一个奖励骰。但提及或遭遇类似的灾难场景时，理智检定失败则多失去1点理智。每场模组一次，可在灾难环境中自动通过一次生存检定。【双面特质】【影响自己】【永久持续】【被动生效】</t>
  </si>
  <si>
    <t>【灾难创伤】</t>
  </si>
  <si>
    <t>\n调查员曾亲历灾难现场，精神受到严重创伤</t>
  </si>
  <si>
    <t>\n在面对火灾、洪水、地震等灾害场景或尸体时，因此损失的理智值翻倍。但对类似场景的侦查检定获得奖励骰，能更快发现危险迹象。【减益特质】【影响自己】【永久持续】【被动生效】</t>
  </si>
  <si>
    <t>【灾厄缠身】</t>
  </si>
  <si>
    <t>\n调查员仿佛被灾厄附身，总是卷入事故</t>
  </si>
  <si>
    <t>\n当你的闪避或幸运检定失败时，你受到的伤害取该次伤害骰的最大值。但每场模组一次，当灾厄降临时，可进行意志检定以避免更严重后果。【减益特质】【影响自己】【永久持续】【触发条件：闪避或幸运失败】</t>
  </si>
  <si>
    <t>【街头求生】</t>
  </si>
  <si>
    <t>\n调查员是孤儿，不知父母是谁，在街头长大</t>
  </si>
  <si>
    <t>\n生存和潜行（在城市中）检定获得一个奖励骰。你的身世可能隐藏着秘密。每场模组一次，可借助街头经验获得信息或逃脱机会。【双面特质】【影响自己】【永久持续】【被动生效】</t>
  </si>
  <si>
    <t>【战争创伤】</t>
  </si>
  <si>
    <t>\n调查员的父母死于战争，使你憎恨暴力</t>
  </si>
  <si>
    <t>\n当身处枪战或战场环境时，需要进行意志检定，失败则陷入逃避或瘫痪的临时疯狂状态。但对战争相关知识的智力检定获得奖励骰。【减益特质】【影响自己】【永久持续】【触发条件：身处枪战或战场】</t>
  </si>
  <si>
    <t>【流浪专家】</t>
  </si>
  <si>
    <t>\n调查员曾有过长期的流浪经历，坚韧不拔</t>
  </si>
  <si>
    <t>\n生存检定获得一个奖励骰。可以在食物和饮水匮乏的情况下多坚持50%的时间。但在正式社交场合，信用评级和说服检定面临惩罚骰。【双面特质】【影响自己】【永久持续】【被动生效】</t>
  </si>
  <si>
    <t>【窃贼世家】</t>
  </si>
  <si>
    <t>\n调查员出身于小偷世家，精通此道</t>
  </si>
  <si>
    <t>\n初始妙手和锁匠技能增加10%。家族关系网可能带来帮助，也可能是麻烦。每场模组一次，可借助家族网络获得信息或资源。【增益特质】【影响自己】【永久持续】【被动生效】</t>
  </si>
  <si>
    <t>【双语天赋】</t>
  </si>
  <si>
    <t>\n调查员在双语环境中长大，能流利使用两种语言</t>
  </si>
  <si>
    <t>\n创建角色时，可以额外选择一门语言，并将其技能值设置为与母语相同（等于教育×5%）。但母语相关检定面临轻微惩罚（-5%）。【增益特质】【影响自己】【角色创建】【被动生效】</t>
  </si>
  <si>
    <t>【古籍专家】</t>
  </si>
  <si>
    <t>\n调查员专攻古代文献的破译与翻译</t>
  </si>
  <si>
    <t>\n在翻译、解读古老或晦涩文本时，相关的语言或历史检定获得一个奖励骰。但现代语言使用可能生疏，相关检定面临惩罚骰。【增益特质】【影响自己】【永久持续】【被动生效】</t>
  </si>
  <si>
    <t>【探险专家】</t>
  </si>
  <si>
    <t>\n调查员是经验丰富的野外探险家</t>
  </si>
  <si>
    <t>\n导航、追踪和自然科学检定获得一个奖励骰。但在城市环境中，所有社交和导航检定面临惩罚骰。【双面特质】【影响自己】【永久持续】【被动生效】</t>
  </si>
  <si>
    <t>【居家恐惧】</t>
  </si>
  <si>
    <t>\n调查员患有严重的社交恐惧症，难以适应室外环境</t>
  </si>
  <si>
    <t>\n在户外或陌生室内环境中进行的所有技能检定面临一个惩罚骰。在家或类似的安全屋内，所有检定获得一个奖励骰。每场模组一次，可因熟悉环境获得侦查加成。【双面特质】【影响自己】【永久持续】【被动生效】</t>
  </si>
  <si>
    <t>【生存大师】</t>
  </si>
  <si>
    <t>\n调查员是在任何环境下都能活下去的专家</t>
  </si>
  <si>
    <t>\n生存、导航和追踪技能检定获得一个奖励骰。能在极端环境下找到常人无法发现的生存资源。但在舒适环境中，所有检定面临轻微惩罚。【增益特质】【影响自己】【永久持续】【被动生效】</t>
  </si>
  <si>
    <t>【死亡学者】</t>
  </si>
  <si>
    <t>\n调查员对死亡有着超乎常人的精准判断</t>
  </si>
  <si>
    <t>\n可以通过简单的观察，无需检定即可准确判断一个生物是否死亡、大致的死亡时间以及直接的致死原因。但对死亡场景的理智损失增加1点。【增益特质】【影响自己】【永久持续】【被动生效】</t>
  </si>
  <si>
    <t>【隐秘爱慕】</t>
  </si>
  <si>
    <t>\n一位NPC对调查员怀有隐秘的爱慕之情</t>
  </si>
  <si>
    <t>\n一位由守秘人指定的NPC会暗中帮助，在危机时可能提供线索或援助。但这种关系一旦暴露，可能会引发嫉妒或复杂的社交困境。每场模组限获得一次帮助。【双面特质】【影响自己】【永久持续】【被动生效】</t>
  </si>
  <si>
    <t>【情感诅咒】</t>
  </si>
  <si>
    <t>\n调查员的情感纠葛如同诅咒，谎言在异性面前无所遁形</t>
  </si>
  <si>
    <t>\n对异性所说的任何谎言，在进行说服或欺诈检定时，都会自动面临一个惩罚骰。但因此更能洞察异性的欺骗，对抗异性谎言时心理学检定获得奖励骰。每场模组一次，可因情感直觉获得关键信息。【双面特质】【影响自己】【永久持续】【被动生效】</t>
  </si>
  <si>
    <t>【感情纠葛】</t>
  </si>
  <si>
    <t>\n调查员因轻浮的感情观而身处险境</t>
  </si>
  <si>
    <t>\n若被证实欺骗了异性的感情，该异性及其相关势力会展开不死不休的报复，其疯狂与执着超乎寻常。但在感情发展初期，社交检定获得奖励骰。【减益特质】【影响自己】【永久持续】【触发条件：欺骗感情】</t>
  </si>
  <si>
    <t>【婚姻束缚】</t>
  </si>
  <si>
    <t>\n调查员拥有法律承认的婚姻关系</t>
  </si>
  <si>
    <t>\n信用评级+10%（因为家庭共同资产）。但在与异性进行取悦或发展浪漫关系时，检定面临惩罚骰。配偶可能成为软肋，但也可能提供支援。每场模组一次，可获得配偶帮助。【双面特质】【影响自己】【永久持续】【被动生效】</t>
  </si>
  <si>
    <t>【痴情专注】</t>
  </si>
  <si>
    <t>\n调查员对某位NPC抱有无法自拔的爱慕之情</t>
  </si>
  <si>
    <t>\n当执行旨在保护或帮助该NPC的行动时，相关技能检定获得一个奖励骰。但若该NPC受到伤害或拒绝，因此损失的理智值翻倍。每场模组限触发三次奖励。【双面特质】【影响自己】【永久持续】【被动生效】</t>
  </si>
  <si>
    <t>【麻痹宿疾】</t>
  </si>
  <si>
    <t>\n调查员患有小儿麻痹后遗症，身体存在缺陷</t>
  </si>
  <si>
    <t>\n当体质或幸运检定失败时，会因肌肉痉挛而麻痹1D3轮。作为与疾病共存的代价，意志检定获得一个奖励骰。每场模组一次，可因顽强意志自动通过一次检定。【双面特质】【影响自己】【永久持续】【触发条件：体质或幸运失败】</t>
  </si>
  <si>
    <t>【偏瘫宿疾】</t>
  </si>
  <si>
    <t>\n调查员患有中风后遗症，一侧身体行动不便</t>
  </si>
  <si>
    <t>\n当体质或幸运检定失败时，会因身体失控而瘫痪1轮。所有需要双手协调或精细操作的动作，检定面临惩罚骰。但因此更注重策略，智力检定获得奖励骰。【减益特质】【影响自己】【永久持续】【触发条件：体质或幸运失败】</t>
  </si>
  <si>
    <t>【超常接触】</t>
  </si>
  <si>
    <t>\n调查员曾接触过超常现象，心智产生了某种耐性</t>
  </si>
  <si>
    <t>\n每次因超自然现象或神话生物损失的理智值减少1点（至少损失1点）。但更容易吸引那些存在的注意，潜行（对抗超自然感知）检定面临惩罚骰。【双面特质】【影响自己】【永久持续】【被动生效】</t>
  </si>
  <si>
    <t>【魔胎寄生】</t>
  </si>
  <si>
    <t>\n调查员的身体被一个神秘的异界存在寄生了</t>
  </si>
  <si>
    <t>\n当体质检定失败时，寄生体加速成长，造成1D4点伤害。当伤害累积至20点时，魔胎将破体而出。只有极难成功的医学检定或神话法术才能移除它。但寄生体可能提供临时超自然能力。【减益特质】【影响自己】【永久持续】【触发条件：体质失败】</t>
  </si>
  <si>
    <t>【魔植寄生】</t>
  </si>
  <si>
    <t>\n一株恶魔植物的种子在体内生根发芽</t>
  </si>
  <si>
    <t>\n当体质检定失败时，植物藤蔓会撕裂伤口，造成1D6点伤害。将其移除需要进行极难成功的医学手术，失败则造成2D10点巨大伤害并可能致死。但植物可能提供自然亲和能力。【减益特质】【影响自己】【永久持续】【触发条件：体质失败】</t>
  </si>
  <si>
    <t>【腹大体硕】</t>
  </si>
  <si>
    <t>\n调查员拥有一个显著的啤酒肚，影响行动与形象</t>
  </si>
  <si>
    <t>\n所有基于敏捷的运动技能（如潜行、攀爬）以及取悦检定面临一个惩罚骰。但体格（SIZ）视为比实际高5点（用于对抗冲撞等），且生命值上限+3。【双面特质】【影响自己】【永久持续】【被动生效】</t>
  </si>
  <si>
    <t>【污秽攻击】</t>
  </si>
  <si>
    <t>\n调查员的消化系统异常活跃，常产生大量气体与污物</t>
  </si>
  <si>
    <t>\n可以作为一种令人极度厌恶的攻击手段，迫使目标进行体质检定，失败则因恶心而呕吐。但这会永久性地激怒目标，并使所有社交检定面临惩罚骰。每场战斗限一次。【双面特质】【影响单目标】【永久持续】【主动激活，无消耗】</t>
  </si>
  <si>
    <t>【绝境激励】</t>
  </si>
  <si>
    <t>\n当同伴倒下时，调查员能爆发出惊人的潜力</t>
  </si>
  <si>
    <t>\n当有队友陷入昏迷、濒死或死亡时，所有技能临时获得+5%加值（每有一位倒下的队友叠加一次）。此效果持续到战斗或当前危机结束。但危机结束后会陷入虚弱状态。【增益特质】【影响自己】【单次危机】【触发条件：队友倒下】</t>
  </si>
  <si>
    <t>【胜者护甲】</t>
  </si>
  <si>
    <t>\n调查员通过击败强敌来积累防御的气势</t>
  </si>
  <si>
    <t>\n在战斗中，每当你亲手使一个体格（SIZ）≥你的敌人失去战斗力，获得1点临时护甲。此护甲可叠加，最高至3点，持续1小时。但护甲消失后会感到疲惫，敏捷临时-5。【增益特质】【影响自己】【持续1小时】【触发条件：击败强敌】</t>
  </si>
  <si>
    <t>【胜者战意】</t>
  </si>
  <si>
    <t>\n调查员通过击败强敌来积累攻击的气势</t>
  </si>
  <si>
    <t>\n在战斗中，每当你亲手使一个体格（SIZ）≥你的敌人失去战斗力，造成的所有伤害临时+1。此加值可叠加，最高至+3，持续到战斗结束。但战斗结束后会陷入疲惫状态。【增益特质】【影响自己】【单次战斗】【触发条件：击败强敌】</t>
  </si>
  <si>
    <t>【游击战术】</t>
  </si>
  <si>
    <t>\n调查员精通打了就跑的游击战术</t>
  </si>
  <si>
    <t>\n若在战斗轮中的首次攻击命中目标，则在下一轮中的闪避或撤退检定自动成功。此效果每场战斗限一次。使用后本回合无法进行反击。【增益特质】【影响自己】【单次战斗】【触发条件：首次攻击命中】</t>
  </si>
  <si>
    <t>【协同指挥】</t>
  </si>
  <si>
    <t>\n调查员能有效地指引同伴协同攻击</t>
  </si>
  <si>
    <t>\n若在战斗轮中的首次攻击命中目标，在本轮内大声呼喊指挥队友集火该目标，则其他队友对该目标的第一次攻击检定获得一个奖励骰。每场战斗限一次，且自身下一轮行动延迟。【增益特质】【影响友方】【单次战斗】【触发条件：首次攻击命中】</t>
  </si>
  <si>
    <t>【健美体魄】</t>
  </si>
  <si>
    <t>\n调查员通过锻炼拥有令人艳羡的健美体魄</t>
  </si>
  <si>
    <t>\n外貌+5。在进行需要展现力量的说服或信用评级（如健身行业）检定时，获得一个奖励骰。但需要大量时间维持训练，长期冒险可能导致属性临时下降。【增益特质】【影响自己】【永久持续】【被动生效】</t>
  </si>
  <si>
    <t>【体型焦虑】</t>
  </si>
  <si>
    <t>\n调查员对自己的体型感到严重不满，追求极致的纤细</t>
  </si>
  <si>
    <t>\n自愿进行节食或消耗性行动。每当使自己的体格（SIZ）永久降低1点，可以恢复1D3点理智值。这显然对健康有害，体质检定面临惩罚骰。【减益特质】【影响自己】【永久持续】【主动选择】</t>
  </si>
  <si>
    <t>【布道热情】</t>
  </si>
  <si>
    <t>\n调查员拥有布道者般的热情与口才</t>
  </si>
  <si>
    <t>\n在进行公开演讲、布道或宣扬某种理念时，说服检定获得一个奖励骰。但容易因此引起权威人士或敌对信仰者的注意。每场模组一次，可借助信仰获得意志加成。【双面特质】【影响自己】【永久持续】【被动生效】</t>
  </si>
  <si>
    <t>【邪教倾向】</t>
  </si>
  <si>
    <t>\n调查员内心空虚，极易被狂热的邪教或组织所吸引</t>
  </si>
  <si>
    <t>\n对抗邪教徒的说服或心理学检定时，意志检定面临一个惩罚骰。加入此类组织后，初始克苏鲁神话技能+5%。每场模组可能遭遇一次招募尝试。【双面特质】【影响自己】【永久持续】【被动生效】</t>
  </si>
  <si>
    <t>【煽动群众】</t>
  </si>
  <si>
    <t>\n调查员擅长在人群中煽动情绪，制造混乱</t>
  </si>
  <si>
    <t>\n在人群聚集地，可以通过一次成功的说服或恐吓检定，挑起一场小规模的骚乱，为创造脱身或行动的机会。每场模组限一次，使用后潜行检定面临惩罚骰。【增益特质】【影响范围人群】【永久持续】【主动激活】</t>
  </si>
  <si>
    <t>【打断专家】</t>
  </si>
  <si>
    <t>\n调查员是个十足的冷场王，擅长打断他人的发言</t>
  </si>
  <si>
    <t>\n可以主动尝试打断一个正在进行的演讲、仪式或法术吟唱。这需要进行一次说服（音量对抗）或意志对抗检定。若成功，则目标行动被打断。每场模组限三次。【增益特质】【影响单目标】【永久持续】【主动激活】</t>
  </si>
  <si>
    <t>【宠物伙伴】</t>
  </si>
  <si>
    <t>\n调查员与一只宠物（由守秘人指定）相依为命</t>
  </si>
  <si>
    <t>\n宠物可以作为帮手进行简单的侦查、聆听等。若宠物死亡，将失去1D6点理智值。每场模组一次，宠物可提供关键帮助或预警。宠物可能吸引不必要的注意。【双面特质】【影响自己】【永久持续】【被动生效】</t>
  </si>
  <si>
    <t>【工具宠物】</t>
  </si>
  <si>
    <t>\n调查员将宠物视为可消耗的工具而非伙伴</t>
  </si>
  <si>
    <t>\n驱使的动物或宠物在战斗中造成的伤害翻倍。但它们无法通过急救或医学恢复，一旦受伤过重即死亡，且不会因此损失理智。每场模组限驱使三只动物。【增益特质】【影响动物】【永久持续】【被动生效】</t>
  </si>
  <si>
    <t>【巨兽伙伴】</t>
  </si>
  <si>
    <t>\n调查员的宠物体型远超同类</t>
  </si>
  <si>
    <t>\n宠物体格（SIZ）至少为正常的两倍，生命值和伤害也相应提高。但它的食量和带来的关注度也同样巨大。每场模组一次，宠物可自动通过一次力量检定。【双面特质】【影响自己】【永久持续】【被动生效】</t>
  </si>
  <si>
    <t>【猫之眷顾】</t>
  </si>
  <si>
    <t>\n调查员被猫科动物所深深吸引，同时也被它们深刻影响</t>
  </si>
  <si>
    <t>\n所有猫科动物对初始为友好态度。但当伤害猫科动物时，因此损失的理智值翻倍，且会遭到猫科族群的记恨。每场模组一次，可获得猫科动物的帮助。【双面特质】【影响自己】【永久持续】【被动生效】</t>
  </si>
  <si>
    <t>【犬之眷顾】</t>
  </si>
  <si>
    <t>\n调查员与犬科动物有着超自然的联结</t>
  </si>
  <si>
    <t>\n所有犬科动物对初始为友好态度。但当伤害犬科动物时，因此损失的理智值翻倍，且会遭到犬科族群的记恨。每场模组一次，可获得犬科动物的帮助。【双面特质】【影响自己】【永久持续】【被动生效】</t>
  </si>
  <si>
    <t>【猫般优雅】</t>
  </si>
  <si>
    <t>\n调查员的动作像猫一样轻盈而安静</t>
  </si>
  <si>
    <t>\n潜行技能+10%。从高处落下时，进行的跳跃检定获得一个奖励骰。但对巨大声响敏感，面对突发噪音时意志检定面临惩罚骰。【增益特质】【影响自己】【永久持续】【被动生效】</t>
  </si>
  <si>
    <t>【犬般迅捷】</t>
  </si>
  <si>
    <t>\n调查员拥有猎犬般的耐力和追踪本能</t>
  </si>
  <si>
    <t>\n追踪技能+10%。在进行长途奔跑或追逐时，体质检定获得一个奖励骰。但对强烈气味敏感，可能被干扰注意力。【增益特质】【影响自己】【永久持续】【被动生效】</t>
  </si>
  <si>
    <t>【多才多艺】</t>
  </si>
  <si>
    <t>\n调查员在专业领域涉猎极广</t>
  </si>
  <si>
    <t>\n创建角色时，可以额外选择一项个人特长，并将其初始技能值设为90%。但其他所有职业技能初始值减少5点。【增益特质】【影响自己】【角色创建】【被动生效】</t>
  </si>
  <si>
    <t>【天赋封印】</t>
  </si>
  <si>
    <t>\n调查员的某项天赋因故被封印了</t>
  </si>
  <si>
    <t>\n选择一项职业清单中的技能，无法学习它（初始值为0，且无法通过成长检定提升）。但可选择另一项技能获得+10%初始加值作为补偿。【减益特质】【影响自己】【永久持续】【被动生效】</t>
  </si>
  <si>
    <t>【诡异面容】</t>
  </si>
  <si>
    <t>\n调查员的外表超越了丑陋，达到了一种非人的诡异</t>
  </si>
  <si>
    <t>\n外貌固定为15。恐吓检定获得一个奖励骰。所有其他社交检定面临惩罚骰，且无法进行取悦。但对超自然存在的社交检定获得奖励骰。【减益特质】【影响自己】【永久持续】【被动生效】</t>
  </si>
  <si>
    <t>【先天恐惧】</t>
  </si>
  <si>
    <t>\n调查员天生就带有一种无法治愈的恐惧症</t>
  </si>
  <si>
    <t>\n永久性地患有某种不定性疯狂（恐惧症，由守秘人指定）。此症状无法通过任何常规手段消除。但对同类恐惧的抵抗获得奖励骰。【减益特质】【影响自己】【永久持续】【被动生效】</t>
  </si>
  <si>
    <t>【视觉麻木】</t>
  </si>
  <si>
    <t>\n调查员失去了因看见而恐惧的能力</t>
  </si>
  <si>
    <t>\n不会因为目睹超自然存在、场景或现象而损失理智值。但依然会因理解、触摸或听闻其本质而损失理智，且因此触发的疯狂症状更为内化和扭曲。每场模组一次，可自动通过一次视觉相关的理智检定。【双面特质】【影响自己】【永久持续】【被动生效】</t>
  </si>
  <si>
    <t>【特权身份】</t>
  </si>
  <si>
    <t>\n调查员出身于特权阶层，拥有普通人没有的权利</t>
  </si>
  <si>
    <t>\n在某个领域（政治、经济、军事）拥有一定特权，可以更容易地获取受限资源、无视一些小麻烦。但也因此更容易成为革命者或仇富者的目标。每场模组一次，可借助特权获得关键资源。【双面特质】【影响自己】【永久持续】【被动生效】</t>
  </si>
  <si>
    <t>【长者指点】</t>
  </si>
  <si>
    <t>\n调查员虚心听取长者的教诲，并从中获益</t>
  </si>
  <si>
    <t>\n若在行动前咨询并听从了领域内权威或长者的建议，在该行动相关的教育或智力检定中获得一个奖励骰。但过度依赖建议，独立行动时检定面临惩罚骰。【增益特质】【影响自己】【永久持续】【主动咨询】</t>
  </si>
  <si>
    <t>【梦境解析】</t>
  </si>
  <si>
    <t>\n调查员能从光怪陆离的梦境中解析出有用的信息</t>
  </si>
  <si>
    <t>\n可以尝试对做过的梦进行一次心理学或灵感检定，成功则能从守秘人处获得关于自身心理状态或近期事件的隐喻性提示。每日限一次，使用后理智检定面临轻微惩罚。【增益特质】【影响自己】【永久持续】【主动解析】</t>
  </si>
  <si>
    <t>【梦境预知】</t>
  </si>
  <si>
    <t>\n调查员的梦境偶尔会窥见未来的碎片</t>
  </si>
  <si>
    <t>\n守秘人可能会通过梦境展示一段关于未来的模糊景象。进行梦的预言需要消耗1D4点理智值，且景象可能是破碎或误导性的。每场模组限一次预知。【双面特质】【影响自己】【永久持续】【主动激活，消耗理智】</t>
  </si>
  <si>
    <t>【噩梦具现】</t>
  </si>
  <si>
    <t>\n调查员最深的恐惧有时会突破梦与现实的界限</t>
  </si>
  <si>
    <t>\n当从一场临时疯狂或不定性疯狂（尤其是恐惧症）中恢复后，所恐惧之物的一个微小痕迹或象征物，可能会真的出现在现实环境中。但这也提供了研究恐惧的机会，相关心理学检定获得奖励骰。【减益特质】【影响自己】【永久持续】【触发条件：疯狂恢复】</t>
  </si>
  <si>
    <t>【事业成功】</t>
  </si>
  <si>
    <t>\n调查员在世俗事业上取得了成功</t>
  </si>
  <si>
    <t>\n初始信用评级+10%，且每月稳定收入翻倍。但因此需要花费更多时间处理公务，长期冒险可能导致事业下滑。每场模组一次，可借助事业资源获得帮助。【双面特质】【影响自己】【永久持续】【被动生效】</t>
  </si>
  <si>
    <t>【心理感应】</t>
  </si>
  <si>
    <t>\n调查员能通过接触物品感知其残留的强烈情感或记忆</t>
  </si>
  <si>
    <t>\n通过一次成功的意志检定，可以从一件长期被某人持有或经历重大事件的物品上，感知到一段模糊的情感印象或记忆碎片。每次使用消耗1点理智值。每日限三次使用。【双面特质】【影响自己】【永久持续】【主动激活，消耗1理智】</t>
  </si>
  <si>
    <t>【科学分析】</t>
  </si>
  <si>
    <t>\n调查员能通过系统的科学方法分析物品，获取详尽信息</t>
  </si>
  <si>
    <t>\n通过一次成功的博物学或相关科学检定，可以获得一件自然或人造物品的完整科学信息（成分、年代、工艺等），但无法得知其超自然属性。分析需要专用设备和时间。【增益特质】【影响自己】【永久持续】【主动使用】</t>
  </si>
  <si>
    <t>【快速交际】</t>
  </si>
  <si>
    <t>\n调查员擅长在短时间内与人建立联系并获取关键信息</t>
  </si>
  <si>
    <t>\n在街头、酒吧等非正式场合进行说服或话术以获取信息时，检定获得一个奖励骰。但在正式场合，信用评级检定面临惩罚骰。【增益特质】【影响自己】【永久持续】【被动生效】</t>
  </si>
  <si>
    <t>【言语魅力】</t>
  </si>
  <si>
    <t>\n调查员言谈风趣，举止得体，容易让人产生好感</t>
  </si>
  <si>
    <t>\n基于第一印象的说服和取悦检定获得一个奖励骰。对方更愿意为你提供一些举手之劳。但可能引起嫉妒，相关社交检定面临惩罚骰。【增益特质】【影响自己】【永久持续】【被动生效】</t>
  </si>
  <si>
    <t>【冷门专家】</t>
  </si>
  <si>
    <t>\n调查员掌握着一门极其偏门的知识或手艺</t>
  </si>
  <si>
    <t>\n拥有一项非常冷门的技能（如辨识中世纪纹章、修复古旧磁带），在进行该技能检定时，若技能值低于50%，则按50%计算。此技能在大部分场合无用武之地，但偶尔能提供关键信息。【双面特质】【影响自己】【永久持续】【被动生效】</t>
  </si>
  <si>
    <t>【异色头发】</t>
  </si>
  <si>
    <t>\n调查员拥有如银白、亮粉等极其罕见的发色</t>
  </si>
  <si>
    <t>\n在人群中非常显眼，乔装和潜行（在人群中）检定面临一个惩罚骰。但在追求个性的社交圈中，取悦检定可获得一个奖励骰。每场模组一次，可因独特外表获得特殊关注。【双面特质】【影响自己】【永久持续】【被动生效】</t>
  </si>
  <si>
    <t>【星尘头皮】</t>
  </si>
  <si>
    <t>\n调查员的头皮屑因某种原因会反射出星星点点的光芒</t>
  </si>
  <si>
    <t>\n在光线下的潜行和乔装检定面临一个惩罚骰。但在某些奇幻或艺术场合，可能会引起好奇，获得一个说服的奖励骰。每日一次，可故意制造光点分散注意力。【双面特质】【影响自己】【永久持续】【被动生效】</t>
  </si>
  <si>
    <t>【睚眦必报】</t>
  </si>
  <si>
    <t>\n调查员信奉以牙还牙，对不公会寻求实质性的报复</t>
  </si>
  <si>
    <t>\n当遭受明显的欺辱或不公后，若成功对施加者进行物理报复，可以恢复1D3点理智值。但报复行为可能会触犯法律，信用评级面临下降风险。每场模组限触发三次。【双面特质】【影响自己】【永久持续】【触发条件：遭受不公】</t>
  </si>
  <si>
    <t>【以德报怨】</t>
  </si>
  <si>
    <t>\n调查员拥有超越常人的宽容心，能以善意回应恶意</t>
  </si>
  <si>
    <t>\n当选择原谅并帮助曾伤害过的人时，接下来的说服和信用评级检定获得一个奖励骰。这需要强大的意志力。每场模组限一次，使用后可恢复1D3点理智。【增益特质】【影响自己】【永久持续】【主动选择】</t>
  </si>
  <si>
    <t>【荣誉伤痕】</t>
  </si>
  <si>
    <t>\n调查员的伤疤是其英勇行为的证明，令人肃然起敬</t>
  </si>
  <si>
    <t>\n伤疤被视为荣誉的象征。在与军人、警察或崇尚勇气的人打交道时，信用评级和说服检定获得一个奖励骰。但日常社交中可能引起不适。【增益特质】【影响自己】【永久持续】【被动生效】</t>
  </si>
  <si>
    <t>【狰狞伤痕】</t>
  </si>
  <si>
    <t>\n调查员的伤疤狰狞可怖，让人望而生畏</t>
  </si>
  <si>
    <t>\n伤疤严重影响了面容。所有基于第一印象的社交检定面临一个惩罚骰，但恐吓检定获得一个奖励骰。每场模组一次，可因伤疤自动通过一次恐吓检定。【双面特质】【影响自己】【永久持续】【被动生效】</t>
  </si>
  <si>
    <t>【科学思维】</t>
  </si>
  <si>
    <t>\n调查员是坚定的科学主义者，善于动手实践</t>
  </si>
  <si>
    <t>\n所有科学类技能（化学、物理、生物等）检定获得一个奖励骰。进行手工制作或维修时，成功率增加10%。但对超自然现象的解释总是试图用科学理论，可能错过真相。【增益特质】【影响自己】【永久持续】【被动生效】</t>
  </si>
  <si>
    <t>【异种科技】</t>
  </si>
  <si>
    <t>\n调查员的科学认知超越了时代的界限，能理解非常识科技</t>
  </si>
  <si>
    <t>\n可以尝试使用科学技能来解析、理解甚至初步操作非人种族的科技或设施，检定难度通常很高。每次尝试消耗1D3点理智值，失败可能导致设备损坏。【增益特质】【影响自己】【永久持续】【主动使用】</t>
  </si>
  <si>
    <t>【异形血脉】</t>
  </si>
  <si>
    <t>\n调查员体内流淌着非人的血液，能在夜晚释放力量</t>
  </si>
  <si>
    <t>\n在夜晚，可以变身为一个更强大的形态，力量和体质翻倍（不超过人类上限）。但每次变身需进行理智检定，失败则失去5点理智并陷入临时疯狂。每日限变身一次，持续1小时。【双面特质】【影响自己】【夜晚持续】【主动激活，消耗理智】</t>
  </si>
  <si>
    <t>【秘密成员】</t>
  </si>
  <si>
    <t>\n调查员是一个崇拜某位伟大存在的秘密组织成员</t>
  </si>
  <si>
    <t>\n拥有组织内部的人脉和资源，可以获得一些帮助。但也背负着组织的秘密和使命，一旦背叛，将面临可怕的后果。每场模组一次，可借助组织资源获得信息。【双面特质】【影响自己】【永久持续】【被动生效】</t>
  </si>
  <si>
    <t>【自学天才】</t>
  </si>
  <si>
    <t>\n调查员拥有极强的自学能力，能从任何经历中汲取知识</t>
  </si>
  <si>
    <t>\n模组结束时，除了正常的技能成长检定外，还可以额外进行一次教育成长检定。但正规教育机构的学习效果减半。【增益特质】【影响自己】【单个模组】【被动生效】</t>
  </si>
  <si>
    <t>【体弱多疾】</t>
  </si>
  <si>
    <t>\n调查员天生体弱，容易生病且恢复缓慢</t>
  </si>
  <si>
    <t>\n体质检定面临一个惩罚骰。受到的任何疾病、中毒等异常状态的持续时间翻倍。但对病痛的忍耐力增强，意志检定获得奖励骰。【减益特质】【影响自己】【永久持续】【被动生效】</t>
  </si>
  <si>
    <t>【魔术大师】</t>
  </si>
  <si>
    <t>\n调查员的手指异常灵活，擅长欺骗眼睛的技巧</t>
  </si>
  <si>
    <t>\n妙手和表演（手法魔术）检定获得一个奖励骰。初始表演技能增加10%。但可能过度依赖技巧，真实能力检定面临轻微惩罚。【增益特质】【影响自己】【永久持续】【被动生效】</t>
  </si>
  <si>
    <t>【精准打击】</t>
  </si>
  <si>
    <t>\n调查员擅长在战斗中精准地打击武器或关节</t>
  </si>
  <si>
    <t>\n在进行战技（如缴械、绊摔）或对抗此类攻击时，检定获得一个奖励骰。每场战斗一次，可自动成功一次战技攻击。但普通攻击伤害减少1点。【增益特质】【影响自己】【永久持续】【被动生效】</t>
  </si>
  <si>
    <t>【行动缓慢】</t>
  </si>
  <si>
    <t>\n调查员的移动速度比常人更慢</t>
  </si>
  <si>
    <t>\n基础移动力（MOV）降低1点。闪避和所有基于敏捷的检定面临一个惩罚骰。但因此更注重策略，智力检定获得奖励骰。【减益特质】【影响自己】【永久持续】【被动生效】</t>
  </si>
  <si>
    <t>【膝伤困扰】</t>
  </si>
  <si>
    <t>\n调查员的膝盖曾受重伤，无法进行剧烈运动</t>
  </si>
  <si>
    <t>\n无法参与追逐。所有需要奔跑、跳跃或快速移动的行动，检定面临惩罚骰。但静态技能（如图书馆使用、心理学）检定获得奖励骰。【减益特质】【影响自己】【永久持续】【被动生效】</t>
  </si>
  <si>
    <t>【破产历史】</t>
  </si>
  <si>
    <t>\n调查员曾经历过公开的破产，信誉受损</t>
  </si>
  <si>
    <t>\n初始信用评级减少15%。所有与商业、金融相关的说服和信用评级检定面临一个惩罚骰。但因此更懂节俭，生存技能获得奖励骰。【减益特质】【影响自己】【永久持续】【被动生效】</t>
  </si>
  <si>
    <t>\n调查员曾在残酷的战争中服役，并因此退役</t>
  </si>
  <si>
    <t>\n所有军事相关技能（如步枪、潜行、战术）检定获得一个奖励骰。但战争记忆可能在任何时候触发理智检定，相关场景理智损失增加1点。每场模组一次，可在战场环境中自动通过一次检定。【双面特质】【影响自己】【永久持续】【被动生效】</t>
  </si>
  <si>
    <t>【魔法传承】</t>
  </si>
  <si>
    <t>\n调查员的祖先留下了神秘的法术知识</t>
  </si>
  <si>
    <t>\n初始知晓1D3个神话法术，由守秘人决定其具体内容和是否适合角色背景。学习这些法术的代价仍需支付。每场模组一次，可借助传承获得神秘学加成。【增益特质】【影响自己】【永久持续】【被动生效】</t>
  </si>
  <si>
    <t>【咒文精通】</t>
  </si>
  <si>
    <t>\n调查员对神秘的咒文和符号有着深刻的理解</t>
  </si>
  <si>
    <t>\n学习新的神话法术时，智力检定获得一个奖励骰，所需时间减少25%。但施法时理智损失增加1点，且更容易吸引超自然存在的注意。【增益特质】【影响自己】【永久持续】【被动生效】</t>
  </si>
  <si>
    <t>【胆小畏战】</t>
  </si>
  <si>
    <t>\n调查员天性胆小，遇到危险的第一反应是逃跑</t>
  </si>
  <si>
    <t>\n在战斗轮中，如果理智值低于一半，可以自动成功从战斗中撤退。但无法主动发起攻击，除非通过困难意志检定。每场战斗限一次撤退。【双面特质】【影响自己】【永久持续】【被动生效】</t>
  </si>
  <si>
    <t>【识货眼光】</t>
  </si>
  <si>
    <t>\n调查员眼光毒辣，能迅速识别出物品的价值与用途</t>
  </si>
  <si>
    <t>\n在进行估价或辨识物品普通用途的检定时，获得一个奖励骰。可以大致判断一件物品是否具有潜在的超凡价值。但可能过度估价，相关社交检定面临惩罚骰。【增益特质】【影响自己】【永久持续】【被动生效】</t>
  </si>
  <si>
    <t>【晕血症状】</t>
  </si>
  <si>
    <t>\n调查员患有严重的晕血症</t>
  </si>
  <si>
    <t>\n目睹大量鲜血需进行理智检定，失败则陷入晕厥的临时疯狂状态。因此损失的理智值增加1点。但对血液相关线索的侦查检定获得奖励骰。【减益特质】【影响自己】【永久持续】【触发条件：目睹大量鲜血】</t>
  </si>
  <si>
    <t>【血怒爆发】</t>
  </si>
  <si>
    <t>\n调查员在重伤之下能爆发出更强的破坏力</t>
  </si>
  <si>
    <t>\n每损失5点生命值，造成的所有近战伤害便永久+1。此加值在生命值恢复后依然保留，直至战斗结束。但战斗结束后会因失血陷入虚弱状态。【增益特质】【影响自己】【单次战斗】【被动生效】</t>
  </si>
  <si>
    <t>【尸体麻木】</t>
  </si>
  <si>
    <t>\n调查员因职业或经历而对尸体和鲜血司空见惯</t>
  </si>
  <si>
    <t>\n因目睹普通尸体、血迹而损失的理智值减半（至少为0）。对死亡场景的描述异常冷静，甚至冷酷。但情感相关的社交检定面临惩罚骰。【增益特质】【影响自己】【永久持续】【被动生效】</t>
  </si>
  <si>
    <t>【尸体恐惧】</t>
  </si>
  <si>
    <t>\n调查员对尸体有着病态的恐惧</t>
  </si>
  <si>
    <t>\n只要视线内有尸体，所有技能检定面临一个惩罚骰。目睹尸体时需进行理智检定，失败则必须逃离现场。但对死亡相关知识的智力检定获得奖励骰。【减益特质】【影响自己】【永久持续】【触发条件：视线内有尸体】</t>
  </si>
  <si>
    <t>【巨力体魄】</t>
  </si>
  <si>
    <t>\n调查员拥有如同神话中巨牛般的力量</t>
  </si>
  <si>
    <t>\n力量和体格（SIZ）各增加5点（不超过人类上限）。伤害加成相应提高。但敏捷相关检定面临惩罚骰，且食量是常人的两倍。【增益特质】【影响自己】【永久持续】【被动生效】</t>
  </si>
  <si>
    <t>【迷信思想】</t>
  </si>
  <si>
    <t>\n调查员深受传统迷信思想影响</t>
  </si>
  <si>
    <t>\n额外携带一件护身符。每日一次，当因此失去理智时，可以重掷检定。但因此更容易相信超自然现象，理智检定失败时多失去1点理智。每场模组一次，可因迷信避开危险。【双面特质】【影响自己】【永久持续】【被动生效】</t>
  </si>
  <si>
    <t>【科学验证】</t>
  </si>
  <si>
    <t>\n调查员以揭开超自然现象的真面目为荣</t>
  </si>
  <si>
    <t>\n当成功通过调查证明一个超自然传说或现象实为人为或自然现象后，可以恢复1D6点理智值。每模组限一次。但对真实超自然现象的初始理智损失增加1点。【增益特质】【影响自己】【单个模组】【触发条件：证明超自然为假】</t>
  </si>
  <si>
    <t>【高度共情】</t>
  </si>
  <si>
    <t>\n调查员拥有极强的共情能力，能理解他人的感受</t>
  </si>
  <si>
    <t>\n说服和心理学技能增加15%。与深入交谈的NPC更容易产生信任与好感。但容易受到他人情绪影响，意志检定面临惩罚骰。【增益特质】【影响自己】【永久持续】【被动生效】</t>
  </si>
  <si>
    <t>【过度同情】</t>
  </si>
  <si>
    <t>\n调查员的同情心过于旺盛，见不得他人受苦</t>
  </si>
  <si>
    <t>\n说服技能增加30%。每日一次，当捐献大量金钱或物品帮助一个真正需要帮助的人后，可以恢复1点理智值。但容易被利用，信用评级面临下降风险。【增益特质】【影响自己】【每日一次】【主动帮助】</t>
  </si>
  <si>
    <t>【忠诚仆从】</t>
  </si>
  <si>
    <t>\n调查员拥有一位绝对忠诚的仆从（管家、助手等）</t>
  </si>
  <si>
    <t>\n这位仆从会处理日常事务，并在冒险中提供力所能及的帮助（如收集信息、看守营地）。他/她绝不会主动背叛。但仆从可能成为敌人的目标。【增益特质】【影响自己】【永久持续】【被动生效】</t>
  </si>
  <si>
    <t>【贵人相助】</t>
  </si>
  <si>
    <t>\n调查员总能在关键时刻遇到愿意伸出援手的陌生人</t>
  </si>
  <si>
    <t>\n每日一次，当在社交互动中幸运检定成功时，一位原本中立的NPC会转变为友好态度，并为你提供一次性的帮助。但可能因此欠下人情债。【增益特质】【影响自己】【每日一次】【触发条件：幸运成功】</t>
  </si>
  <si>
    <t>【意外遗产】</t>
  </si>
  <si>
    <t>\n调查员意外得知自己拥有一笔未曾料想的遗产</t>
  </si>
  <si>
    <t>\n初始信用评级永久增加1D10%。但这笔财富的来源可能存在问题，会引来觊觎者。每场模组可能遭遇一次与遗产相关的麻烦。【双面特质】【影响自己】【永久持续】【被动生效】</t>
  </si>
  <si>
    <t>【臂力虚弱】</t>
  </si>
  <si>
    <t>\n调查员的手臂力量远逊于常人</t>
  </si>
  <si>
    <t>\n所有近战伤害减少1D3点（最低为0）。力量检定面临一个惩罚骰。但因此更注重技巧，敏捷检定获得奖励骰。【减益特质】【影响自己】【永久持续】【被动生效】</t>
  </si>
  <si>
    <t>【视力依赖】</t>
  </si>
  <si>
    <t>\n调查员视力不佳，严重依赖眼镜</t>
  </si>
  <si>
    <t>\n如果眼镜在冒险中损坏或丢失，所有基于视力的技能检定（如侦查、射击）将面临一个惩罚骰，直到获得替换品。但对听觉依赖增强，聆听检定获得奖励骰。【减益特质】【影响自己】【永久持续】【触发条件：眼镜损坏】</t>
  </si>
  <si>
    <t>【礼仪得体】</t>
  </si>
  <si>
    <t>\n调查员始终保持着优雅得体的礼仪</t>
  </si>
  <si>
    <t>\n初始说服和信用评级技能增加10%。在上流社会社交场合中如鱼得水。但在底层社会，社交检定面临惩罚骰。【增益特质】【影响自己】【永久持续】【被动生效】</t>
  </si>
  <si>
    <t>【书痴本性】</t>
  </si>
  <si>
    <t>\n调查员是个不折不扣的书迷</t>
  </si>
  <si>
    <t>\n在图书馆使用和阅读书籍（非神话原典）时，检定获得一个奖励骰。可能因沉迷阅读而忽略周围环境，侦查检定面临惩罚骰。【双面特质】【影响自己】【永久持续】【被动生效】</t>
  </si>
  <si>
    <t>【出众容貌】</t>
  </si>
  <si>
    <t>\n调查员拥有令人艳羡的英俊/美丽外貌</t>
  </si>
  <si>
    <t>\n外貌+10。NPC对初始态度普遍提升一级（例如从中立变为友好）。在基于外貌的社交中，拥有天然优势。但可能引起嫉妒，相关社交检定面临惩罚骰。【增益特质】【影响自己】【永久持续】【被动生效】</t>
  </si>
  <si>
    <t>【无味体质】</t>
  </si>
  <si>
    <t>\n调查员的体味极其轻微，难以被追踪</t>
  </si>
  <si>
    <t>\n潜行（避免被生物嗅觉发现）和追踪（避免留下气味踪迹）检定获得一个奖励骰。但使用香水或气味标记时效果减半。【增益特质】【影响自己】【永久持续】【被动生效】</t>
  </si>
  <si>
    <t>【药物成瘾】</t>
  </si>
  <si>
    <t>\n调查员依赖某种精神类药物维持正常状态</t>
  </si>
  <si>
    <t>\n若连续24小时未服用药物，将开始产生幻觉（守秘人可要求进行意志检定以分辨现实），且所有智力相关技能检定面临惩罚骰。但药物作用下，意志检定获得临时加成。【减益特质】【影响自己】【永久持续】【触发条件：未服药】</t>
  </si>
  <si>
    <t>【幻觉困扰】</t>
  </si>
  <si>
    <t>\n调查员在理智受创时容易产生幻觉</t>
  </si>
  <si>
    <t>\n每当因任何原因损失理智值时，有50%的几率同时产生与损失原因相关的逼真幻觉，持续1D10轮。但对幻觉的辨识检定获得奖励骰。【减益特质】【影响自己】【永久持续】【触发条件：损失理智】</t>
  </si>
  <si>
    <t>【剑术专精】</t>
  </si>
  <si>
    <t>\n调查员是使用剑类武器的专家</t>
  </si>
  <si>
    <t>\n使用任何剑类冷兵器时，攻击检定获得一个奖励骰。但其他武器技能检定面临惩罚骰，且对枪械有排斥心理。【增益特质】【影响自己】【永久持续】【被动生效】</t>
  </si>
  <si>
    <t>【顽强意志】</t>
  </si>
  <si>
    <t>\n调查员对痛苦的忍耐力极强</t>
  </si>
  <si>
    <t>\n当生命值降至0时，不会立即昏迷，可以继续行动1轮。在该轮结束后，必须进行体质检定，失败则昏迷。每场模组限一次，使用后所有属性临时-5。【增益特质】【影响自己】【永久持续】【触发条件：生命值降至0】</t>
  </si>
  <si>
    <t>【坚硬脚掌】</t>
  </si>
  <si>
    <t>\n调查员的脚底布满老茧，对疼痛不敏感</t>
  </si>
  <si>
    <t>\n免疫来自踩踏地面陷阱（如图钉、荆棘）的伤害，或此类伤害永久减少1点（至少为0）。但对温度感知迟钝，可能忽略环境危险信号。【增益特质】【影响自己】【永久持续】【被动生效】</t>
  </si>
  <si>
    <t>【地形适应】</t>
  </si>
  <si>
    <t>\n调查员在各种地形上都能保持灵敏</t>
  </si>
  <si>
    <t>\n在进行攀爬、跳跃或在复杂地形上移动的检定时，获得一个奖励骰。但在平坦规整地形上移动时，移动速度减少1米。【双面特质】【影响自己】【永久持续】【被动生效】</t>
  </si>
  <si>
    <t>【伤害减免】</t>
  </si>
  <si>
    <t>\n调查员的筋骨异常强健，能有效抵御伤害</t>
  </si>
  <si>
    <t>\n你从所有物理攻击中受到的伤害减少3点（至少为1）。但对魔法或超自然伤害无效。每场战斗一次，可自动抵抗一次非致命伤害。【增益特质】【影响自己】【永久持续】【被动生效】</t>
  </si>
  <si>
    <t>【矮小体型】</t>
  </si>
  <si>
    <t>\n调查员体型异常矮小</t>
  </si>
  <si>
    <t>\n你的体型（SIZ）减半（至少为15）。你可以进入常人无法通过的狭窄空间，但移动力（MOV）减少2点，且容易遭受社会歧视，信用评级检定面临惩罚骰。【双面特质】【影响自己】【永久持续】【被动生效】</t>
  </si>
  <si>
    <t>【高大体型】</t>
  </si>
  <si>
    <t>\n调查员体型异常高大</t>
  </si>
  <si>
    <t>\n你的体型（SIZ）增加50%（向上取整）。你的伤害加成提高，但移动力（MOV）减少1点，且难以通过低矮的门廊等结构。在需要威慑的场合，恐吓检定获得奖励骰。【双面特质】【影响自己】【永久持续】【被动生效】</t>
  </si>
  <si>
    <t>【乳糖不耐】</t>
  </si>
  <si>
    <t>\n调查员的身体无法分解乳糖</t>
  </si>
  <si>
    <t>\n食用奶制品后，需进行体质检定，失败则陷入腹泻和虚弱状态1D4小时（所有属性临时-5）。但对其他食物中毒的抵抗获得奖励骰。【减益特质】【影响自己】【永久持续】【触发条件：食用奶制品】</t>
  </si>
  <si>
    <t>【乳糖依赖】</t>
  </si>
  <si>
    <t>\n调查员的身体依赖奶制品中的某种成分</t>
  </si>
  <si>
    <t>\n若24小时内未食用奶制品，所有技能检定面临一个惩罚骰，直到你再次摄入。但饮用奶制品后，接下来4小时内体质检定获得奖励骰。【双面特质】【影响自己】【永久持续】【被动生效】</t>
  </si>
  <si>
    <t>【乳汁依赖】</t>
  </si>
  <si>
    <t>\n调查员对母乳有着异乎寻常的心理依赖</t>
  </si>
  <si>
    <t>\n每日若饮用新鲜人乳，接下来12小时内体质检定获得一个奖励骰。此需求会带来巨大的社交和伦理困境，相关社交检定面临惩罚骰。【双面特质】【影响自己】【每日一次】【主动满足需求】</t>
  </si>
  <si>
    <t>【过敏体质】</t>
  </si>
  <si>
    <t>\n调查员是过敏体质，对多种物质敏感</t>
  </si>
  <si>
    <t>\n你受到的中毒、疾病等异常状态的效果持续时间翻倍。对抗过敏源的体质检定面临惩罚骰。但对环境变化敏感，侦查检定获得奖励骰。【减益特质】【影响自己】【永久持续】【被动生效】</t>
  </si>
  <si>
    <t>【记忆衰退】</t>
  </si>
  <si>
    <t>\n调查员患有严重的健忘症</t>
  </si>
  <si>
    <t>\n灵感（用于回忆）和图书馆使用（用于记忆阅读内容）检定面临一个惩罚骰。你会忘记重要的线索，需要他人提醒。但对恐怖记忆的遗忘也更快，相关理智损失减少1点。【双面特质】【影响自己】【永久持续】【被动生效】</t>
  </si>
  <si>
    <t>【内分泌失调】</t>
  </si>
  <si>
    <t>\n调查员内分泌失调，导致一系列生理问题</t>
  </si>
  <si>
    <t>\n你难以入睡，长期疲劳。所有需要集中注意力的技能检定面临一个惩罚骰。外貌降低5点。但情绪波动可能带来灵感，每日一次可获得灵感奖励骰。【减益特质】【影响自己】【永久持续】【被动生效】</t>
  </si>
  <si>
    <t>【昏睡触发】</t>
  </si>
  <si>
    <t>\n调查员会在极度紧张或失败时突然昏睡</t>
  </si>
  <si>
    <t>\n当你在任何检定中投出大失败时，你会立即陷入不可抗拒的昏睡状态，持续1D10小时。但在昏睡后醒来时，理智值恢复1D3点。【双面特质】【影响自己】【永久持续】【触发条件：大失败】</t>
  </si>
  <si>
    <t>【水分依赖】</t>
  </si>
  <si>
    <t>\n调查员新陈代谢异常，需大量饮水</t>
  </si>
  <si>
    <t>\n若连续4小时未饮水，所有技能检定面临一个惩罚骰。在干旱环境中，你需要消耗双倍的水资源。但对脱水的耐受性增强，生存检定获得奖励骰。【减益特质】【影响自己】【永久持续】【被动生效】</t>
  </si>
  <si>
    <t>【和平主义】</t>
  </si>
  <si>
    <t>\n调查员坚决反对造成致命伤害</t>
  </si>
  <si>
    <t>\n你的任何攻击都无法将生命值高于1的目标的生命值降至0以下（即总会给目标留1点生命值）。你不会因克制杀戮而损失理智。每场模组一次，可因坚持原则恢复1D3点理智。【增益特质】【影响自己】【永久持续】【被动生效】</t>
  </si>
  <si>
    <t>【哮喘发作】</t>
  </si>
  <si>
    <t>\n调查员患有严重的哮喘病</t>
  </si>
  <si>
    <t>\n当你在任何检定中投出大失败时，会触发哮喘发作，导致你窒息并无法行动，持续1D4轮。但平时对空气质量敏感，能提前察觉环境危险。【减益特质】【影响自己】【永久持续】【触发条件：大失败】</t>
  </si>
  <si>
    <t>【身体畸形】</t>
  </si>
  <si>
    <t>\n调查员的身体存在先天性的严重畸形</t>
  </si>
  <si>
    <t>\n初始外貌固定为15。所有社交技能（说服、取悦、交际）减少30%。但对畸形相关的恐怖场景免疫，相关理智损失减半。【减益特质】【影响自己】【永久持续】【被动生效】</t>
  </si>
  <si>
    <t>【愈合障碍】</t>
  </si>
  <si>
    <t>\n调查员因基因缺陷导致伤口愈合能力极差</t>
  </si>
  <si>
    <t>\n你通过自然恢复或急救恢复的生命值减半（至少恢复1点）。医学手术对你效果不佳。但对疼痛麻木，意志检定获得奖励骰。【减益特质】【影响自己】【永久持续】【被动生效】</t>
  </si>
  <si>
    <t>【失眠困扰】</t>
  </si>
  <si>
    <t>\n调查员长期被失眠困扰</t>
  </si>
  <si>
    <t>\n你的意志检定面临一个惩罚骰。每日结束时，需进行体质检定，失败则因疲劳失去1点生命值。但夜间警觉性高，聆听检定获得奖励骰。【双面特质】【影响自己】【永久持续】【被动生效】</t>
  </si>
  <si>
    <t>【无需睡眠】</t>
  </si>
  <si>
    <t>\n调查员不需要睡眠</t>
  </si>
  <si>
    <t>\n你免疫因睡眠剥夺导致的所有负面效果。但你因此失去了梦境，也无法通过梦的解析等特质获益。每日需要额外4小时安静休息。【增益特质】【影响自己】【永久持续】【被动生效】</t>
  </si>
  <si>
    <t>【完全失聪】</t>
  </si>
  <si>
    <t>\n调查员完全失聪</t>
  </si>
  <si>
    <t>\n你的聆听技能固定为1%。你通过唇语和观察进行交流，在需要听力的场合自动失败。但对视觉线索异常敏感，侦查检定获得奖励骰。【减益特质】【影响自己】【永久持续】【被动生效】</t>
  </si>
  <si>
    <t>【听力严重受损】</t>
  </si>
  <si>
    <t>\n调查员有严重的听力障碍</t>
  </si>
  <si>
    <t>\n你的聆听检定永远面临一个惩罚骰。你需要助听器或大声说话才能正常交流。但对声波攻击免疫，相关体质检定获得奖励骰。【减益特质】【影响自己】【永久持续】【被动生效】</t>
  </si>
  <si>
    <t>【精力旺盛】</t>
  </si>
  <si>
    <t>\n调查员只需要极短的睡眠就能恢复精力</t>
  </si>
  <si>
    <t>\n你每日只需要2小时的睡眠即可视为得到充分休息。长期冒险中的耐力检定获得一个奖励骰。但静坐困难，长时间静止的检定面临惩罚骰。【增益特质】【影响自己】【永久持续】【被动生效】</t>
  </si>
  <si>
    <t>【学习迅速】</t>
  </si>
  <si>
    <t>\n调查员学习新知识的速度远超常人</t>
  </si>
  <si>
    <t>\n学习常规技能（非神话）所需的时间减半。但知识掌握不够扎实，技能使用检定时面临轻微惩罚。【增益特质】【影响自己】【永久持续】【被动生效】</t>
  </si>
  <si>
    <t>【自愈能力】</t>
  </si>
  <si>
    <t>\n调查员拥有远超常人的恢复能力</t>
  </si>
  <si>
    <t>\n在休息状态下，你每小时可以恢复1点生命值。此效果无法在战斗或剧烈活动中生效。但新陈代谢过快，需要更多食物维持。【增益特质】【影响自己】【永久持续】【被动生效】</t>
  </si>
  <si>
    <t>【速读能力】</t>
  </si>
  <si>
    <t>\n调查员阅读速度极快，但理解可能不深</t>
  </si>
  <si>
    <t>\n阅读非神话书籍所需时间缩短75%。但通过阅读进行知识或教育成长检定时，成功率减半。细节记忆困难，相关智力检定面临惩罚骰。【双面特质】【影响自己】【永久持续】【被动生效】</t>
  </si>
  <si>
    <t>【威慑气息】</t>
  </si>
  <si>
    <t>\n调查员周身散发着生人勿近的危险气息</t>
  </si>
  <si>
    <t>\n陌生人和动物不会主动挑衅或攻击你。但在需要展现亲和力的社交场合，说服和取悦检定面临惩罚骰。每场模组一次，可自动通过一次恐吓检定。【双面特质】【影响自己】【永久持续】【被动生效】</t>
  </si>
  <si>
    <t>【人性锚点】</t>
  </si>
  <si>
    <t>\n调查员的人性根基异常稳固</t>
  </si>
  <si>
    <t>\n当你因理智归零而本应变为怪物或由守秘人接管时，你可以进行一次极限意志检定。若成功，你保持人类形态与自我1D10轮，之后依然会堕落。每场模组限一次。【增益特质】【影响自己】【单个模组】【触发条件：理智归零】</t>
  </si>
  <si>
    <t>【负重专家】</t>
  </si>
  <si>
    <t>\n调查员是打包和负重的大师</t>
  </si>
  <si>
    <t>\n你可以携带体格（SIZ） x 2 点数的物品而不影响移动。你打包行李所需的时间减半。但对物品过度依赖，失去装备时技能检定面临惩罚骰。【增益特质】【影响自己】【永久持续】【被动生效】</t>
  </si>
  <si>
    <t>【强健体魄】</t>
  </si>
  <si>
    <t>\n调查员对疾病和毒素有着极强的抵抗力</t>
  </si>
  <si>
    <t>\n你对抗疾病、中毒的体质检定获得一个奖励骰。所有异常状态（如晕眩、恶心）的持续时间减半。但对魔法效果抵抗较差，相关意志检定面临惩罚骰。【增益特质】【影响自己】【永久持续】【被动生效】</t>
  </si>
  <si>
    <t>【情感淡漠】</t>
  </si>
  <si>
    <t>\n调查员情感淡漠，难以被常人之情所动</t>
  </si>
  <si>
    <t>\n你不会因为杀戮（非虐杀）、见证死亡或亲友亡故而损失理智值。但你无法通过艺术、友情等积极方式恢复理智。社交技能检定面临惩罚骰。【双面特质】【影响自己】【永久持续】【被动生效】</t>
  </si>
  <si>
    <t>【学习缓慢】</t>
  </si>
  <si>
    <t>\n调查员学习和理解新知识的速度较慢</t>
  </si>
  <si>
    <t>\n学习任何新技能或进行教育成长检定所需的时间翻倍。但知识掌握更牢固，技能使用检定时获得奖励骰。【减益特质】【影响自己】【永久持续】【被动生效】</t>
  </si>
  <si>
    <t>【浓烈体味】</t>
  </si>
  <si>
    <t>\n调查员拥有浓重且独特的体味，难以掩盖</t>
  </si>
  <si>
    <t>\n潜行（通过嗅觉）和追踪（留下气味）检定面临惩罚骰。但你的气味可能被某些动物或特殊存在所识别或喜爱，相关社交检定获得奖励骰。【双面特质】【影响自己】【永久持续】【被动生效】</t>
  </si>
  <si>
    <t>【徒步信仰】</t>
  </si>
  <si>
    <t>\n调查员对现代交通工具抱有强烈的不信任感</t>
  </si>
  <si>
    <t>\n你拒绝使用任何形式的机动交通工具。长途旅行时，你总是选择步行，这会使旅行时间大大增加，但你的生存和导航检定获得奖励骰。每场模组一次，可因徒步发现隐藏线索。【双面特质】【影响自己】【永久持续】【被动生效】</t>
  </si>
  <si>
    <t>【快速代谢】</t>
  </si>
  <si>
    <t>\n调查员的新陈代谢速度异常快</t>
  </si>
  <si>
    <t>\n所有药物、毒药和食物的效果持续时间减半。你需要摄入比常人更多的食物来维持能量。但身体恢复速度快，自然生命恢复加倍。【双面特质】【影响自己】【永久持续】【被动生效】</t>
  </si>
  <si>
    <t>【情绪不稳】</t>
  </si>
  <si>
    <t>\n调查员的情绪如同过山车，极易受理智波动影响</t>
  </si>
  <si>
    <t>\n每当损失理智值时，你有50%的几率陷入一种随机的极端情绪（如狂怒、歇斯底里、极度沮丧）1D10分钟。但在情绪爆发时，相关技能检定获得临时加成。【双面特质】【影响自己】【永久持续】【触发条件：损失理智】</t>
  </si>
  <si>
    <t>【愈合困难】</t>
  </si>
  <si>
    <t>\n调查员的身体几乎丧失了自然愈合的能力</t>
  </si>
  <si>
    <t>\n你无法通过自然休息恢复生命值。所有生命恢复必须依赖急救或医学技能。但对痛苦的耐受力强，意志检定获得奖励骰。【减益特质】【影响自己】【永久持续】【被动生效】</t>
  </si>
  <si>
    <t>【易成瘾体质】</t>
  </si>
  <si>
    <t>\n调查员极易对物质或行为产生依赖</t>
  </si>
  <si>
    <t>\n对抗物质成瘾或不良习惯的意志检定面临惩罚骰。你比常人更容易陷入各种依赖。但依赖状态下，相关技能检定可能获得临时加成。【减益特质】【影响自己】【永久持续】【被动生效】</t>
  </si>
  <si>
    <t>【现代无知】</t>
  </si>
  <si>
    <t>\n调查员完全不了解现代社会的常识</t>
  </si>
  <si>
    <t>\n你无法进行诸如使用家用电器、理解流行文化等现代生活相关的智力检定。但在原始或古老知识方面，你可能拥有优势，相关检定获得奖励骰。【双面特质】【影响自己】【永久持续】【被动生效】</t>
  </si>
  <si>
    <t>【末日信念】</t>
  </si>
  <si>
    <t>\n调查员坚信世界末日即将或已经到来</t>
  </si>
  <si>
    <t>\n你不会因世界毁灭相关的预言或景象而损失理智值。但你可能会采取一些极端行为来迎接末日，社交检定面临惩罚骰。【双面特质】【影响自己】【永久持续】【被动生效】</t>
  </si>
  <si>
    <t>【环境混乱】</t>
  </si>
  <si>
    <t>\n调查员的生活和工作环境总是混乱不堪</t>
  </si>
  <si>
    <t>\n在杂乱的环境中进行侦查或搜索检定时，面临惩罚骰。但你自己的物品只有你自己能快速找到，相关妙手检定获得奖励骰。【双面特质】【影响自己】【永久持续】【被动生效】</t>
  </si>
  <si>
    <t>【整理强迫】</t>
  </si>
  <si>
    <t>\n调查员无法忍受无序，必须将一切整理整齐</t>
  </si>
  <si>
    <t>\n你需要花费额外的时间整理物品和环境。在整洁有序的环境下，你的灵感检定可获得奖励骰。但在混乱环境中，所有检定面临惩罚骰。【双面特质】【影响自己】【永久持续】【被动生效】</t>
  </si>
  <si>
    <t>【瘦弱体魄】</t>
  </si>
  <si>
    <t>\n调查员病态地骨瘦如柴，极为脆弱</t>
  </si>
  <si>
    <t>\n你从所有物理攻击中受到的伤害翻倍。但你的体格（SIZ）视为比实际低5点（用于躲藏、通过狭窄缝隙），潜行检定获得奖励骰。【双面特质】【影响自己】【永久持续】【被动生效】</t>
  </si>
  <si>
    <t>【杀戮激励】</t>
  </si>
  <si>
    <t>\n调查员在杀戮中能获得短暂的提升</t>
  </si>
  <si>
    <t>\n在战斗中，每当你使一个敌人失去战斗力，你在本场战斗中的下一个技能检定获得一个奖励骰。此效果可叠加，最高3次。但战斗结束后会因血腥而恶心，体质检定面临惩罚骰。【双面特质】【影响自己】【单次战斗】【触发条件：击败敌人】</t>
  </si>
  <si>
    <t>【欺诈大师】</t>
  </si>
  <si>
    <t>\n调查员是天生的谎言家</t>
  </si>
  <si>
    <t>\n进行欺诈、妙手或潜行（用于行窃）检定时，获得一个奖励骰。但你的承诺很难被人相信，信用评级检定面临惩罚骰。【双面特质】【影响自己】【永久持续】【被动生效】</t>
  </si>
  <si>
    <t>【濒死爆发】</t>
  </si>
  <si>
    <t>\n调查员在濒死时能爆发出惊人的潜能</t>
  </si>
  <si>
    <t>\n当你的生命值降至0或以下时，你立即获得等同于你意志（POW）点数的临时生命值，并且下一轮的所有行动检定获得一个奖励骰。此效果每模组限一次，使用后所有属性临时-5。【增益特质】【影响自己】【单个模组】【触发条件：生命值降至0】</t>
  </si>
  <si>
    <t>【甜食慰藉】</t>
  </si>
  <si>
    <t>\n甜食是调查员的精神慰藉</t>
  </si>
  <si>
    <t>\n食用高质量的甜食后，你可以恢复1D3点理智值。每24小时限一次。但对甜食依赖，未食用时意志检定面临轻微惩罚。【增益特质】【影响自己】【每日一次】【主动食用甜食】</t>
  </si>
  <si>
    <t>【深度睡眠】</t>
  </si>
  <si>
    <t>\n调查员一旦入睡便极难被唤醒</t>
  </si>
  <si>
    <t>\n从睡眠中被唤醒需要进行一次极难的意志检定或承受强烈物理刺激。普通的声响和摇晃无法唤醒你。但睡眠质量极高，休息时生命和理智恢复加倍。【双面特质】【影响自己】【永久持续】【被动生效】</t>
  </si>
  <si>
    <t>【神学知识】</t>
  </si>
  <si>
    <t>\n调查员对各大宗教的神学典故和历史了如指掌</t>
  </si>
  <si>
    <t>\n在进行与已知宗教历史、典籍、仪式相关的知识检定时，你无需检定即可知晓常见信息，复杂信息检定获得奖励骰。但对异教知识排斥，相关检定面临惩罚骰。【增益特质】【影响自己】【永久持续】【被动生效】</t>
  </si>
  <si>
    <t>【药物抗性】</t>
  </si>
  <si>
    <t>\n调查员的身体对药物和毒素反应迟钝</t>
  </si>
  <si>
    <t>\n所有药物（包括治疗药）和毒药对你效果减半，或需要双倍剂量才能生效。但酒精耐受度高，饮酒相关检定获得奖励骰。【双面特质】【影响自己】【永久持续】【被动生效】</t>
  </si>
  <si>
    <t>【强大消化】</t>
  </si>
  <si>
    <t>\n调查员的消化系统强大到可以处理任何有机物</t>
  </si>
  <si>
    <t>\n你可以从任何能被称之为有机物的东西中汲取营养（包括腐烂食物、树皮等），免疫因此导致的疾病和中毒。但对精致食物享受减少，相关社交检定面临惩罚骰。【增益特质】【影响自己】【永久持续】【被动生效】</t>
  </si>
  <si>
    <t>【极端洁癖】</t>
  </si>
  <si>
    <t>\n调查员对洁净有着近乎偏执的要求</t>
  </si>
  <si>
    <t>\n你无法在肮脏、杂乱的环境中有效行动，所有技能检定面临惩罚骰。保持绝对洁净可以让你恢复1点理智值，每日一次。但对污染敏感，能提前察觉卫生隐患。【双面特质】【影响自己】【永久持续】【被动生效】</t>
  </si>
  <si>
    <t>【流浪天性】</t>
  </si>
  <si>
    <t>\n调查员以流浪为生活方式，视破旧为荣耀</t>
  </si>
  <si>
    <t>\n你的初始信用评级减半。生存和潜行（在户外）检定获得奖励骰。但在正式社交场合，信用评级和说服检定面临惩罚骰。【双面特质】【影响自己】【永久持续】【被动生效】</t>
  </si>
  <si>
    <t>【睡眠需求】</t>
  </si>
  <si>
    <t>\n调查员永远处于睡眠不足的状态</t>
  </si>
  <si>
    <t>\n如果你的每日睡眠时间少于8小时，所有技能检定面临一个惩罚骰。但睡眠充足时，灵感检定获得奖励骰。【减益特质】【影响自己】【永久持续】【被动生效】</t>
  </si>
  <si>
    <t>【专精成长】</t>
  </si>
  <si>
    <t>\n调查员的天赋极度专一</t>
  </si>
  <si>
    <t>\n模组结束时，你只能选择一项技能进行成长检定，但此次检定成功率加倍。其他技能无法进行成长检定。【双面特质】【影响自己】【单个模组】【被动生效】</t>
  </si>
  <si>
    <t>【疼痛敏感】</t>
  </si>
  <si>
    <t>\n调查员对疼痛的感知是常人的数倍</t>
  </si>
  <si>
    <t>\n每当受到伤害时，需进行一次体质检定，失败则因剧痛而本轮行动减值（如惩罚骰）。但对疼痛的敏感也让你更警觉，侦查检定获得奖励骰。【双面特质】【影响自己】【永久持续】【触发条件：受到伤害】</t>
  </si>
  <si>
    <t>【肠胃敏感】</t>
  </si>
  <si>
    <t>\n调查员在精神紧张时会产生剧烈的肠胃反应</t>
  </si>
  <si>
    <t>\n每当损失理智值时，你有50%的几率陷入腹泻或腹痛状态，持续1D4小时（所有属性临时-5）。但对食物安全的直觉增强，相关侦查检定获得奖励骰。【双面特质】【影响自己】【永久持续】【触发条件：损失理智】</t>
  </si>
  <si>
    <t>【素食主义】</t>
  </si>
  <si>
    <t>\n调查员是严格的素食者，反对杀害动物</t>
  </si>
  <si>
    <t>\n食用肉类或目睹动物被杀害需进行理智检定。你不会因克制肉食而损失理智。每场模组一次，可因坚持原则恢复1点理智。【增益特质】【影响自己】【永久持续】【被动生效】</t>
  </si>
  <si>
    <t>【纵火冲动】</t>
  </si>
  <si>
    <t>\n调查员在理智受创时会产生无法抑制的纵火冲动</t>
  </si>
  <si>
    <t>\n陷入临时疯狂时，你有高几率通过纵火来寻求慰藉，点燃火焰可以使你恢复1D3点理智值，但后果严重。每场模组限触发一次。【减益特质】【影响自己】【临时疯狂期间】【触发条件：陷入疯狂】</t>
  </si>
  <si>
    <t>【负重强化】</t>
  </si>
  <si>
    <t>\n调查员的背部与腿部力量惊人</t>
  </si>
  <si>
    <t>\n背负队友或重物时，不因此承受任何技能检定的惩罚骰。你的力量检定在涉及抬举、背负时获得奖励骰。但敏捷相关检定面临轻微惩罚。【增益特质】【影响自己】【永久持续】【被动生效】</t>
  </si>
  <si>
    <t>【状态评估】</t>
  </si>
  <si>
    <t>\n调查员能以一种近乎数字化的方式评估目标状态</t>
  </si>
  <si>
    <t>\n你可以通过观察，大致估算一个可见目标的相对生命状态（如满血、半血、濒死），精确到25%的区间。每日限使用三次。【增益特质】【影响可见目标】【永久持续】【主动使用】</t>
  </si>
  <si>
    <t>【耐饿体质】</t>
  </si>
  <si>
    <t>\n调查员能够忍受长时间的饥饿</t>
  </si>
  <si>
    <t>\n你可以在不进食的情况下多坚持3天而不受惩罚。对抗饥饿导致的体质检定获得奖励骰。但对美食的享受减少，相关社交检定面临惩罚骰。【双面特质】【影响自己】【永久持续】【被动生效】</t>
  </si>
  <si>
    <t>【城市跑酷】</t>
  </si>
  <si>
    <t>\n调查员精通城市环境下的快速移动技巧</t>
  </si>
  <si>
    <t>\n跳跃、攀爬和在复杂地形上移动的检定获得一个奖励骰。但在自然环境中，相关运动检定面临惩罚骰。【双面特质】【影响自己】【永久持续】【被动生效】</t>
  </si>
  <si>
    <t>【食人经历】</t>
  </si>
  <si>
    <t>\n调查员曾有过食人经历，并已克服了心理障碍</t>
  </si>
  <si>
    <t>\n你不会因食用奇怪或禁忌的肉食而损失理智值。但此秘密一旦暴露，将带来毁灭性后果，信用评级永久减半。【双面特质】【影响自己】【永久持续】【被动生效】</t>
  </si>
  <si>
    <t>【膝伤复发】</t>
  </si>
  <si>
    <t>\n调查员的膝盖曾受过重伤，留下了后遗症</t>
  </si>
  <si>
    <t>\n攀爬、跳跃和闪避检定面临惩罚骰。当这些技能检定大失败时，旧伤复发，你本轮无法移动。但对疼痛的忍耐力增强，意志检定获得奖励骰。【减益特质】【影响自己】【永久持续】【触发条件：大失败】</t>
  </si>
  <si>
    <t>【医疗抵抗】</t>
  </si>
  <si>
    <t>\n调查员的身体对常规医疗手段没有反应</t>
  </si>
  <si>
    <t>\n急救技能无法对你生效。只有医学手术或超自然手段才能恢复你的生命值。但对疾病和毒素的抵抗力增强，相关体质检定获得奖励骰。【双面特质】【影响自己】【永久持续】【被动生效】</t>
  </si>
  <si>
    <t>【愈合缓慢】</t>
  </si>
  <si>
    <t>\n调查员的伤口愈合速度极为缓慢</t>
  </si>
  <si>
    <t>\n你通过自然休息恢复的生命值减半（至少1点）。急救和医学效果持续时间减半。但对疼痛麻木，意志检定获得奖励骰。【减益特质】【影响自己】【永久持续】【被动生效】</t>
  </si>
  <si>
    <t>【阅读厌恶】</t>
  </si>
  <si>
    <t>\n调查员对阅读感到生理性不适</t>
  </si>
  <si>
    <t>\n进行阅读或图书馆使用检定时，若失败，你会因精神疲劳而陷入昏睡1D4小时。但通过其他方式学习时，教育成长检定获得奖励骰。【双面特质】【影响自己】【永久持续】【触发条件：阅读失败】</t>
  </si>
  <si>
    <t>【诚实本性】</t>
  </si>
  <si>
    <t>\n调查员完全不会说谎，一说谎就会暴露</t>
  </si>
  <si>
    <t>\n你进行欺诈检定自动失败，且会被立即识破。但你因此获得他人的绝对信任，说服检定在需要真诚时获得奖励骰。每场模组一次，可因诚实获得关键信息。【双面特质】【影响自己】【永久持续】【被动生效】</t>
  </si>
  <si>
    <t>【囤积安全】</t>
  </si>
  <si>
    <t>\n调查员必须将背包和储物空间塞满才有安全感</t>
  </si>
  <si>
    <t>\n当你的背包和主要储物空间被物品完全填满时，你可以恢复1点理智值。此效果每日限一次。但负重过多会导致移动力减少1点。【双面特质】【影响自己】【每日一次】【主动填满背包】</t>
  </si>
  <si>
    <t>【方向感差】</t>
  </si>
  <si>
    <t>\n调查员的方向感极差</t>
  </si>
  <si>
    <t>\n你无法进行导航检定，在陌生环境中总是迷路。你需要依赖他人或标志物才能找到方向。但对局部环境的观察力增强，侦查检定获得奖励骰。【减益特质】【影响自己】【永久持续】【被动生效】</t>
  </si>
  <si>
    <t>【阅读困难】</t>
  </si>
  <si>
    <t>\n调查员难以识别和理解文字</t>
  </si>
  <si>
    <t>\n你阅读任何文字的速度是常人的四分之一，且所有基于文字的理解检定面临惩罚骰。但通过听觉学习时，教育成长检定获得奖励骰。【双面特质】【影响自己】【永久持续】【被动生效】</t>
  </si>
  <si>
    <t>【传统礼仪】</t>
  </si>
  <si>
    <t>\n调查员严格遵守着某种古老的礼仪规范</t>
  </si>
  <si>
    <t>\n你无法忍受他人违反你所遵循的礼仪。在与遵循相同礼仪的NPC交流时，说服检定获得奖励骰；反之则面临惩罚骰。每场模组一次，可借助礼仪获得权威认可。【双面特质】【影响自己】【永久持续】【被动生效】</t>
  </si>
  <si>
    <t>【贵族仪态】</t>
  </si>
  <si>
    <t>\n调查员的举止优雅，充满了贵族气息</t>
  </si>
  <si>
    <t>\n在以上流社会或正式场合，你的说服和信用评级检定获得一个奖励骰。在底层或粗野环境中可能显得格格不入，相关社交检定面临惩罚骰。【双面特质】【影响自己】【永久持续】【被动生效】</t>
  </si>
  <si>
    <t>【原始生活】</t>
  </si>
  <si>
    <t>\n调查员习惯原始生活方式，不适应文明社会</t>
  </si>
  <si>
    <t>\n你在荒野中的生存和追踪检定获得奖励骰。但在城市中，所有社交和现代技能检定面临惩罚骰。每场模组一次，可借助原始知识获得关键线索。【双面特质】【影响自己】【永久持续】【被动生效】</t>
  </si>
  <si>
    <t>【电子白痴】</t>
  </si>
  <si>
    <t>\n调查员对电子产品一窍不通</t>
  </si>
  <si>
    <t>\n操作或维修任何电子设备（包括电话、电脑）的检定自动失败。但对机械设备的操作获得奖励骰，且不会被电子监控追踪。【双面特质】【影响自己】【永久持续】【被动生效】</t>
  </si>
  <si>
    <t>【机械白痴】</t>
  </si>
  <si>
    <t>\n调查员完全不懂机械原理</t>
  </si>
  <si>
    <t>\n操作或维修任何机械装置（包括汽车、枪支）的检定自动失败。但对电子设备的操作获得奖励骰，且思维不受机械逻辑限制。【双面特质】【影响自己】【永久持续】【被动生效】</t>
  </si>
  <si>
    <t>【电脑白痴】</t>
  </si>
  <si>
    <t>\n调查员无法理解和使用计算机网络</t>
  </si>
  <si>
    <t>\n计算机使用技能固定为0%，且无法学习。但对传统信息处理方式精通，图书馆使用和会计检定获得奖励骰。【双面特质】【影响自己】【永久持续】【被动生效】</t>
  </si>
  <si>
    <t>【运动障碍】</t>
  </si>
  <si>
    <t>\n调查员的运动神经极不发达</t>
  </si>
  <si>
    <t>\n所有运动类技能（闪避、攀爬、跳跃等）检定面临惩罚骰。但静态技能（如心理学、历史）检定获得奖励骰。【减益特质】【影响自己】【永久持续】【被动生效】</t>
  </si>
  <si>
    <t>【战斗障碍】</t>
  </si>
  <si>
    <t>\n调查员在战斗中不知所措</t>
  </si>
  <si>
    <t>\n在战斗轮中，你的所有攻击和闪避检定面临惩罚骰。你无法进行复杂的战斗动作。但非战斗技能检定获得奖励骰。【减益特质】【影响自己】【永久持续】【被动生效】</t>
  </si>
  <si>
    <t>【生命脆弱】</t>
  </si>
  <si>
    <t>\n调查员的身体状况极差，生命垂危</t>
  </si>
  <si>
    <t>\n你的最大生命值上限固定为1点。任何伤害都可能致命。但对死亡的深刻理解让你意志检定获得奖励骰，且理智损失减少1点。【双面特质】【影响自己】【永久持续】【被动生效】</t>
  </si>
  <si>
    <t>【讨价还价】</t>
  </si>
  <si>
    <t>\n调查员是讨价还价的高手</t>
  </si>
  <si>
    <t>\n当你在交易中议价检定成功时，你可以将成交价压低至原价的70%。但可能引起商人反感，长期交易面临困难。【增益特质】【影响自己】【永久持续】【被动生效】</t>
  </si>
  <si>
    <t>【数字敏感】</t>
  </si>
  <si>
    <t>\n调查员对数字和模式异常敏感</t>
  </si>
  <si>
    <t>\n你能迅速发现账目、密码或序列中的异常之处。相关的会计或智力检定获得奖励骰。但对数字的过度关注可能导致忽略其他线索。【增益特质】【影响自己】【永久持续】【被动生效】</t>
  </si>
  <si>
    <t>【表演宣泄】</t>
  </si>
  <si>
    <t>\n调查员通过表演来宣泄情感</t>
  </si>
  <si>
    <t>\n当你成功进行一场表演（任何艺术形式）后，可以恢复1D3点理智值。每24小时限一次。但表演时可能过度投入，忽略周围危险。【增益特质】【影响自己】【每日一次】【主动表演】</t>
  </si>
  <si>
    <t>【街头表演】</t>
  </si>
  <si>
    <t>\n调查员是经验丰富的街头表演者</t>
  </si>
  <si>
    <t>\n通过街头表演，你可以每日稳定获得少量收入（信用评级1%）。你的表演和话术检定获得奖励骰。但可能引起城管或黑帮的注意。【增益特质】【影响自己】【永久持续】【被动生效】</t>
  </si>
  <si>
    <t>【舞台掌控】</t>
  </si>
  <si>
    <t>\n调查员懂得如何利用舞台增强表演效果</t>
  </si>
  <si>
    <t>\n在进行表演艺术检定时，获得一个奖励骰。你能够营造出令人印象深刻的舞台氛围。但日常生活可能显得戏剧化，社交检定面临轻微惩罚。【增益特质】【影响自己】【永久持续】【被动生效】</t>
  </si>
  <si>
    <t>【角色沉浸】</t>
  </si>
  <si>
    <t>\n调查员能完全投入所扮演的角色</t>
  </si>
  <si>
    <t>\n进行乔装和表演（扮演角色）检定时，获得一个奖励骰。你可能会短暂地陷入角色的人格，相关意志检定面临惩罚骰。【双面特质】【影响自己】【永久持续】【被动生效】</t>
  </si>
  <si>
    <t>【线索套取】</t>
  </si>
  <si>
    <t>\n调查员能通过对话巧妙地套取线索</t>
  </si>
  <si>
    <t>\n在进行说服或心理学检定时，若成功，你可以额外获得一条由守秘人提供的相关线索。每场模组限三次。【增益特质】【影响自己】【永久持续】【被动生效】</t>
  </si>
  <si>
    <t>【文本分析】</t>
  </si>
  <si>
    <t>\n调查员擅长从文字记录中发掘隐藏信息</t>
  </si>
  <si>
    <t>\n通过一次成功的图书馆使用或母语检定，你可以从文本中发现常人忽略的细节，并可能触发灵感检定。但分析耗时较长，需要额外时间。【增益特质】【影响自己】【永久持续】【主动使用】</t>
  </si>
  <si>
    <t>【法律威慑】</t>
  </si>
  <si>
    <t>\n调查员精通法律条文，并能用其作为武器</t>
  </si>
  <si>
    <t>\n你可以使用法律技能来代替恐吓进行检定，效果更为正式且具有压迫力。但在非正式场合可能显得不合时宜。【增益特质】【影响自己】【永久持续】【被动生效】</t>
  </si>
  <si>
    <t>【推理直觉】</t>
  </si>
  <si>
    <t>\n调查员拥有卓越的观察与推理能力</t>
  </si>
  <si>
    <t>\n通过一次成功的侦查检定，你不仅可以发现线索，还可以直接进行灵感检定来推导出一些合理的结论。每日限三次使用。【增益特质】【影响自己】【永久持续】【被动生效】</t>
  </si>
  <si>
    <t>【疯狂安抚】</t>
  </si>
  <si>
    <t>\n调查员掌握着安抚狂乱心智的技巧</t>
  </si>
  <si>
    <t>\n你可以尝试对一名陷入临时疯狂的对象进行一次心理学或急救（若是生理原因）检定，若成功，可使其疯狂持续时间减半。每场模组限一次。【增益特质】【影响友方单目标】【单个模组】【主动使用】</t>
  </si>
  <si>
    <t>【精神评估】</t>
  </si>
  <si>
    <t>\n调查员能粗略评估他人的精神稳定性</t>
  </si>
  <si>
    <t>\n通过观察和交谈，你可以大致判断一个NPC的理智状态（正常、紧张、濒临崩溃或已疯狂）。每日限使用五次。【增益特质】【影响可见NPC】【永久持续】【主动使用】</t>
  </si>
  <si>
    <t>【动物安抚】</t>
  </si>
  <si>
    <t>\n调查员能迅速让动物放下敌意</t>
  </si>
  <si>
    <t>\n通过一次成功的驯兽检定，你可以使一个非狂暴的动物对你暂时失去攻击欲望，态度转为 indifferent。每日限三次使用。【增益特质】【影响动物目标】【永久持续】【主动使用】</t>
  </si>
  <si>
    <t>【动物羁绊】</t>
  </si>
  <si>
    <t>\n调查员与动物的羁绊深至可以令其牺牲</t>
  </si>
  <si>
    <t>\n当你对一只与你有长期羁绊的动物下达一个极端危险的指令时，驯兽检定获得奖励骰，且该动物会毫不犹豫地执行。但动物死亡时理智损失翻倍。【双面特质】【影响动物伙伴】【永久持续】【触发条件：危险指令】</t>
  </si>
  <si>
    <t>【文物走私】</t>
  </si>
  <si>
    <t>\n调查员有渠道将文物以高价脱手</t>
  </si>
  <si>
    <t>\n你出售文物类物品时，其价值可以提高25%。但这行为是非法的，且可能引来原主的追索。每场模组可能遭遇一次法律麻烦。【双面特质】【影响自己】【永久持续】【被动生效】</t>
  </si>
  <si>
    <t>【文物守护】</t>
  </si>
  <si>
    <t>\n调查员将文物视为人类文明的瑰宝</t>
  </si>
  <si>
    <t>\n若一件具有历史价值的文物在你面前被故意损毁，你将失去1D6点理智值。但成功保护重要文物时，可恢复1D3点理智。【双面特质】【影响自己】【永久持续】【被动生效】</t>
  </si>
  <si>
    <t>【文物修复】</t>
  </si>
  <si>
    <t>\n调查员掌握着修复古物的精湛技艺</t>
  </si>
  <si>
    <t>\n你可以尝试对损坏的文物进行修复，需要艺术与手艺（修复）检定。修复所需时间和材料由守秘人决定。每成功修复一件重要文物，可恢复1点理智。【增益特质】【影响文物】【永久持续】【主动使用】</t>
  </si>
  <si>
    <t>【赝品制作】</t>
  </si>
  <si>
    <t>\n调查员是制作高仿赝品的高手</t>
  </si>
  <si>
    <t>\n你可以制作出外形足以乱真的文物仿制品，需要艺术与手艺（伪造）检定。识别你的赝品需要困难的鉴定或艺术检定。但制作赝品可能带来法律风险。【双面特质】【影响自己】【永久持续】【主动制作】</t>
  </si>
  <si>
    <t>【古物解读】</t>
  </si>
  <si>
    <t>\n调查员能深入解读文物背后的历史与用途</t>
  </si>
  <si>
    <t>\n通过一次成功的历史或考古学检定，你可以从一件古物上了解到其制造背景、文化意义和可能的实际用途。每日限三次使用。【增益特质】【影响文物】【永久持续】【主动使用】</t>
  </si>
  <si>
    <t>【考古细心】</t>
  </si>
  <si>
    <t>\n调查员在考古发掘中能注意到最微小的细节</t>
  </si>
  <si>
    <t>\n在考古现场，你的侦查检定在发现陷阱、暗格或微小线索时获得奖励骰。但可能过度关注细节而忽略整体，相关智力检定面临惩罚骰。【双面特质】【影响自己】【永久持续】【被动生效】</t>
  </si>
  <si>
    <t>【安全挖掘】</t>
  </si>
  <si>
    <t>\n调查员精通地质与挖掘技巧，能保证安全</t>
  </si>
  <si>
    <t>\n在进行挖掘作业时，你可以避免因操作不当引发的地质坍塌。相关的地质学或机械维修（操作挖掘设备）检定获得奖励骰。但挖掘速度较慢，需要额外时间。【增益特质】【影响自己】【永久持续】【被动生效】</t>
  </si>
  <si>
    <t>【建筑识图】</t>
  </si>
  <si>
    <t>\n调查员能通过外观判断建筑物的类型与功能</t>
  </si>
  <si>
    <t>\n通过一次成功的建筑学或教育检定，你可以分辨出建筑物的风格、大致年代和原始设计功能。每日限三次使用。但可能过度关注建筑而忽略其他线索。【增益特质】【影响自己】【永久持续】【主动使用】</t>
  </si>
  <si>
    <t>【室内导航】</t>
  </si>
  <si>
    <t>\n调查员善于利用建筑物内部结构进行定位</t>
  </si>
  <si>
    <t>\n在复杂的建筑物内部，你的导航检定获得奖励骰。你很难在建筑物内迷路。但在自然环境中，导航检定面临惩罚骰。【双面特质】【影响自己】【永久持续】【被动生效】</t>
  </si>
  <si>
    <t>【古典艺术】</t>
  </si>
  <si>
    <t>\n调查员精通一项或多项古典艺术形式</t>
  </si>
  <si>
    <t>\n在艺术与手艺的某一古典专业（如油画、雕塑、古典音乐）上，你的检定获得奖励骰。但对现代艺术形式理解困难，相关检定面临惩罚骰。【增益特质】【影响自己】【永久持续】【被动生效】</t>
  </si>
  <si>
    <t>【艺术感染】</t>
  </si>
  <si>
    <t>\n调查员能通过艺术表演引发观众的情感共鸣</t>
  </si>
  <si>
    <t>\n当你成功进行表演艺术检定时，你可以对观众进行一次取悦检定，效果拔群。每场表演限一次，使用后需要休息1小时。【增益特质】【影响观众】【单次表演】【主动激活】</t>
  </si>
  <si>
    <t>【疯狂理解】</t>
  </si>
  <si>
    <t>\n调查员能以扭曲的逻辑理解疯狂</t>
  </si>
  <si>
    <t>\n每日一次，当你因目睹超自然现象或神话生物而需要进行理智检定时，你可以进行两次检定并取较好的结果。但因此更容易陷入长期疯狂。【双面特质】【影响自己】【每日一次】【触发条件：理智检定】</t>
  </si>
  <si>
    <t>【闪避狂人】</t>
  </si>
  <si>
    <t>\n调查员擅长闪避精神错乱者的攻击</t>
  </si>
  <si>
    <t>\n对抗陷入临时或不定性疯狂的人形生物的攻击时，你的闪避检定获得一个奖励骰。但对理性攻击者的闪避检定面临轻微惩罚。【双面特质】【影响自己】【永久持续】【被动生效】</t>
  </si>
  <si>
    <t>\n调查员能蓄力打出致命一击</t>
  </si>
  <si>
    <t>\n你可以花费一整轮进行蓄力，下一轮你的第一次近战攻击伤害翻倍。你无法在蓄力轮进行任何其他行动。每场战斗限一次。【增益特质】【影响自己】【单次战斗】【主动激活，消耗一轮】</t>
  </si>
  <si>
    <t>【体型压制】</t>
  </si>
  <si>
    <t>\n调查员善于利用体型优势碾压弱小</t>
  </si>
  <si>
    <t>\n当你的体格（SIZ）比目标高5点或以上时，你对该目标造成的所有近战伤害+1D4。但对更大型目标的闪避检定面临惩罚骰。【双面特质】【影响自己】【永久持续】【被动生效】</t>
  </si>
  <si>
    <t>【文学成就】</t>
  </si>
  <si>
    <t>\n调查员曾创作出影响深远的文学作品</t>
  </si>
  <si>
    <t>\n你拥有一部广受好评的作品，初始信用评级+20%，且在文学界进行社交时说服检定获得奖励骰。但可能被读者过度关注，潜行检定面临惩罚骰。【增益特质】【影响自己】【永久持续】【被动生效】</t>
  </si>
  <si>
    <t>【文字解密】</t>
  </si>
  <si>
    <t>\n调查员擅长破解字谜、暗号等文字类谜题</t>
  </si>
  <si>
    <t>\n在解读密码、字谜或隐藏文字信息时，相关的智力或母语检定获得奖励骰。但对非文字谜题解决困难，相关检定面临惩罚骰。【增益特质】【影响自己】【永久持续】【被动生效】</t>
  </si>
  <si>
    <t>【私酒贩子】</t>
  </si>
  <si>
    <t>\n调查员从事私酒贩卖的勾当</t>
  </si>
  <si>
    <t>\n你有稳定的私酒货源和销售渠道，每月可额外获得1D10点信用评级收入。但这生意是非法的，每场模组可能遭遇一次法律风险。【双面特质】【影响自己】【永久持续】【被动生效】</t>
  </si>
  <si>
    <t>【调酒大师】</t>
  </si>
  <si>
    <t>\n调查员是调制鸡尾酒的大师</t>
  </si>
  <si>
    <t>\n你的艺术与手艺（调酒）检定获得奖励骰。你调制的酒水能显著提升顾客的情绪。但可能因此吸引不良分子注意。【增益特质】【影响自己】【永久持续】【被动生效】</t>
  </si>
  <si>
    <t>【无声追踪】</t>
  </si>
  <si>
    <t>\n调查员在追踪时能做到无声无息</t>
  </si>
  <si>
    <t>\n潜行和追踪检定获得一个奖励骰。你移动时几乎不发出声响。但在嘈杂环境中，侦查检定面临惩罚骰。【增益特质】【影响自己】【永久持续】【被动生效】</t>
  </si>
  <si>
    <t>【精准狙击】</t>
  </si>
  <si>
    <t>\n调查员是耐心的猎手</t>
  </si>
  <si>
    <t>\n使用步枪或弓弩进行瞄准射击时，检定获得一个奖励骰。但近战战斗时斗殴检定面临惩罚骰。【双面特质】【影响自己】【永久持续】【被动生效】</t>
  </si>
  <si>
    <t>【古籍鉴定】</t>
  </si>
  <si>
    <t>\n调查员对古老书籍有着敏锐的洞察力</t>
  </si>
  <si>
    <t>\n在鉴定书籍的年代、真伪和价值时，图书馆使用或估价检定获得奖励骰。你能察觉到书中可能隐藏的秘密。但对现代书籍价值判断不准。【增益特质】【影响自己】【永久持续】【被动生效】</t>
  </si>
  <si>
    <t>【双重议价】</t>
  </si>
  <si>
    <t>\n调查员不会轻易接受第一次的报价</t>
  </si>
  <si>
    <t>\n在交易中，你可以进行两次议价检定，并取较好的结果。但可能引起商人反感，长期交易面临困难。【增益特质】【影响自己】【永久持续】【被动生效】</t>
  </si>
  <si>
    <t>【悬赏发布】</t>
  </si>
  <si>
    <t>\n调查员懂得如何利用金钱驱使他人</t>
  </si>
  <si>
    <t>\n你可以发布悬赏令来寻求帮助或追捕目标。进行一次幸运检定，成功则有人接取你的委托。你需要预付定金。每场模组限一次。【增益特质】【影响自己】【单个模组】【主动激活，消耗信用评级】</t>
  </si>
  <si>
    <t>【高酬委托】</t>
  </si>
  <si>
    <t>\n调查员总能找到报酬最丰厚的委托</t>
  </si>
  <si>
    <t>\n你获取的委托报酬翻倍。但委托的难度通常也更高，且失败惩罚更严重。【双面特质】【影响自己】【永久持续】【被动生效】</t>
  </si>
  <si>
    <t>【野兽知识】</t>
  </si>
  <si>
    <t>\n调查员对普通动物的习性了如指掌</t>
  </si>
  <si>
    <t>\n对抗普通野兽时，你的追踪、潜行和射击检定获得一个奖励骰。但对神话生物的了解不足，相关检定面临惩罚骰。【增益特质】【影响自己】【永久持续】【被动生效】</t>
  </si>
  <si>
    <t>【魔物知识】</t>
  </si>
  <si>
    <t>\n调查员记录了大量关于超自然生物的知识</t>
  </si>
  <si>
    <t>\n对抗神话生物或超自然存在时，你的追踪、潜行和射击检定获得一个奖励骰。此书若被邪教徒发现，会为你招来杀身之祸。每场模组可能遭遇一次相关威胁。【双面特质】【影响自己】【永久持续】【被动生效】</t>
  </si>
  <si>
    <t>【死斗精神】</t>
  </si>
  <si>
    <t>\n调查员遵守着至死方休的战斗准则</t>
  </si>
  <si>
    <t>\n在非致死性的战斗中（如拳击、格斗比赛），你无法选择撤退或投降，除非你失去行动能力。但在绝境中意志检定获得奖励骰。【双面特质】【影响自己】【永久持续】【被动生效】</t>
  </si>
  <si>
    <t>【意志支撑】</t>
  </si>
  <si>
    <t>\n调查员的意志足以支撑身体超越极限</t>
  </si>
  <si>
    <t>\n当你的生命值降至0时，你可以进行一次意志检定来代替体质检定以保持清醒。每场模组限一次，使用后所有属性临时-5。【增益特质】【影响自己】【单个模组】【触发条件：生命值降至0】</t>
  </si>
  <si>
    <t>【弱点打击】</t>
  </si>
  <si>
    <t>\n调查员善于发现并攻击敌人的弱点</t>
  </si>
  <si>
    <t>\n当你的攻击检定达到极难成功时，你可以选择不造成额外伤害，而是使目标重伤倒地，失去本回合行动能力。每场战斗限一次。【增益特质】【影响敌方单目标】【单次战斗】【触发条件：极难成功】</t>
  </si>
  <si>
    <t>【徒手专精】</t>
  </si>
  <si>
    <t>\n调查员是徒手格斗的专家</t>
  </si>
  <si>
    <t>\n斗殴技能检定获得一个奖励骰。你造成的徒手伤害+1。但对武器使用不熟练，武器技能检定面临惩罚骰。【双面特质】【影响自己】【永久持续】【被动生效】</t>
  </si>
  <si>
    <t>【忠诚管家】</t>
  </si>
  <si>
    <t>\n调查员是一位将主人视为一切的完美管家</t>
  </si>
  <si>
    <t>\n当你绑定一位特定主人并为其服务时，你在执行与管家职责相关的行动时（如侦查潜在威胁、急救、说服访客），所有技能检定获得奖励骰。但过度忠诚可能导致判断失误。【增益特质】【影响自己】【永久持续】【被动生效】</t>
  </si>
  <si>
    <t>【贵族执事】</t>
  </si>
  <si>
    <t>\n调查员曾服务于最高级的贵族家庭，训练有素</t>
  </si>
  <si>
    <t>\n你的信用评级+10%。在所有社交场合和需要体现教养的行动中，你的说服和技艺检定获得一个奖励骰。但在底层社会可能显得格格不入。【增益特质】【影响自己】【永久持续】【被动生效】</t>
  </si>
  <si>
    <t>【信仰支撑】</t>
  </si>
  <si>
    <t>\n调查员能从坚定的信仰中汲取力量，对抗疯狂</t>
  </si>
  <si>
    <t>\n每日一次，当你需要进行理智检定时，你可以选择先进行一次意志检定。若成功，本次理智检定结果视为困难成功。但对异教知识的理智损失增加。【双面特质】【影响自己】【每日一次】【主动激活】</t>
  </si>
  <si>
    <t>【邪教克星】</t>
  </si>
  <si>
    <t>\n调查员对邪教徒怀有强烈的敌意，战斗时更具威力</t>
  </si>
  <si>
    <t>\n在与 identifiable 的邪教徒进行战斗时，你的所有攻击检定获得一个奖励骰。但可能因此过度激进，战术判断面临惩罚骰。【双面特质】【影响自己】【永久持续】【被动生效】</t>
  </si>
  <si>
    <t>【网络隐身】</t>
  </si>
  <si>
    <t>\n调查员的网络入侵行为如幽灵般难以追踪</t>
  </si>
  <si>
    <t>\n当计算机使用检定失败时，你不会留下足以被反向追踪的明显日志或痕迹。但对方依然会知道被入侵了。每日限三次使用。【增益特质】【影响自己】【永久持续】【被动生效】</t>
  </si>
  <si>
    <t>【信号屏蔽】</t>
  </si>
  <si>
    <t>\n调查员能够制造局部区域的通信干扰</t>
  </si>
  <si>
    <t>\n你可以使用电子设备制造一个小范围的信号屏蔽区，使范围内的无线通信（包括手机）失效。持续时间和范围由守秘人裁定。每场模组限一次。【增益特质】【影响范围环境】【单个模组】【主动激活】</t>
  </si>
  <si>
    <t>【系统瘫痪】</t>
  </si>
  <si>
    <t>\n调查员擅长对特定的数字目标进行精确打击</t>
  </si>
  <si>
    <t>\n通过一次成功的计算机使用检定，你可以使一个特定的软件、服务器或联网设备暂时瘫痪，持续1D6小时。但可能引起系统管理员的注意。【增益特质】【影响数字目标】【永久持续】【主动使用】</t>
  </si>
  <si>
    <t>【密码破译】</t>
  </si>
  <si>
    <t>\n调查员是破解密码和加密信息的高手</t>
  </si>
  <si>
    <t>\n在破解电子或数字加密时，计算机使用或智力检定获得一个奖励骰，所需时间减半。但对传统密码破译不擅长，相关检定面临惩罚骰。【增益特质】【影响自己】【永久持续】【被动生效】</t>
  </si>
  <si>
    <t>【工艺大师】</t>
  </si>
  <si>
    <t>\n调查员对自己的手工艺品有着极致的追求</t>
  </si>
  <si>
    <t>\n当你制作一件手工艺品时，若艺术与手艺检定成功，其完成度和艺术价值会远超寻常，售价可以提高50%。但制作时间翻倍。【增益特质】【影响自己】【永久持续】【被动生效】</t>
  </si>
  <si>
    <t>【真伪直觉】</t>
  </si>
  <si>
    <t>\n调查员对伪造品和价格欺诈有种天生的警觉</t>
  </si>
  <si>
    <t>\n在进行估价或鉴定物品真伪时，你能够自动察觉出明显的价格异常或低级赝品，无需检定。但对高仿品的辨识仍需检定。【增益特质】【影响自己】【永久持续】【被动生效】</t>
  </si>
  <si>
    <t>【牛仔技艺】</t>
  </si>
  <si>
    <t>\n调查员有着在西部生活的经历，精通牛仔的技能</t>
  </si>
  <si>
    <t>\n骑术和手枪技能检定获得一个奖励骰。你对左轮枪械的结构了如指掌。但对现代武器不熟悉，相关检定面临惩罚骰。【双面特质】【影响自己】【永久持续】【被动生效】</t>
  </si>
  <si>
    <t>【快速拔枪】</t>
  </si>
  <si>
    <t>\n调查员的拔枪速度快如闪电</t>
  </si>
  <si>
    <t>\n在战斗的第一轮，若你选择使用手枪进行攻击，你的先攻判定获得一个奖励骰。此效果每场战斗限一次。但第一轮后攻击精度下降。【双面特质】【影响自己】【单次战斗】【被动生效】</t>
  </si>
  <si>
    <t>【快速装弹】</t>
  </si>
  <si>
    <t>\n调查员掌握着快速装填弹药的技巧</t>
  </si>
  <si>
    <t>\n你装填任何枪械所需的时间减少一轮（至少为即时动作）。但快速装弹可能导致卡壳风险，大失败概率增加。【双面特质】【影响自己】【永久持续】【被动生效】</t>
  </si>
  <si>
    <t>【凶恶面相】</t>
  </si>
  <si>
    <t>\n调查员的面相和气质就透露着一股狠劲</t>
  </si>
  <si>
    <t>\n恐吓检定获得一个奖励骰。但你很难让人产生友善和信任的感觉，说服和取悦检定面临惩罚骰。【双面特质】【影响自己】【永久持续】【被动生效】</t>
  </si>
  <si>
    <t>【通缉要犯】</t>
  </si>
  <si>
    <t>\n调查员正被官方机构高价通缉</t>
  </si>
  <si>
    <t>\n你在官方机构（如警方、FBI）中的声望为敌对。来自官方的追捕和惩罚会更为严厉。每场模组可能遭遇一次追捕。【减益特质】【影响自己】【永久持续】【被动生效】</t>
  </si>
  <si>
    <t>【邪教经历】</t>
  </si>
  <si>
    <t>\n调查员曾是一名邪教成员，深受其影响</t>
  </si>
  <si>
    <t>\n你因接触邪教教义而损失的理智值翻倍。但你可以完美地混入该邪教及其相关团体中而不被怀疑。每场模组一次，可借助邪教知识获得信息。【双面特质】【影响自己】【永久持续】【被动生效】</t>
  </si>
  <si>
    <t>【邪教领袖】</t>
  </si>
  <si>
    <t>\n调查员曾创立或领导过一个邪教组织</t>
  </si>
  <si>
    <t>\n你因接触自己教派教义而损失的理智值减半。你懂得如何煽动和控制信徒，但会因此成为其他正邪势力的眼中钉。每场模组可能遭遇一次敌对行动。【双面特质】【影响自己】【永久持续】【被动生效】</t>
  </si>
  <si>
    <t>【心智安抚】</t>
  </si>
  <si>
    <t>\n调查员掌握着安抚狂乱心智的古老技巧</t>
  </si>
  <si>
    <t>\n每日一次，你可以尝试对一名陷入临时疯狂的角色进行一次心理学检定，若成功，则结束其疯狂状态。但可能因此承受部分疯狂影响。【增益特质】【影响友方单目标】【每日一次】【主动使用】</t>
  </si>
  <si>
    <t>【科学否认】</t>
  </si>
  <si>
    <t>\n调查员是坚定的科学主义者，拒绝接受无法解释的现象</t>
  </si>
  <si>
    <t>\n当你因目睹超自然现象而需要进行理智检定时，若智力检定成功，你可以免疫本次理智损失。此效果每场模组限一次。但对真实超自然存在的初始接触理智损失增加。【双面特质】【影响自己】【单个模组】【触发条件：理智检定】</t>
  </si>
  <si>
    <t>【机械解析】</t>
  </si>
  <si>
    <t>\n调查员能快速理解一件人造物的内部结构与设计原理</t>
  </si>
  <si>
    <t>\n通过一次成功的机械维修或相关科学检定，你可以大致理解一件装置的运作原理和可能的弱点。每日限三次使用。【增益特质】【影响自己】【永久持续】【主动使用】</t>
  </si>
  <si>
    <t>【艺术通识】</t>
  </si>
  <si>
    <t>\n调查员拥有广博的艺术史知识</t>
  </si>
  <si>
    <t>\n你可以对大多数艺术品进行准确的年代、流派和风格定位，并能解读其常见的象征意义，无需检定。但对现代艺术理解困难，相关检定面临惩罚骰。【增益特质】【影响自己】【永久持续】【被动生效】</t>
  </si>
  <si>
    <t>【水下侦查】</t>
  </si>
  <si>
    <t>\n调查员对水下的环境异常敏锐</t>
  </si>
  <si>
    <t>\n在水底进行侦查检定时，不受环境带来的常规惩罚骰。但在陆地上侦查检定面临轻微惩罚。【双面特质】【影响自己】【永久持续】【被动生效】</t>
  </si>
  <si>
    <t>【潜水专家】</t>
  </si>
  <si>
    <t>\n调查员是经验丰富的潜水者</t>
  </si>
  <si>
    <t>\n你可以在水下多憋气50%的时间。进行水下活动时，相关的体质或敏捷检定获得一个奖励骰。但对高海拔环境适应差，相关体质检定面临惩罚骰。【双面特质】【影响自己】【永久持续】【被动生效】</t>
  </si>
  <si>
    <t>【传统医学】</t>
  </si>
  <si>
    <t>\n调查员接受过古典医学教育，精通药理学</t>
  </si>
  <si>
    <t>\n你的医学和药学技能在处理传统疾病和药物时，检定获得一个奖励骰。你能流畅阅读拉丁文医典。但对现代医疗技术不熟悉，相关检定面临惩罚骰。【双面特质】【影响自己】【永久持续】【被动生效】</t>
  </si>
  <si>
    <t>【流浪生存】</t>
  </si>
  <si>
    <t>\n调查员的流浪经历赋予了你强大的生存能力</t>
  </si>
  <si>
    <t>\n生存和体质（对抗恶劣环境）检定获得一个奖励骰。但在文明社会中，信用评级和说服检定面临惩罚骰。【双面特质】【影响自己】【永久持续】【被动生效】</t>
  </si>
  <si>
    <t>【幸运搜索】</t>
  </si>
  <si>
    <t>\n调查员总能在不起眼的地方发现意外之财</t>
  </si>
  <si>
    <t>\n当幸运检定成功时，你在接下来1小时内进行的第一次搜索垃圾箱、储物箱等容器的行动中，必定能找到一些有价值的小物件（如少量现金、打火机、小刀等）。每日限一次。【增益特质】【影响自己】【每日一次】【触发条件：幸运成功】</t>
  </si>
  <si>
    <t>【极速驾驶】</t>
  </si>
  <si>
    <t>\n调查员驾驶时追求极致的速度</t>
  </si>
  <si>
    <t>\n当你进行驾驶检定时，若成功，你可以使载具的移动速度达到其理论最大值，但操控难度会增加，后续的驾驶检定面临惩罚骰。每场追逐限一次，使用后可能造成载具损坏。【双面特质】【影响自己】【单次追逐】【主动激活】</t>
  </si>
  <si>
    <t>【车辆精通】</t>
  </si>
  <si>
    <t>\n调查员对车辆的理解如同身体的一部分</t>
  </si>
  <si>
    <t>\n进行常规难度的驾驶或机械维修（针对车辆）检定时，你自动成功。但极端情况下的检定仍需投掷，且对非车辆机械维修面临惩罚骰。【增益特质】【影响自己】【永久持续】【被动生效】</t>
  </si>
  <si>
    <t>【标题制造】</t>
  </si>
  <si>
    <t>\n调查员懂得如何炮制吸引眼球的新闻标题</t>
  </si>
  <si>
    <t>\n你可以通过撰写耸人听闻的报道来引导舆论，使你在特定事件上的说服（对大众）检定获得一个奖励骰。但可能引起法律纠纷，信用评级面临风险。【双面特质】【影响大众】【永久持续】【主动撰写】</t>
  </si>
  <si>
    <t>【截稿爆发】</t>
  </si>
  <si>
    <t>\n调查员在截稿压力下能爆发出惊人的效率</t>
  </si>
  <si>
    <t>\n当时间紧迫时，你可以将阅读或创作所需的时间压缩至原来的1/4。但完成后需进行意志检定，失败则因精神透支而失去1D3点理智值。每24小时限一次。【双面特质】【影响自己】【每日一次】【主动激活】</t>
  </si>
  <si>
    <t>【官僚人脉】</t>
  </si>
  <si>
    <t>\n调查员在官僚体系中拥有一定的影响力</t>
  </si>
  <si>
    <t>\n与政府职员、公务员等行政人员打交道时，说服和信用评级检定获得一个奖励骰。但可能因此欠下人情债，或被要求回报。【增益特质】【影响自己】【永久持续】【被动生效】</t>
  </si>
  <si>
    <t>【酒桌高手】</t>
  </si>
  <si>
    <t>\n调查员深谙酒桌交际之道</t>
  </si>
  <si>
    <t>\n在饮酒的社交场合，你的话术和体质（对抗醉酒）检定获得一个奖励骰。但可能因过度饮酒导致后续行动受影响。【增益特质】【影响自己】【永久持续】【被动生效】</t>
  </si>
  <si>
    <t>【建筑结构】</t>
  </si>
  <si>
    <t>\n调查员对建筑结构了如指掌</t>
  </si>
  <si>
    <t>\n在建筑物内部进行侦查（寻找暗门、密室）和导航时，检定获得一个奖励骰。但在自然环境中，相关检定面临惩罚骰。【双面特质】【影响自己】【永久持续】【被动生效】</t>
  </si>
  <si>
    <t>【结构弱点】</t>
  </si>
  <si>
    <t>\n调查员能一眼看出建筑结构的脆弱点</t>
  </si>
  <si>
    <t>\n在进行爆破或定向破坏建筑物时，相关的爆破或机械维修检定获得一个奖励骰。但可能过度关注结构而忽略其他危险。【增益特质】【影响自己】【永久持续】【被动生效】</t>
  </si>
  <si>
    <t>【公众知名度】</t>
  </si>
  <si>
    <t>\n调查员是具有一定知名度的公众人物</t>
  </si>
  <si>
    <t>\n你容易被路人认出。在进行公众演讲或利用知名度行事时，话术和说服检定获得奖励骰，但潜行和乔装检定面临惩罚骰。每场模组可能遭遇一次粉丝干扰。【双面特质】【影响自己】【永久持续】【被动生效】</t>
  </si>
  <si>
    <t>【舞台表演】</t>
  </si>
  <si>
    <t>\n调查员是舞台上的焦点</t>
  </si>
  <si>
    <t>\n进行表演艺术（如歌唱、乐器、舞蹈）检定时，获得一个奖励骰。但表演时可能过度投入，忽略周围环境。【增益特质】【影响自己】【永久持续】【被动生效】</t>
  </si>
  <si>
    <t>【户外探险】</t>
  </si>
  <si>
    <t>\n调查员是经验丰富的户外探险家</t>
  </si>
  <si>
    <t>\n在野外进行导航、地质学或生物学检定时，获得一个奖励骰。但在城市环境中，相关技能检定面临惩罚骰。【双面特质】【影响自己】【永久持续】【被动生效】</t>
  </si>
  <si>
    <t>【野外生存】</t>
  </si>
  <si>
    <t>\n调查员精通在野外求生的技巧</t>
  </si>
  <si>
    <t>\n在野外进行生存、追踪或设置陷阱时，检定获得一个奖励骰。但对现代生活技能不熟悉，相关检定面临惩罚骰。【双面特质】【影响自己】【永久持续】【被动生效】</t>
  </si>
  <si>
    <t>【天气预测】</t>
  </si>
  <si>
    <t>\n调查员能通过观察自然迹象预测天气变化</t>
  </si>
  <si>
    <t>\n通过一次成功的生存或自然科学检定，你可以准确预测未来6-12小时的天气。每日限三次使用，错误预测可能导致行动失误。【增益特质】【影响自己】【永久持续】【主动使用】</t>
  </si>
  <si>
    <t>【植物知识】</t>
  </si>
  <si>
    <t>\n调查员拥有丰富的植物学知识，尤其关注可食用性</t>
  </si>
  <si>
    <t>\n你可以识别出大多数常见的植物，并能通过一次成功的博物学或生存检定来判断其是否可食用或有毒。但对真菌类植物了解不足。【增益特质】【影响自己】【永久持续】【被动生效】</t>
  </si>
  <si>
    <t>【协同攻击】</t>
  </si>
  <si>
    <t>\n调查员擅长与队友配合作战</t>
  </si>
  <si>
    <t>\n当至少一名队友与你共同攻击同一目标时，你的斗殴检定获得一个奖励骰。但单独作战时攻击检定面临轻微惩罚。【双面特质】【影响自己】【永久持续】【被动生效】</t>
  </si>
  <si>
    <t>【人数优势】</t>
  </si>
  <si>
    <t>\n调查员懂得如何利用人数优势</t>
  </si>
  <si>
    <t>\n当你方在场人数多于敌方时，你方的所有战斗检定获得一个奖励骰。但人数劣势时，士气检定面临惩罚骰。【双面特质】【影响友方】【永久持续】【被动生效】</t>
  </si>
  <si>
    <t>【掩护射击】</t>
  </si>
  <si>
    <t>\n调查员擅长在队友的掩护下进行精准射击</t>
  </si>
  <si>
    <t>\n当你处于掩体或队友身后进行射击时，射击检定获得一个奖励骰。但在开阔地带射击精度下降。【双面特质】【影响自己】【永久持续】【被动生效】</t>
  </si>
  <si>
    <t>【吸引火力】</t>
  </si>
  <si>
    <t>\n调查员勇于挺身而出，为队友承担风险</t>
  </si>
  <si>
    <t>\n你可以主动成为一个显眼的目标，使敌人在本轮内优先攻击你。你的闪避检定在本轮获得一个奖励骰。每场战斗限一次，使用后下一轮行动顺序延迟。【增益特质】【影响自己】【单次战斗】【主动激活】</t>
  </si>
  <si>
    <t>【罪犯直觉】</t>
  </si>
  <si>
    <t>\n调查员对犯罪者和可疑人物有敏锐的直觉</t>
  </si>
  <si>
    <t>\n在进行侦查或心理学检定以识别潜在的罪犯或嫌疑人时，获得一个奖励骰。但可能过度猜疑，误判无辜者。【增益特质】【影响自己】【永久持续】【被动生效】</t>
  </si>
  <si>
    <t>【暴力破拆】</t>
  </si>
  <si>
    <t>\n调查员是暴力开锁和破门的大师</t>
  </si>
  <si>
    <t>\n在使用力量破坏门窗、墙壁时，力量检定获得一个奖励骰，且造成的破坏效果加倍。但会产生巨大噪音，潜行检定自动失败。【双面特质】【影响自己】【永久持续】【被动生效】</t>
  </si>
  <si>
    <t>【灭火专家】</t>
  </si>
  <si>
    <t>\n调查员掌握着高效的灭火技巧</t>
  </si>
  <si>
    <t>\n你使用灭火器或其他工具灭火时，效果拔群。由你处理的火势，其蔓延速度减半。但对电气火灾处理不擅长，相关检定面临惩罚骰。【增益特质】【影响自己】【永久持续】【被动生效】</t>
  </si>
  <si>
    <t>【火焰抗性】</t>
  </si>
  <si>
    <t>\n调查员对火焰和高温有较强的忍耐力</t>
  </si>
  <si>
    <t>\n你受到的火焰伤害减少一半（至少为1点）。但对低温环境适应差，相关体质检定面临惩罚骰。【双面特质】【影响自己】【永久持续】【被动生效】</t>
  </si>
  <si>
    <t>【信息筛选】</t>
  </si>
  <si>
    <t>\n调查员善于从海量信息中捕捉有价值的新闻点</t>
  </si>
  <si>
    <t>\n在利用图书馆使用、计算机使用或人际网络获取特定信息时，检定获得一个奖励骰。但可能忽略非目标信息中的重要线索。【增益特质】【影响自己】【永久持续】【被动生效】</t>
  </si>
  <si>
    <t>【记者特权】</t>
  </si>
  <si>
    <t>\n调查员的记者身份是一张万能通行证</t>
  </si>
  <si>
    <t>\n凭借记者证，你可以进入大部分公共场所和事故现场，并与各种职业的人进行交谈，无需进行初始的说服检定。但可能引起当局警惕，被重点监控。【双面特质】【影响自己】【永久持续】【被动生效】</t>
  </si>
  <si>
    <t>【死亡判定】</t>
  </si>
  <si>
    <t>\n调查员能轻易判断生物是否已经死亡</t>
  </si>
  <si>
    <t>\n你无需进行医学检定即可准确判断一个生物是否已经死亡。但对濒死状态的判断可能失误，相关医学检定面临惩罚骰。【增益特质】【影响自己】【永久持续】【被动生效】</t>
  </si>
  <si>
    <t>【死因分析】</t>
  </si>
  <si>
    <t>\n调查员能通过观察发现不寻常的死因线索</t>
  </si>
  <si>
    <t>\n在进行医学检定时，若成功，你可以额外获得关于死亡时间、致命工具或方式的详细信息。但对超自然死因的分析困难，相关检定面临惩罚骰。【增益特质】【影响自己】【永久持续】【被动生效】</t>
  </si>
  <si>
    <t>【赌博运气】</t>
  </si>
  <si>
    <t>\n调查员将命运完全寄托于运气</t>
  </si>
  <si>
    <t>\n在赌博中，你可以进行一次幸运检定来代替相应的技能检定。若失败，则视为大失败。每24小时限一次，使用后幸运检定面临惩罚骰。【双面特质】【影响自己】【每日一次】【主动激活】</t>
  </si>
  <si>
    <t>【赌场千术】</t>
  </si>
  <si>
    <t>\n调查员眼疾手快，既是赌徒也是老千</t>
  </si>
  <si>
    <t>\n在赌博中，你可以使用侦查来代替赌博技能，以察觉对手的出千手法或自己作弊。但一旦被发现，将面临严重后果。【双面特质】【影响自己】【永久持续】【被动生效】</t>
  </si>
  <si>
    <t>【领袖识别】</t>
  </si>
  <si>
    <t>\n调查员能迅速识别出群体中的领导者</t>
  </si>
  <si>
    <t>\n通过观察群体的互动，你可以无需检定就准确判断出谁是该群体的首领或核心人物。但对伪装成普通成员的领导者识别困难。【增益特质】【影响自己】【永久持续】【被动生效】</t>
  </si>
  <si>
    <t>【雇佣保镖】</t>
  </si>
  <si>
    <t>\n调查员信奉有钱能使鬼推磨</t>
  </si>
  <si>
    <t>\n你可以快速雇佣到临时保镖。这些保镖忠诚度与你的出价直接相关，只会执行合同范围内的任务。雇佣需要预付费用，且可能引起法律问题。【增益特质】【影响自己】【永久持续】【主动雇佣】</t>
  </si>
  <si>
    <t>【秘密退路】</t>
  </si>
  <si>
    <t>\n调查员总是为自己留好退路</t>
  </si>
  <si>
    <t>\n当需要从某个地点撤离时，你总能找到一条不为人知的秘密通道，避免立即被追踪或陷入追逐战。每场模组限一次，使用后该通道可能被他人发现。【增益特质】【影响自己】【单个模组】【触发条件：需要撤离】</t>
  </si>
  <si>
    <t>【以少敌多】</t>
  </si>
  <si>
    <t>\n调查员曾是帮派中的顶尖打手，惯于以少敌多</t>
  </si>
  <si>
    <t>\n你永远不会因为人数劣势而承受寡不敌众的惩罚。但在团队协作时，战术配合检定面临惩罚骰。【双面特质】【影响自己】【永久持续】【被动生效】</t>
  </si>
  <si>
    <t>【痛苦麻木】</t>
  </si>
  <si>
    <t>\n调查员曾经常替老大承受伤害，对痛苦麻木</t>
  </si>
  <si>
    <t>\n你免疫因伤害导致的重伤效果（如肢体残疾），但正常承受生命值损失。对轻微伤害的感知迟钝，可能忽略伤势恶化。【双面特质】【影响自己】【永久持续】【被动生效】</t>
  </si>
  <si>
    <t>【良好声誉】</t>
  </si>
  <si>
    <t>\n调查员在社会上拥有良好的声誉</t>
  </si>
  <si>
    <t>\n在进行信用评级检定时，获得一个奖励骰。但需要维持形象，任何不当行为都会导致声誉受损。【增益特质】【影响自己】【永久持续】【被动生效】</t>
  </si>
  <si>
    <t>【异性魅力】</t>
  </si>
  <si>
    <t>\n调查员风度翩翩，深受异性欢迎</t>
  </si>
  <si>
    <t>\n利用个人魅力进行取悦或说服（对异性）时，检定获得一个奖励骰。但可能引起同性嫉妒，相关社交检定面临惩罚骰。【双面特质】【影响自己】【永久持续】【被动生效】</t>
  </si>
  <si>
    <t>【城市生存】</t>
  </si>
  <si>
    <t>\n调查员曾长期处于无家可归状态，练就了生存本领</t>
  </si>
  <si>
    <t>\n生存（在城市中）和潜行（在 urban environment）检定获得一个奖励骰。但在正式场合，信用评级和说服检定面临惩罚骰。【双面特质】【影响自己】【永久持续】【被动生效】</t>
  </si>
  <si>
    <t>【群众煽动】</t>
  </si>
  <si>
    <t>\n调查员擅长煽动人群，引导舆论</t>
  </si>
  <si>
    <t>\n在公众集会中进行演讲或煽动时，话术和心理学检定获得一个奖励骰。但可能引起当局注意，被标记为危险人物。【双面特质】【影响人群】【永久持续】【主动演讲】</t>
  </si>
  <si>
    <t>【常识广博】</t>
  </si>
  <si>
    <t>\n调查员的知识面非常广，但都不精深</t>
  </si>
  <si>
    <t>\n你的教育和博物学技能在判断常识性问题时，检定获得一个奖励骰。但专业领域的深度知识检定面临惩罚骰。【双面特质】【影响自己】【永久持续】【被动生效】</t>
  </si>
  <si>
    <t>【长者信任】</t>
  </si>
  <si>
    <t>\n调查员特别受老年人喜爱和信任</t>
  </si>
  <si>
    <t>\n与老年人交谈时，他们更愿意向你透露一些陈年往事和秘密，你可以通过闲聊获得额外线索。但与年轻人交流时，说服检定面临惩罚骰。【双面特质】【影响自己】【永久持续】【被动生效】</t>
  </si>
  <si>
    <t>【痕迹清除】</t>
  </si>
  <si>
    <t>\n调查员是清除痕迹的专家</t>
  </si>
  <si>
    <t>\n你可以彻底清理一个区域的个人痕迹，使他人无法通过常规手段（如追踪、侦查）进行反向追踪。但清理需要时间和专用工具，且对超自然追踪无效。【增益特质】【影响区域】【永久持续】【主动清理】</t>
  </si>
  <si>
    <t>【摄影专家】</t>
  </si>
  <si>
    <t>\n调查员精通摄影，能拍出极具价值的照片</t>
  </si>
  <si>
    <t>\n进行摄影检定时，获得一个奖励骰。你拍下的照片可能隐藏着被肉眼忽略的细节。但可能过度依赖照片，现场观察检定面临惩罚骰。【增益特质】【影响自己】【永久持续】【被动生效】</t>
  </si>
  <si>
    <t>【简易通讯】</t>
  </si>
  <si>
    <t>\n调查员能利用手头材料制造简单的通讯装置</t>
  </si>
  <si>
    <t>\n利用电气维修和机械维修，你可以制作临时的无线电或信号装置，有效范围和时间由守秘人裁定。每场模组限制作一次，装置可能故障。【增益特质】【影响自己】【单个模组】【主动制作】</t>
  </si>
  <si>
    <t>【法律辩论】</t>
  </si>
  <si>
    <t>\n调查员能言善辩，精通法律条文</t>
  </si>
  <si>
    <t>\n在需要引用法律或进行辩论时，你可以使用法律技能来代替说服进行检定。但在非正式场合可能显得不合时宜。【增益特质】【影响自己】【永久持续】【被动生效】</t>
  </si>
  <si>
    <t>【法律漏洞】</t>
  </si>
  <si>
    <t>\n调查员能找到法律的漏洞，实现惊人的结果</t>
  </si>
  <si>
    <t>\n每场模组一次，你可以尝试对一件已发生的事件，提出一种看似合理的法律解释，从而轻微改变其后果（由守秘人裁定）。这需要消耗大量的时间和精力，且可能引起法律界争议。【增益特质】【影响自己】【单个模组】【主动激活】</t>
  </si>
  <si>
    <t>【化学知识】</t>
  </si>
  <si>
    <t>\n调查员对常见化学物质了如指掌</t>
  </si>
  <si>
    <t>\n识别和处置常见的化学试剂无需进行检定。但对稀有化学品了解不足，相关检定面临惩罚骰。【增益特质】【影响自己】【永久持续】【被动生效】</t>
  </si>
  <si>
    <t>【简易化学】</t>
  </si>
  <si>
    <t>\n调查员不依赖专业实验室也能进行化学操作</t>
  </si>
  <si>
    <t>\n你可以在非实验室环境下尝试进行化学合成，但所有此类操作的检定难度提升一级。合成产物效果可能不稳定。【双面特质】【影响自己】【永久持续】【主动操作】</t>
  </si>
  <si>
    <t>【实验意外】</t>
  </si>
  <si>
    <t>\n调查员的化学实验总是充满意外</t>
  </si>
  <si>
    <t>\n当化学或科学（化学）检定失败时，你不会一无所获，而是会随机产生一种具有强烈效果的副产物（如爆炸、释放毒气、产生强酸等）。每场模组限触发三次。【双面特质】【影响范围】【永久持续】【触发条件：化学失败】</t>
  </si>
  <si>
    <t>【职业工具】</t>
  </si>
  <si>
    <t>\n调查员永远不会丢失自己最称手的职业工具</t>
  </si>
  <si>
    <t>\n你会神奇地一直拥有你职业所需的特定工具（如工程师的扳手、记者的相机、木工的锤子）。但工具可能损坏，需要时间恢复。【增益特质】【影响自己】【永久持续】【被动生效】</t>
  </si>
  <si>
    <t>【斧类专精】</t>
  </si>
  <si>
    <t>\n调查员擅长将伐木斧作为武器使用</t>
  </si>
  <si>
    <t>\n使用伐木斧进行攻击时，检定获得一个奖励骰。但对其他武器使用不熟练，相关检定面临惩罚骰。【双面特质】【影响自己】【永久持续】【被动生效】</t>
  </si>
  <si>
    <t>【矿物识别】</t>
  </si>
  <si>
    <t>\n调查员能识别大多数岩石和矿物</t>
  </si>
  <si>
    <t>\n识别常见的矿石、宝石无需进行检定。但对人造材料的识别困难，相关检定面临惩罚骰。【增益特质】【影响自己】【永久持续】【被动生效】</t>
  </si>
  <si>
    <t>【爆破专家】</t>
  </si>
  <si>
    <t>\n调查员精通各种爆炸物的使用与处理</t>
  </si>
  <si>
    <t>\n所有与设置、解除爆炸物相关的爆破检定获得一个奖励骰。但爆炸物可能不稳定，大失败概率增加。【增益特质】【影响自己】【永久持续】【被动生效】</t>
  </si>
  <si>
    <t>【法律减刑】</t>
  </si>
  <si>
    <t>\n调查员深谙法律漏洞，能巧妙地为罪行争取最低惩罚</t>
  </si>
  <si>
    <t>\n若你因犯罪被捕，最终判决的拘留或刑期减少一半（由守秘人裁定）。但这需要你进行成功的法律检定。每场模组限一次，使用后可能引起检察官注意。【双面特质】【影响自己】【单个模组】【主动使用】</t>
  </si>
  <si>
    <t>【图书管理】</t>
  </si>
  <si>
    <t>\n调查员对图书馆的归档系统了如指掌</t>
  </si>
  <si>
    <t>\n进行图书馆使用检定时，获得一个奖励骰，且搜索资料所需时间减半。但对电子数据库使用不熟练，相关检定面临惩罚骰。【增益特质】【影响自己】【永久持续】【被动生效】</t>
  </si>
  <si>
    <t>【禁书接触】</t>
  </si>
  <si>
    <t>\n调查员有权限或懂得如何接触图书馆的保密区域</t>
  </si>
  <si>
    <t>\n你可以尝试访问图书馆的禁书区或特殊藏品区。在此类区域进行图书馆使用检定时，获得一个奖励骰。但可能引起管理员怀疑，每场模组可能遭遇一次审查。【双面特质】【影响自己】【永久持续】【被动生效】</t>
  </si>
  <si>
    <t>【机械天赋】</t>
  </si>
  <si>
    <t>\n调查员对机械有着天生的亲和力</t>
  </si>
  <si>
    <t>\n所有机械维修、操作重型机械和驾驶（非动物载具）检定获得一个奖励骰。但对电子设备维修面临惩罚骰。【增益特质】【影响自己】【永久持续】【被动生效】</t>
  </si>
  <si>
    <t>【军官背景】</t>
  </si>
  <si>
    <t>\n调查员曾是一名军官，受过严格的军事训练</t>
  </si>
  <si>
    <t>\n步枪、手枪和急救技能检定获得一个奖励骰。你拥有一定的军事人脉。但对民用生活不适应，相关社交检定面临惩罚骰。【双面特质】【影响自己】【永久持续】【被动生效】</t>
  </si>
  <si>
    <t>【虔诚信仰】</t>
  </si>
  <si>
    <t>\n调查员是虔诚的宗教信徒，对教义有深入研究</t>
  </si>
  <si>
    <t>\n与自身信仰相关的历史、神秘学知识检定时，获得一个奖励骰。但对异教知识排斥，相关检定面临惩罚骰。【双面特质】【影响自己】【永久持续】【被动生效】</t>
  </si>
  <si>
    <t>【教众召集】</t>
  </si>
  <si>
    <t>\n调查员能凭借信仰号召志同道合者</t>
  </si>
  <si>
    <t>\n在信仰相同的社区或群体中，你可以通过一次成功的说服检定，召集到1D4名愿意提供短期帮助的信徒。每场模组限一次，使用后可能引起异教敌视。【增益特质】【影响友方】【单个模组】【主动激活】</t>
  </si>
  <si>
    <t>【登山专家】</t>
  </si>
  <si>
    <t>\n调查员是经验丰富的登山爱好者</t>
  </si>
  <si>
    <t>\n攀爬、跳跃和在崎岖地形下的生存检定获得一个奖励骰。但在平坦地形移动速度减少1米。【双面特质】【影响自己】【永久持续】【被动生效】</t>
  </si>
  <si>
    <t>【博学多识】</t>
  </si>
  <si>
    <t>\n调查员的知识广博，尤其精通历史文化</t>
  </si>
  <si>
    <t>\n博物学和历史检定获得一个奖励骰。但对现代科技知识了解不足，相关检定面临惩罚骰。【双面特质】【影响自己】【永久持续】【被动生效】</t>
  </si>
  <si>
    <t>【音感天赋】</t>
  </si>
  <si>
    <t>\n调查员能精确分辨任何声音的音高</t>
  </si>
  <si>
    <t>\n在聆听（分辨声音细节）、艺术与手艺（音乐）和乐理知识检定时，获得一个奖励骰。但对噪音敏感，在嘈杂环境中意志检定面临惩罚骰。【增益特质】【影响自己】【永久持续】【被动生效】</t>
  </si>
  <si>
    <t>【音乐训练】</t>
  </si>
  <si>
    <t>\n调查员接受过专业的音乐训练</t>
  </si>
  <si>
    <t>\n进行艺术与手艺（乐器）、表演（演唱）和音乐知识检定时，获得一个奖励骰。但对其他艺术形式理解困难，相关检定面临惩罚骰。【增益特质】【影响自己】【永久持续】【被动生效】</t>
  </si>
  <si>
    <t>【基础急救】</t>
  </si>
  <si>
    <t>\n调查员的急救经验丰富，即使失败也能提供些许帮助</t>
  </si>
  <si>
    <t>\n当急救检定失败时，目标仍能恢复1点生命值。但成功时治疗效果减半。【双面特质】【影响友方单目标】【永久持续】【被动生效】</t>
  </si>
  <si>
    <t>【精细急救】</t>
  </si>
  <si>
    <t>\n调查员的护理手法细致入微，效果显著</t>
  </si>
  <si>
    <t>\n当急救检定成功时，目标额外恢复1点生命值。但急救所需时间增加一轮。【增益特质】【影响友方单目标】【永久持续】【被动生效】</t>
  </si>
  <si>
    <t>【超常直觉】</t>
  </si>
  <si>
    <t>\n调查员对超自然现象有着异乎寻常的敏锐直觉</t>
  </si>
  <si>
    <t>\n在场景中存在超自然线索时，守秘人可能会优先允许你进行灵感或侦查检定以察觉异常。但更容易被超自然存在注意到，潜行检定面临惩罚骰。【双面特质】【影响自己】【永久持续】【被动生效】</t>
  </si>
  <si>
    <t>【祭品体质】</t>
  </si>
  <si>
    <t>\n调查员因其灵魂或血统，在神秘存在眼中是上等的祭品</t>
  </si>
  <si>
    <t>\n你更容易被邪教徒或神话生物选定为目标或祭品。与之对抗时，你的灵感检定获得奖励骰，但也更易陷入危险。每场模组可能遭遇一次针对你的捕获行动。【双面特质】【影响自己】【永久持续】【被动生效】</t>
  </si>
  <si>
    <t>【方向直觉】</t>
  </si>
  <si>
    <t>\n调查员拥有如同指南针般的体内方向感</t>
  </si>
  <si>
    <t>\n在常规环境下（非异度空间），你的导航检定自动成功。但在超自然扭曲的空间中，导航检定面临惩罚骰。【双面特质】【影响自己】【永久持续】【被动生效】</t>
  </si>
  <si>
    <t>【城市熟悉】</t>
  </si>
  <si>
    <t>\n调查员对城市布局和地标建筑极为熟悉</t>
  </si>
  <si>
    <t>\n只要身处你熟悉的城市，你总能立刻知道自己所在的大致区域和街道，即使是被蒙眼带入。但在陌生城市中，导航检定面临惩罚骰。【双面特质】【影响自己】【永久持续】【被动生效】</t>
  </si>
  <si>
    <t>【自然计时】</t>
  </si>
  <si>
    <t>\n调查员能通过观察太阳、星辰等自然现象精准判断时间</t>
  </si>
  <si>
    <t>\n无需计时工具，你总能知道当前的大致时间（误差不超过15分钟）。但在室内或阴天时，时间判断可能失误。【增益特质】【影响自己】【永久持续】【被动生效】</t>
  </si>
  <si>
    <t>【自然感知】</t>
  </si>
  <si>
    <t>\n调查员能感知到常人无法察觉的自然信息</t>
  </si>
  <si>
    <t>\n侦查、追踪和灵感检定获得一个奖励骰。你有时会听到风或石头的低语。但在城市环境中，这些能力效果减半。【双面特质】【影响自己】【永久持续】【被动生效】</t>
  </si>
  <si>
    <t>【情绪洞察】</t>
  </si>
  <si>
    <t>\n调查员能直观地感受到他人的真实情绪</t>
  </si>
  <si>
    <t>\n进行心理学检定时，你可以不仅判断对方是否说谎，还能大致感知其当前的主要情绪（如恐惧、愤怒、喜悦）。但可能过度共情，被他人的强烈情绪影响。【增益特质】【影响自己】【永久持续】【被动生效】</t>
  </si>
  <si>
    <t>【强制催眠】</t>
  </si>
  <si>
    <t>\n调查员掌握着强力的催眠技巧，但可能遭遇抵抗</t>
  </si>
  <si>
    <t>\n你可以尝试对一名目标进行催眠。这需要进行一次意志对抗检定。若失败，目标将对你产生敌意。每24小时限一次，使用后精神疲劳。【双面特质】【影响单目标】【每日一次】【主动激活】</t>
  </si>
  <si>
    <t>【心灵链接】</t>
  </si>
  <si>
    <t>\n调查员能与特定目标建立短暂的精神链接</t>
  </si>
  <si>
    <t>\n每日一次，你可以与一个你熟悉且自愿的目标建立心灵感应，在1小时内可以传递简单的概念和图像，无视距离。使用后理智检定面临惩罚骰。【增益特质】【影响特定目标】【每日一次】【主动激活】</t>
  </si>
  <si>
    <t>【药物知识】</t>
  </si>
  <si>
    <t>\n调查员熟悉各种常见药物的性状与用途</t>
  </si>
  <si>
    <t>\n识别、使用常见药品无需进行药学检定。但对稀有药物了解不足，相关检定面临惩罚骰。【增益特质】【影响自己】【永久持续】【被动生效】</t>
  </si>
  <si>
    <t>【毒药配制】</t>
  </si>
  <si>
    <t>\n调查员懂得如何将药物转化为致命的毒药</t>
  </si>
  <si>
    <t>\n你可以使用药学技能来调配毒药。调配需要时间和材料，毒性效果由守秘人裁定。每场模组限配制一次，可能留下证据。【双面特质】【影响自己】【永久持续】【主动配制】</t>
  </si>
  <si>
    <t>【远程摄影】</t>
  </si>
  <si>
    <t>\n调查员精通使用无人机等设备进行远程拍摄</t>
  </si>
  <si>
    <t>\n使用遥控设备进行摄影时，相关的机械维修、电气维修和摄影检定获得一个奖励骰。但设备可能故障或被发现。【增益特质】【影响自己】【永久持续】【被动生效】</t>
  </si>
  <si>
    <t>【隐秘拍摄】</t>
  </si>
  <si>
    <t>\n调查员善于在不被发现的情况下进行拍摄</t>
  </si>
  <si>
    <t>\n在进行偷拍或隐秘录像时，潜行、乔装和摄影检定获得一个奖励骰。但一旦被发现，将面临严重后果。【双面特质】【影响自己】【永久持续】【被动生效】</t>
  </si>
  <si>
    <t>【飞行理论】</t>
  </si>
  <si>
    <t>\n调查员系统学习过飞行器驾驶理论</t>
  </si>
  <si>
    <t>\n进行驾驶（飞行器）检定时，获得一个奖励骰。但实际飞行经验不足，特技飞行检定面临惩罚骰。【增益特质】【影响自己】【永久持续】【被动生效】</t>
  </si>
  <si>
    <t>【特技飞行】</t>
  </si>
  <si>
    <t>\n调查员能驾驶飞行器完成高难度机动</t>
  </si>
  <si>
    <t>\n当你尝试进行特技飞行或战术机动时，驾驶（飞行器）检定获得一个奖励骰。但机动风险增加，失败后果更严重。【双面特质】【影响自己】【永久持续】【被动生效】</t>
  </si>
  <si>
    <t>【脱罪技巧】</t>
  </si>
  <si>
    <t>\n调查员善于利用言辞和法律手段为自己脱罪</t>
  </si>
  <si>
    <t>\n当被指控犯罪时，你进行的说服或法律检定获得一个奖励骰。但可能引起执法机构更多关注。【增益特质】【影响自己】【永久持续】【被动生效】</t>
  </si>
  <si>
    <t>【谎言识破】</t>
  </si>
  <si>
    <t>\n调查员能本能地察觉到话语中的不协调</t>
  </si>
  <si>
    <t>\n你进行心理学检定以识破谎言时，获得一个奖励骰。除非对方的谎言是建立在完全真实的细节之上。但可能过度猜疑，误判真诚者。【增益特质】【影响自己】【永久持续】【被动生效】</t>
  </si>
  <si>
    <t>【宠物寻找】</t>
  </si>
  <si>
    <t>\n调查员特别擅长寻找走失的宠物</t>
  </si>
  <si>
    <t>\n寻找走失的动物时，进行一次幸运检定，若成功，你总能通过花费时间找到它们。每日限一次，使用后可能遭遇意外情况。【增益特质】【影响自己】【每日一次】【主动寻找】</t>
  </si>
  <si>
    <t>【逻辑推理】</t>
  </si>
  <si>
    <t>\n调查员逻辑清晰，善于理清事件脉络</t>
  </si>
  <si>
    <t>\n在分析线索、推断事件发生顺序时，智力或灵感检定获得一个奖励骰。但对非逻辑性现象理解困难，相关检定面临惩罚骰。【增益特质】【影响自己】【永久持续】【被动生效】</t>
  </si>
  <si>
    <t>【术语掌握】</t>
  </si>
  <si>
    <t>\n调查员能快速掌握并运用不同领域的专业术语</t>
  </si>
  <si>
    <t>\n在阅读或对话中涉及专业术语时，相关的语言、学识或解密检定获得一个奖励骰。但可能过度使用术语，沟通效率降低。【增益特质】【影响自己】【永久持续】【被动生效】</t>
  </si>
  <si>
    <t>【学术评估】</t>
  </si>
  <si>
    <t>\n调查员能准确判断文献资料的学术价值</t>
  </si>
  <si>
    <t>\n在评估书籍、文献的学术意义和市场价值时，图书馆使用或估价检定获得一个奖励骰。但对非学术物品价值判断不准。【增益特质】【影响自己】【永久持续】【被动生效】</t>
  </si>
  <si>
    <t>【黄金痴迷】</t>
  </si>
  <si>
    <t>\n调查员对黄金有着病态的痴迷</t>
  </si>
  <si>
    <t>\n你会不自觉地将财富转化为金条或金饰。拥有黄金能使你安心，理智值低于最大值时，持有黄金可避免不定性疯狂。但可能因此做出不理智的经济决策。【双面特质】【影响自己】【永久持续】【被动生效】</t>
  </si>
  <si>
    <t>【黄金运气】</t>
  </si>
  <si>
    <t>\n调查员似乎被黄金所眷顾</t>
  </si>
  <si>
    <t>\n当幸运检定大成功时，你总能在当前场景中发现一件有价值的黄金制品，甚至可能发现金矿的线索。但可能引来觊觎者，每场模组可能遭遇一次抢劫企图。【双面特质】【影响自己】【永久持续】【触发条件：幸运大成功】</t>
  </si>
  <si>
    <t>【生理需求】</t>
  </si>
  <si>
    <t>\n调查员有着异常旺盛的生理需求</t>
  </si>
  <si>
    <t>\n若长时间（超过一周）没有进行性行为，你的意志和闪避检定面临一个惩罚骰。但满足需求后，接下来24小时内社交检定获得奖励骰。【双面特质】【影响自己】【永久持续】【被动生效】</t>
  </si>
  <si>
    <t>【身体交易】</t>
  </si>
  <si>
    <t>\n调查员不忌讳利用身体作为交易的筹码</t>
  </si>
  <si>
    <t>\n通过性交易进行取悦或说服时，检定获得一个奖励骰。但这会让你留下致命的把柄，且可能引起道德困境。【双面特质】【影响自己】【永久持续】【被动生效】</t>
  </si>
  <si>
    <t>【异常心智】</t>
  </si>
  <si>
    <t>\n调查员的天生精神结构就与常人不同</t>
  </si>
  <si>
    <t>\n你的所有社交技能检定面临一个惩罚骰。但你因超自然现象损失的理智值减半（至少为1）。对疯狂状态的抵抗力增强。【双面特质】【影响自己】【永久持续】【被动生效】</t>
  </si>
  <si>
    <t>【疯狂沟通】</t>
  </si>
  <si>
    <t>\n调查员懂得如何与精神错乱者沟通</t>
  </si>
  <si>
    <t>\n陷入疯狂状态的人形生物不会主动攻击你，你可以尝试与他们进行简单的交流。但可能被他们的疯狂思维影响，相关意志检定面临惩罚骰。【双面特质】【影响自己】【永久持续】【被动生效】</t>
  </si>
  <si>
    <t>【精神安抚】</t>
  </si>
  <si>
    <t>\n调查员能快速对精神病人进行初步分析与安抚</t>
  </si>
  <si>
    <t>\n每日一次，你可以尝试让一名陷入临时疯狂的角色进行一次意志检定，若成功则其疯狂状态提前结束。但可能承受部分疯狂影响。【增益特质】【影响友方单目标】【每日一次】【主动使用】</t>
  </si>
  <si>
    <t>【研究专注】</t>
  </si>
  <si>
    <t>\n调查员一旦投入研究就会忽略周遭的一切</t>
  </si>
  <si>
    <t>\n进行与你职业相关的技能检定时，获得一个奖励骰。但在此期间，你的侦查和聆听检定面临惩罚骰。每场模组限触发三次。【双面特质】【影响自己】【永久持续】【被动生效】</t>
  </si>
  <si>
    <t>【学术权威】</t>
  </si>
  <si>
    <t>\n调查员在其专业领域已是权威</t>
  </si>
  <si>
    <t>\n你的本职专业技能（由守秘人指定）在常规情况下无需检定即可自动成功。但对其他领域知识了解有限，相关检定面临惩罚骰。【增益特质】【影响自己】【永久持续】【被动生效】</t>
  </si>
  <si>
    <t>【航海专家】</t>
  </si>
  <si>
    <t>\n调查员是经验丰富的航海家</t>
  </si>
  <si>
    <t>\n进行导航（海上）、驾驶（船）和操作重型机械（船上设备）检定时，获得一个奖励骰。但在陆地上，相关技能检定面临惩罚骰。【双面特质】【影响自己】【永久持续】【被动生效】</t>
  </si>
  <si>
    <t>【炮术精通】</t>
  </si>
  <si>
    <t>\n调查员精通舰炮的操作与维护</t>
  </si>
  <si>
    <t>\n操作舰炮进行炮术检定时，获得一个奖励骰，且装填时间减少一轮。但对小型武器使用不熟练，相关检定面临惩罚骰。【双面特质】【影响自己】【永久持续】【被动生效】</t>
  </si>
  <si>
    <t>【天文导航】</t>
  </si>
  <si>
    <t>\n调查员善于利用罗盘和天文进行导航</t>
  </si>
  <si>
    <t>\n在海上或利用星空进行导航时，检定获得一个奖励骰。但在室内或阴天时，导航能力大幅下降。【双面特质】【影响自己】【永久持续】【被动生效】</t>
  </si>
  <si>
    <t>【强化船只】</t>
  </si>
  <si>
    <t>\n调查员所在的船只经过特殊强化</t>
  </si>
  <si>
    <t>\n你拥有的船只其耐久度翻倍，船载武器的伤害+1D6。但维护成本高昂，每月信用评级检定面临惩罚骰。【双面特质】【影响自己】【永久持续】【被动生效】</t>
  </si>
  <si>
    <t>【船魂一体】</t>
  </si>
  <si>
    <t>\n调查员将船只视为生命的延伸</t>
  </si>
  <si>
    <t>\n当你身处你自己的船上时，所有技能检定获得一个奖励骰。但如果船只正在沉没，你无法主动弃船逃生，除非通过意志检定。每场模组限一次抵抗弃船。【双面特质】【影响自己】【永久持续】【被动生效】</t>
  </si>
  <si>
    <t>【推销大师】</t>
  </si>
  <si>
    <t>\n调查员擅长用话术包装产品和理念，诱导他人</t>
  </si>
  <si>
    <t>\n进行说服或话术以推销产品或理念时，检定获得一个奖励骰。但可能引起消费者反感，长期信誉面临风险。【双面特质】【影响自己】【永久持续】【被动生效】</t>
  </si>
  <si>
    <t>【简易发明】</t>
  </si>
  <si>
    <t>\n调查员具备将科学理论转化为实物的能力</t>
  </si>
  <si>
    <t>\n你可以尝试利用手头材料发明制造一件具有简易功能的装置，需要成功的科学或机械维修检定，效果由守秘人裁定。每场模组限一次，发明可能不稳定。【增益特质】【影响自己】【单个模组】【主动发明】</t>
  </si>
  <si>
    <t>\n调查员信奉用科学方法解析万物</t>
  </si>
  <si>
    <t>\n你可以使用科学技能来代替智力或教育进行检定，以理解未知装置或现象的运作原理。但对超自然现象的解释总是试图用科学理论，可能错过真相。【双面特质】【影响自己】【永久持续】【被动生效】</t>
  </si>
  <si>
    <t>【文字分析】</t>
  </si>
  <si>
    <t>\n调查员善于从字里行间发现隐藏信息和漏洞</t>
  </si>
  <si>
    <t>\n在进行会计、估价或法律文书检定时，获得一个奖励骰。但对口头沟通的细节记忆较差，相关检定面临惩罚骰。【增益特质】【影响自己】【永久持续】【被动生效】</t>
  </si>
  <si>
    <t>【行程预测】</t>
  </si>
  <si>
    <t>\n调查员逻辑严密，善于规划和预测</t>
  </si>
  <si>
    <t>\n你可以通过一次成功的智力检定，来大致推测出一个熟悉的人的行程安排或可能出现的地点。每日限三次使用，预测可能被意外事件打乱。【增益特质】【影响自己】【永久持续】【主动使用】</t>
  </si>
  <si>
    <t>【成本分析】</t>
  </si>
  <si>
    <t>\n调查员能一眼看穿商品的真实成本</t>
  </si>
  <si>
    <t>\n进行会计或估价以判断商品成本和合理利润时，检定获得一个奖励骰。但对古董和艺术品价值判断不准，相关检定面临惩罚骰。【增益特质】【影响自己】【永久持续】【被动生效】</t>
  </si>
  <si>
    <t>【多重兼职】</t>
  </si>
  <si>
    <t>\n调查员为了生计同时打多份工</t>
  </si>
  <si>
    <t>\n你可以花费额外的时间从事第二份兼职。模组开始时，你的初始现金增加50%，但你的个人时间更为紧张，长期冒险可能导致失业。【双面特质】【影响自己】【永久持续】【被动生效】</t>
  </si>
  <si>
    <t>【工作狂人】</t>
  </si>
  <si>
    <t>\n调查员可以长时间工作而不知疲倦</t>
  </si>
  <si>
    <t>\n你免疫因熬夜导致的技能检定惩罚骰。但通宵工作后，每日清晨会失去1点生命值（代表健康损耗）。连续工作三天后体质检定面临惩罚骰。【双面特质】【影响自己】【永久持续】【被动生效】</t>
  </si>
  <si>
    <t>【睡眠障碍】</t>
  </si>
  <si>
    <t>\n调查员的睡眠极浅，且难以恢复精力</t>
  </si>
  <si>
    <t>\n通过睡眠恢复的生命值减半（至少1点）。但你在睡眠中的聆听检定获得一个奖励骰。每日需要额外2小时休息时间。【减益特质】【影响自己】【永久持续】【被动生效】</t>
  </si>
  <si>
    <t>【团队战术】</t>
  </si>
  <si>
    <t>\n调查员懂得如何与军警人员配合作战</t>
  </si>
  <si>
    <t>\n当你的队伍中至少有另外两名曾为军警的职业时，全队的战斗检定获得一个奖励骰。但与非军警人员配合时，战术协作检定面临惩罚骰。【双面特质】【影响友方】【永久持续】【被动生效】</t>
  </si>
  <si>
    <t>【先发制人】</t>
  </si>
  <si>
    <t>\n调查员擅长在战斗开始时就用火力建立优势</t>
  </si>
  <si>
    <t>\n在战斗的第一轮，如果你使用枪械进行攻击，此次射击检定获得一个奖励骰。但第一轮后射击精度下降，后续射击检定面临轻微惩罚。【双面特质】【影响自己】【单次战斗】【被动生效】</t>
  </si>
  <si>
    <t>【多重身份】</t>
  </si>
  <si>
    <t>\n调查员拥有多个经过伪装的合法身份</t>
  </si>
  <si>
    <t>\n你拥有不止一个身份证明。进行乔装成这些身份或使用这些身份说服时，检定获得一个奖励骰。但身份维护需要成本，每月信用评级检定面临惩罚骰。【双面特质】【影响自己】【永久持续】【被动生效】</t>
  </si>
  <si>
    <t>【假死脱身】</t>
  </si>
  <si>
    <t>\n调查员掌握着通过假死来金蝉脱壳的技巧</t>
  </si>
  <si>
    <t>\n每场模组一次，你可以尝试通过精心策划的死亡来摆脱当前的身份和大部分社会关系，并创建一个新的职业身份。这会让你失去所有原有的人际关系，且新身份信用评级减半。【双面特质】【影响自己】【单个模组】【主动激活】</t>
  </si>
  <si>
    <t>【学生身份】</t>
  </si>
  <si>
    <t>\n调查员利用学生身份获取便利</t>
  </si>
  <si>
    <t>\n凭借学生证，你可以在很多场合获得折扣或信任，在进行相关的说服检定时获得一个奖励骰。但信用评级较低，大额交易面临困难。【双面特质】【影响自己】【永久持续】【被动生效】</t>
  </si>
  <si>
    <t>【责任转移】</t>
  </si>
  <si>
    <t>\n调查员能将工作中的严重失误转嫁给指导者</t>
  </si>
  <si>
    <t>\n每日一次，当你在工作中投出大失败时，你可以指定一名现场的领导或导师，由他承担主要责任。但这会永久损害你与该NPC的关系。【双面特质】【影响自己】【每日一次】【触发条件：工作大失败】</t>
  </si>
  <si>
    <t>【替身守护】</t>
  </si>
  <si>
    <t>\n调查员愿意且能够为队友承受伤害</t>
  </si>
  <si>
    <t>\n你可以主动为一名相邻的队友承受一次物理攻击。此后一轮内，你的乔装、潜行和闪避检定获得一个奖励骰。每场战斗限一次，使用后下一轮行动顺序延迟。【增益特质】【影响自己和友方】【单次战斗】【主动激活】</t>
  </si>
  <si>
    <t>【匿名委托】</t>
  </si>
  <si>
    <t>\n调查员承接各种来路不明的匿名委托</t>
  </si>
  <si>
    <t>\n你有一个接收匿名委托的渠道。这些委托报酬丰厚，但内容往往游走在法律和道德的边缘。每场模组可能遭遇一次委托相关的危险。【双面特质】【影响自己】【永久持续】【被动生效】</t>
  </si>
  <si>
    <t>【部落战士】</t>
  </si>
  <si>
    <t>\n调查员来自与世隔绝的原始部落</t>
  </si>
  <si>
    <t>\n你无法使用任何现代枪械。但你的斗殴、投掷和弓技能检定获得一个奖励骰。对现代社会的适应困难，相关社交检定面临惩罚骰。【双面特质】【影响自己】【永久持续】【被动生效】</t>
  </si>
  <si>
    <t>【原始信仰】</t>
  </si>
  <si>
    <t>\n调查员崇拜自然与先祖的原始力量，排斥现代科学</t>
  </si>
  <si>
    <t>\n你无法进行科学类技能检定。但你的意志、灵感、斗殴和投掷检定获得一个奖励骰。对现代医疗抵抗，治疗效果减半。【双面特质】【影响自己】【永久持续】【被动生效】</t>
  </si>
  <si>
    <t>【图腾庇护】</t>
  </si>
  <si>
    <t>\n调查员身上的图腾纹身蕴含着先祖的庇护</t>
  </si>
  <si>
    <t>\n当你因伤害而生命值降至0时，你可以立即进行一次体质检定。若成功，则生命值稳定在1点。每场模组限一次，使用后理智检定面临惩罚骰。【增益特质】【影响自己】【单个模组】【触发条件：生命值降至0】</t>
  </si>
  <si>
    <t>【自然主义】</t>
  </si>
  <si>
    <t>\n调查员信奉回归自然，排斥衣物束缚</t>
  </si>
  <si>
    <t>\n当你不穿任何衣物时，你的智力、灵感、意志和敏捷检定获得一个奖励骰。所有社交检定面临惩罚骰，且在恶劣环境中体质检定面临惩罚骰。【双面特质】【影响自己】【永久持续】【被动生效】</t>
  </si>
  <si>
    <t>【尸体处理】</t>
  </si>
  <si>
    <t>\n调查员是处理尸体的专家，能完美清除所有痕迹</t>
  </si>
  <si>
    <t>\n使用医学或科学处理尸体时，检定获得一个奖励骰。你可以清除尸体上所有的物理和生物线索。但可能因此产生心理负担，理智检定面临轻微惩罚。【增益特质】【影响自己】【永久持续】【被动生效】</t>
  </si>
  <si>
    <t>【精细缝纫】</t>
  </si>
  <si>
    <t>\n调查员拥有外科医生般的缝合技术</t>
  </si>
  <si>
    <t>\n进行医学缝合或艺术与手艺（缝纫）检定时，获得一个奖励骰。但对大型伤口处理速度较慢，相关急救检定需要额外时间。【增益特质】【影响自己】【永久持续】【被动生效】</t>
  </si>
  <si>
    <t>【工会领袖】</t>
  </si>
  <si>
    <t>\n调查员是某个行业工会的代表，拥有号召力</t>
  </si>
  <si>
    <t>\n作为工会代表，你在与资方谈判或组织工人行动时，说服和话术检定获得一个奖励骰。但可能引起资方敌视，相关社交检定面临惩罚骰。【双面特质】【影响自己】【永久持续】【被动生效】</t>
  </si>
  <si>
    <t>【信用评估】</t>
  </si>
  <si>
    <t>\n调查员能通过观察和交谈大致评估他人的经济状况</t>
  </si>
  <si>
    <t>\n你可以通过一次成功的心理学或估价检定，来判断一个NPC大致的信用评级范围。每日限五次使用，评估可能受对方伪装影响。【增益特质】【影响自己】【永久持续】【主动使用】</t>
  </si>
  <si>
    <t>【情绪安抚】</t>
  </si>
  <si>
    <t>\n调查员善于安抚他人的愤怒情绪</t>
  </si>
  <si>
    <t>\n当尝试让一个愤怒的目标冷静下来时，你的说服或取悦检定获得一个奖励骰。但可能过度包容，被对方利用。【增益特质】【影响单目标】【永久持续】【被动生效】</t>
  </si>
  <si>
    <t>【腰部劳损】</t>
  </si>
  <si>
    <t>\n调查员因长期劳累导致腰部慢性损伤</t>
  </si>
  <si>
    <t>\n所有需要弯腰或爆发性使用腰力的敏捷和体质检定面临一个惩罚骰。但因此更注重技巧，智力检定获得奖励骰。【减益特质】【影响自己】【永久持续】【被动生效】</t>
  </si>
  <si>
    <t>【早发秃顶】</t>
  </si>
  <si>
    <t>\n调查员因压力或遗传而过早秃顶</t>
  </si>
  <si>
    <t>\n外貌减少5点。对抗精神压力相关的体质检定面临惩罚骰。但因此更显成熟，与年长NPC交流时说服检定获得奖励骰。【双面特质】【影响自己】【永久持续】【被动生效】</t>
  </si>
  <si>
    <t>【话术精通】</t>
  </si>
  <si>
    <t>\n调查员深谙沟通技巧，能言善道</t>
  </si>
  <si>
    <t>\n进行话术检定时，获得一个奖励骰。但可能过度依赖话术，真诚度受到质疑。【增益特质】【影响自己】【永久持续】【被动生效】</t>
  </si>
  <si>
    <t>【说服精通】</t>
  </si>
  <si>
    <t>\n调查员说服他人时条理清晰，令人信服</t>
  </si>
  <si>
    <t>\n进行说服检定时，获得一个奖励骰。但对顽固对象效果减半，相关检定面临轻微惩罚。【增益特质】【影响自己】【永久持续】【被动生效】</t>
  </si>
  <si>
    <t>【取悦精通】</t>
  </si>
  <si>
    <t>\n调查员待人接物温和友善，令人如沐春风</t>
  </si>
  <si>
    <t>\n进行取悦检定时，获得一个奖励骰。但在需要强硬态度的场合，社交检定面临惩罚骰。【增益特质】【影响自己】【永久持续】【被动生效】</t>
  </si>
  <si>
    <t>【恐吓精通】</t>
  </si>
  <si>
    <t>\n调查员无需提高声调便能传达威胁</t>
  </si>
  <si>
    <t>\n进行恐吓检定时，获得一个奖励骰。但因此难以建立友好关系，长期社交面临困难。【增益特质】【影响自己】【永久持续】【被动生效】</t>
  </si>
  <si>
    <t>【信仰殉道】</t>
  </si>
  <si>
    <t>\n调查员愿意为信仰付出生命的代价</t>
  </si>
  <si>
    <t>\n当你的行为是为了你的信仰时，意志、心理学、神秘学和历史检定获得一个奖励骰。但对异教知识排斥，相关理智损失增加。【双面特质】【影响自己】【永久持续】【被动生效】</t>
  </si>
  <si>
    <t>【信仰传播】</t>
  </si>
  <si>
    <t>\n调查员热衷于传播自己的信仰</t>
  </si>
  <si>
    <t>\n当你试图向他人传播你的信仰时，说服和心理学检定获得一个奖励骰。但可能引起反感，相关社交检定面临惩罚骰。【双面特质】【影响自己】【永久持续】【被动生效】</t>
  </si>
  <si>
    <t>【动物照顾】</t>
  </si>
  <si>
    <t>\n调查员了解动物习性，擅长照顾它们</t>
  </si>
  <si>
    <t>\n进行驯兽、动物学和自然科学检定时，获得一个奖励骰。但对神话生物了解不足，相关检定面临惩罚骰。【增益特质】【影响自己】【永久持续】【被动生效】</t>
  </si>
  <si>
    <t>【野外驯养】</t>
  </si>
  <si>
    <t>\n调查员懂得如何在野外驯服和照顾动物</t>
  </si>
  <si>
    <t>\n在野外环境下进行驯兽、动物学和急救（对动物）检定时，获得一个奖励骰。但在城市环境中，相关技能效果减半。【双面特质】【影响自己】【永久持续】【被动生效】</t>
  </si>
  <si>
    <t>【信使保护】</t>
  </si>
  <si>
    <t>\n调查员作为信使时受到不成文的规则保护</t>
  </si>
  <si>
    <t>\n当你明确以中立信使或调停者身份介入纷争时，你的说服和取悦检定获得一个奖励骰，且对方不会因交涉失败而立即攻击你。但一旦偏袒某方，将失去此保护。【增益特质】【影响自己】【永久持续】【被动生效】</t>
  </si>
  <si>
    <t>【外交形象】</t>
  </si>
  <si>
    <t>\n调查员代表一个组织进行外交活动时气场十足</t>
  </si>
  <si>
    <t>\n当你代表一个团体进行正式外交时，说服、取悦、乔装（保持形象）和学识检定获得一个奖励骰。但在非正式场合可能显得拘谨，社交检定面临惩罚骰。【双面特质】【影响自己】【永久持续】【被动生效】</t>
  </si>
  <si>
    <t>【耐力训练】</t>
  </si>
  <si>
    <t>\n调查员是经过严格耐力训练的运动健将</t>
  </si>
  <si>
    <t>\n体质、力量和意志检定获得一个奖励骰。但需要大量时间维持训练，长期冒险可能导致体能下降。【增益特质】【影响自己】【永久持续】【被动生效】</t>
  </si>
  <si>
    <t>【极度恐水】</t>
  </si>
  <si>
    <t>\n调查员完全不会游泳，入水即沉</t>
  </si>
  <si>
    <t>\n你无法进行游泳检定，落入深水中有极大溺亡风险。但对水源异常警惕，能提前发现水域危险。【减益特质】【影响自己】【永久持续】【被动生效】</t>
  </si>
  <si>
    <t>【负重游泳】</t>
  </si>
  <si>
    <t>\n调查员擅长携带装备进行游泳</t>
  </si>
  <si>
    <t>\n穿着装备或携带武器进行游泳检定时，不承受常规的惩罚骰。但游泳速度较慢，移动力减少1米。【双面特质】【影响自己】【永久持续】【被动生效】</t>
  </si>
  <si>
    <t>【超强铁肺】</t>
  </si>
  <si>
    <t>\n调查员的肺活量异于常人</t>
  </si>
  <si>
    <t>\n你可以在水下多憋气100%的时间。对抗溺水效果的体质检定获得一个奖励骰。但对空气质量敏感，在污染环境中体质检定面临惩罚骰。【双面特质】【影响自己】【永久持续】【被动生效】</t>
  </si>
  <si>
    <t>【精准击打】</t>
  </si>
  <si>
    <t>\n调查员精通高尔夫、台球等需要精准击打的运动</t>
  </si>
  <si>
    <t>\n进行需要精准瞄准的投掷或运动检定时，获得一个奖励骰。但对力量型运动不擅长，相关检定面临惩罚骰。【增益特质】【影响自己】【永久持续】【被动生效】</t>
  </si>
  <si>
    <t>【幸运服务】</t>
  </si>
  <si>
    <t>\n调查员在兼职服务行业中总能遇到慷慨的客人</t>
  </si>
  <si>
    <t>\n当从事服务生、门童等兼职时，若幸运检定成功，你会获得一笔远超常规的小费。每日限一次，使用后可能引起同事嫉妒。【增益特质】【影响自己】【每日一次】【触发条件：幸运成功】</t>
  </si>
  <si>
    <t>\n调查员曾是专业的田径运动员</t>
  </si>
  <si>
    <t>\n体质、力量、意志以及与跑、跳、投相关的技能检定获得一个奖励骰。但对精细操作不擅长，相关检定面临惩罚骰。【双面特质】【影响自己】【永久持续】【被动生效】</t>
  </si>
  <si>
    <t>【强行发言】</t>
  </si>
  <si>
    <t>\n调查员拥有打断他人并强行发言的能力</t>
  </si>
  <si>
    <t>\n每日一次，你可以尝试打断一个正在进行的行动（如演讲、施法），强制插入你的发言。这需要进行一次话术对抗检定。若失败，将引起对方敌视。【双面特质】【影响单目标】【每日一次】【主动激活】</t>
  </si>
  <si>
    <t>【信誉担保】</t>
  </si>
  <si>
    <t>\n调查员习惯于用自己的信誉为他人做保</t>
  </si>
  <si>
    <t>\n当你为他人进行担保时，相关的说服或法律检定获得一个奖励骰。但如果被担保人失信，你将遭受严重信誉损失，信用评级永久减少1D10点。【双面特质】【影响自己】【永久持续】【被动生效】</t>
  </si>
  <si>
    <t>【民间神职】</t>
  </si>
  <si>
    <t>\n调查员虽然没有正式圣职，但以神职人员自居并进行活动</t>
  </si>
  <si>
    <t>\n你在进行神秘学、历史（宗教相关）和说服（对信徒）检定时，获得一个奖励骰。但可能引起正式神职人员的不满，相关社交检定面临惩罚骰。【双面特质】【影响自己】【永久持续】【被动生效】</t>
  </si>
  <si>
    <t>【信息网络】</t>
  </si>
  <si>
    <t>\n调查员有着广泛的信息来源，擅长打探街谈巷议</t>
  </si>
  <si>
    <t>\n在酒馆、市场等场所打探谣言和消息时，话术和说服检定获得一个奖励骰。但信息真伪难辨，可能获得误导性线索。【双面特质】【影响自己】【永久持续】【被动生效】</t>
  </si>
  <si>
    <t>【写作专长】</t>
  </si>
  <si>
    <t>\n调查员经常向报刊杂志投稿，文笔流畅</t>
  </si>
  <si>
    <t>\n进行母语（书写）或艺术与手艺（写作）检定时，获得一个奖励骰。但口语表达可能生硬，相关社交检定面临轻微惩罚。【增益特质】【影响自己】【永久持续】【被动生效】</t>
  </si>
  <si>
    <t>【地下赌场】</t>
  </si>
  <si>
    <t>\n调查员暗中经营着非法的博彩业务</t>
  </si>
  <si>
    <t>\n你有一个地下赌局。通过会计管理账目、心理学观察赌客、侦查防范老千时，检定获得一个奖励骰。但每场模组可能遭遇一次警方搜查或黑帮勒索。【双面特质】【影响自己】【永久持续】【被动生效】</t>
  </si>
  <si>
    <t>【嗜赌如命】</t>
  </si>
  <si>
    <t>\n调查员沉迷于赌博，难以自拔</t>
  </si>
  <si>
    <t>\n在赌博相关活动中，侦查和妙手（出千）检定获得一个奖励骰；但对抗赌博冲动的意志检定面临一个惩罚骰。【混合特质】【影响自己】【永久持续】【被动生效】</t>
  </si>
  <si>
    <t>【小偷小摸】</t>
  </si>
  <si>
    <t>\n调查员有顺手牵羊的习惯，难以克制</t>
  </si>
  <si>
    <t>\n侦查（寻找可偷物品）和妙手检定获得一个奖励骰；但对抗偷窃冲动的意志检定面临一个惩罚骰。【混合特质】【影响自己】【永久持续】【被动生效】</t>
  </si>
  <si>
    <t>【抵押贷款】</t>
  </si>
  <si>
    <t>\n调查员身负巨额非法高利贷</t>
  </si>
  <si>
    <t>\n信用评级固定为0；每模组开始时需进行一次幸运检定，失败则遭遇暴力催收（生命值损失1D4）。【减益特质】【影响自己】【永久持续】【被动生效】</t>
  </si>
  <si>
    <t>【官司缠身】</t>
  </si>
  <si>
    <t>\n调查员深陷多起民事诉讼</t>
  </si>
  <si>
    <t>\n信用评级固定为0；长期冒险时侦查和追踪检定面临惩罚骰。【减益特质】【影响自己】【永久持续】【被动生效】</t>
  </si>
  <si>
    <t>【牙套整形】</t>
  </si>
  <si>
    <t>\n调查员正在佩戴牙齿矫正器</t>
  </si>
  <si>
    <t>\n外貌暂时减少5点；当牙套拆除后，外貌永久增加5点。【混合特质】【影响自己】【临时持续】【被动生效】</t>
  </si>
  <si>
    <t>【收集牙齿】</t>
  </si>
  <si>
    <t>\n调查员有收集人类或动物牙齿的怪异爱好</t>
  </si>
  <si>
    <t>\n展示收藏品时，恐吓检定获得一个奖励骰；但社交互动（如说服）可能面临惩罚骰。【混合特质】【影响自己】【永久持续】【主动生效】</t>
  </si>
  <si>
    <t>【地下黑医】</t>
  </si>
  <si>
    <t>\n调查员在没有执照的情况下秘密行医</t>
  </si>
  <si>
    <t>\n急救和医学检定获得一个奖励骰；但若被发现，信用评级永久减少10点。【混合特质】【影响自己】【永久持续】【被动生效】</t>
  </si>
  <si>
    <t>【医学整容】</t>
  </si>
  <si>
    <t>\n调查员曾通过手术改变过容貌</t>
  </si>
  <si>
    <t>\n进行一次幸运检定，成功则外貌永久增加10点，失败则外貌永久减少10点。【混合特质】【影响自己】【永久持续】【被动生效】</t>
  </si>
  <si>
    <t>【驾驶专精】</t>
  </si>
  <si>
    <t>\n调查员能轻松驾驭大多数常见车辆</t>
  </si>
  <si>
    <t>\n常规难度的驾驶（汽车）检定自动成功。【增益特质】【影响自己】【永久持续】【被动生效】</t>
  </si>
  <si>
    <t>【极速快递】</t>
  </si>
  <si>
    <t>\n调查员崇尚速度，驾驶时总是超速</t>
  </si>
  <si>
    <t>\n驾驶车辆旅行时间减半；但驾驶检定难度增加且易收到罚单。【混合特质】【影响自己】【永久持续】【被动生效】</t>
  </si>
  <si>
    <t>【风餐露宿】</t>
  </si>
  <si>
    <t>\n调查员习惯了艰苦的户外生活</t>
  </si>
  <si>
    <t>\n对抗恶劣自然环境时，体质和力量检定获得奖励骰。【增益特质】【影响自己】【永久持续】【被动生效】</t>
  </si>
  <si>
    <t>【东奔西跑】</t>
  </si>
  <si>
    <t>\n调查员的工作需要频繁移动，身手敏捷</t>
  </si>
  <si>
    <t>\n敏捷、攀爬和跳跃检定获得奖励骰。【增益特质】【影响自己】【永久持续】【被动生效】</t>
  </si>
  <si>
    <t>【镜头追溯】</t>
  </si>
  <si>
    <t>\n调查员能从影像资料中解读出大量信息</t>
  </si>
  <si>
    <t>\n分析照片或视频时，摄影、侦查和解密检定获得奖励骰。【增益特质】【影响自己】【永久持续】【被动生效】</t>
  </si>
  <si>
    <t>【出演电影】</t>
  </si>
  <si>
    <t>\n调查员曾有影视剧演出经历</t>
  </si>
  <si>
    <t>\n摄影（理解镜头）、乔装和表演检定获得奖励骰。【增益特质】【影响自己】【永久持续】【被动生效】</t>
  </si>
  <si>
    <t>【痕迹检定】</t>
  </si>
  <si>
    <t>\n调查员受过专业训练，能敏锐发现犯罪痕迹</t>
  </si>
  <si>
    <t>\n在犯罪现场进行侦查、追踪和心理学（分析罪犯心理）检定获得奖励骰。【增益特质】【影响自己】【永久持续】【被动生效】</t>
  </si>
  <si>
    <t>【血迹追踪】</t>
  </si>
  <si>
    <t>\n调查员常备鲁米诺试剂等，用于追踪血迹</t>
  </si>
  <si>
    <t>\n使用专业工具进行侦查（发现血迹）和追踪时，检定获得奖励骰。【增益特质】【影响自己】【永久持续】【主动生效】</t>
  </si>
  <si>
    <t>【地下拳手】</t>
  </si>
  <si>
    <t>\n调查员曾在地下拳场搏斗</t>
  </si>
  <si>
    <t>\n斗殴和体质检定获得奖励骰；可能背负旧伤或仇家。【增益特质】【影响自己】【永久持续】【被动生效】</t>
  </si>
  <si>
    <t>【关税减免】</t>
  </si>
  <si>
    <t>\n调查员精通国际贸易规则与漏洞</t>
  </si>
  <si>
    <t>\n会计、议价和法律（涉及贸易法）检定获得奖励骰。【增益特质】【影响自己】【永久持续】【被动生效】</t>
  </si>
  <si>
    <t>【航道精通】</t>
  </si>
  <si>
    <t>\n调查员熟悉主要航运路线与港口事务</t>
  </si>
  <si>
    <t>\n驾驶（船）、导航（海上）和与港口官员的交涉检定获得奖励骰。【增益特质】【影响自己】【永久持续】【被动生效】</t>
  </si>
  <si>
    <t>【古典技艺】</t>
  </si>
  <si>
    <t>\n调查员掌握一门濒临失传的古典手艺</t>
  </si>
  <si>
    <t>\n在特定的艺术与手艺专业（如珐琅制作）上，检定获得奖励骰。【增益特质】【影响自己】【永久持续】【被动生效】</t>
  </si>
  <si>
    <t>【赛道之王】</t>
  </si>
  <si>
    <t>\n调查员是竞速比赛中的常胜将军</t>
  </si>
  <si>
    <t>\n参与竞速比赛时，驾驶检定获得奖励骰。【增益特质】【影响自己】【永久持续】【被动生效】</t>
  </si>
  <si>
    <t>【车辆改装】</t>
  </si>
  <si>
    <t>\n调查员能对车辆进行性能强化与个性化改装</t>
  </si>
  <si>
    <t>\n机械维修和驾驶（测试改装车）检定获得奖励骰。【增益特质】【影响自己】【永久持续】【主动生效】</t>
  </si>
  <si>
    <t>【播音艺术】</t>
  </si>
  <si>
    <t>\n调查员拥有专业播音员般的悦耳嗓音</t>
  </si>
  <si>
    <t>\n使用声音进行话术、说服和催眠检定获得奖励骰。【增益特质】【影响自己】【永久持续】【被动生效】</t>
  </si>
  <si>
    <t>【圣经天使】</t>
  </si>
  <si>
    <t>\n调查员是热情的街头传教士</t>
  </si>
  <si>
    <t>\n手持圣经进行说服（传教）、神秘学（解读象征）和语言（理解古文本）检定获得奖励骰。【增益特质】【影响自己】【永久持续】【主动生效】</t>
  </si>
  <si>
    <t>【旅行商人】</t>
  </si>
  <si>
    <t>\n调查员穿梭于各地倒卖商品</t>
  </si>
  <si>
    <t>\n会计、估价和心理学（揣摩顾客心理）检定获得奖励骰。【增益特质】【影响自己】【永久持续】【被动生效】</t>
  </si>
  <si>
    <t>【慈善人士】</t>
  </si>
  <si>
    <t>\n调查员以乐善好施闻名</t>
  </si>
  <si>
    <t>\n信用评级和说服（在慈善圈内）检定获得奖励骰；但收入大部分用于捐赠。【混合特质】【影响自己】【永久持续】【被动生效】</t>
  </si>
  <si>
    <t>【舞台陷阱】</t>
  </si>
  <si>
    <t>\n调查员擅长为舞台剧或表演设计机关陷阱</t>
  </si>
  <si>
    <t>\n机械维修、博物学（了解材料）和艺术与手艺（制造）以制作舞台效果时，检定获得奖励骰。【增益特质】【影响自己】【永久持续】【主动生效】</t>
  </si>
  <si>
    <t>【灯光控制】</t>
  </si>
  <si>
    <t>\n调查员是操控光线与电路的大师</t>
  </si>
  <si>
    <t>\n电气维修和艺术与手艺（舞台灯光）检定获得奖励骰。【增益特质】【影响自己】【永久持续】【主动生效】</t>
  </si>
  <si>
    <t>【股神在世】</t>
  </si>
  <si>
    <t>\n调查员投身股市，盈亏全靠天命</t>
  </si>
  <si>
    <t>\n每模组开始或结束时，进行一次幸运检定，成功则信用评级增加1D10%，失败则减少1D10%。【混合特质】【影响自己】【模组限次】【主动生效】</t>
  </si>
  <si>
    <t>【地理勘探】</t>
  </si>
  <si>
    <t>\n调查员能熟练进行野外测绘与地形分析</t>
  </si>
  <si>
    <t>\n摄影（记录地形）、导航和生存（野外定位）检定获得奖励骰。【增益特质】【影响自己】【永久持续】【被动生效】</t>
  </si>
  <si>
    <t>【号码追踪】</t>
  </si>
  <si>
    <t>\n调查员能通过技术手段定位手机信号</t>
  </si>
  <si>
    <t>\n计算机使用、电气维修和追踪（电子追踪）检定获得奖励骰。【增益特质】【影响自己】【永久持续】【主动生效】</t>
  </si>
  <si>
    <t>【幽灵号码】</t>
  </si>
  <si>
    <t>\n调查员掌握隐藏自身号码并进行伪装的通话技术</t>
  </si>
  <si>
    <t>\n计算机使用、电气维修和乔装（声音伪装）检定获得奖励骰。【增益特质】【影响自己】【永久持续】【主动生效】</t>
  </si>
  <si>
    <t>【知名星探】</t>
  </si>
  <si>
    <t>\n调查员善于发掘有潜力的艺人</t>
  </si>
  <si>
    <t>\n说服（签约）检定获得奖励骰；认识许多娱乐圈内人。【增益特质】【影响自己】【永久持续】【被动生效】</t>
  </si>
  <si>
    <t>【职业开盒】</t>
  </si>
  <si>
    <t>\n调查员擅长在人肉搜索中获取他人隐私信息</t>
  </si>
  <si>
    <t>\n计算机使用检定获得奖励骰；能找到大多数人的公开或半公开信息。【增益特质】【影响自己】【永久持续】【主动生效】</t>
  </si>
  <si>
    <t>【医学奇迹】</t>
  </si>
  <si>
    <t>\n调查员曾见证或创造过不可思议的康复案例</t>
  </si>
  <si>
    <t>\n每日一次，当急救或医学检定大成功时，效果如同神迹，可能让濒死者稳定或出现惊人好转。【增益特质】【影响单目标】【每日限次】【触发生效】</t>
  </si>
  <si>
    <t>【激进疗法】</t>
  </si>
  <si>
    <t>\n调查员信奉猛药去疴，治疗手段大胆而危险</t>
  </si>
  <si>
    <t>\n急救或医学检定成功时效果翻倍；失败时造成医疗事故，目标需进行幸运检定，失败则伤势恶化。【混合特质】【影响单目标】【永久持续】【主动生效】</t>
  </si>
  <si>
    <t>【稳定伤情】</t>
  </si>
  <si>
    <t>\n调查员的身体能顽强地维持最后一线生机</t>
  </si>
  <si>
    <t>\n当因中毒、流血等持续伤害导致生命值降至0时，生命值稳定在1点，但持续伤害效果依然存在。【增益特质】【影响自己】【永久持续】【被动生效】</t>
  </si>
  <si>
    <t>【战斗续行】</t>
  </si>
  <si>
    <t>\n调查员能将精神力量转化为维系生命的能量</t>
  </si>
  <si>
    <t>\n当生命值降至0或以下时，可将等量魔力（MP）转化为临时生命值。每模组限一次。【增益特质】【影响自己】【模组限次】【主动生效】【消耗MP】</t>
  </si>
  <si>
    <t>【宝藏嗅觉】</t>
  </si>
  <si>
    <t>\n调查员对隐藏的财富和历史遗迹有独特的直觉</t>
  </si>
  <si>
    <t>\n寻找宝藏或古迹时，侦查、导航、解密、历史和博物学检定获得奖励骰。【增益特质】【影响自己】【永久持续】【被动生效】</t>
  </si>
  <si>
    <t>【悬赏标记】</t>
  </si>
  <si>
    <t>\n调查员能快速识别出被通缉的要犯</t>
  </si>
  <si>
    <t>\n能一眼认出已知通缉犯；与悬赏目标战斗的第一轮，先攻检定获得奖励骰。【增益特质】【影响自己】【永久持续】【被动生效】</t>
  </si>
  <si>
    <t>【大乘佛法】</t>
  </si>
  <si>
    <t>\n调查员诵念的经文能净化亡者，阻止其尸变</t>
  </si>
  <si>
    <t>\n当有生物在你面前死亡时，可立即诵经，使其尸体无法被转化为不死生物。每场景限一次。【增益特质】【影响单目标】【场景限次】【主动生效】</t>
  </si>
  <si>
    <t>【苦行僧众】</t>
  </si>
  <si>
    <t>\n调查员通过承受痛苦来磨练意志，净化心灵</t>
  </si>
  <si>
    <t>\n因任何原因损失的理智值减半（至少为1）。【增益特质】【影响自己】【永久持续】【被动生效】</t>
  </si>
  <si>
    <t>【立地金身】</t>
  </si>
  <si>
    <t>\n调查员心如明镜台，邪魔难以附身</t>
  </si>
  <si>
    <t>\n免疫鬼怪、精神控制类和附身类的超自然效果。【增益特质】【影响自己】【永久持续】【被动生效】</t>
  </si>
  <si>
    <t>【舍身地狱】</t>
  </si>
  <si>
    <t>\n调查员抱有与敌偕亡的觉悟</t>
  </si>
  <si>
    <t>\n当受到足以将生命值降至0以下的伤害时，可选择将此次伤害全额反弹给攻击者。之后正常承受伤害。每模组限一次。【增益特质】【影响单目标】【模组限次】【触发生效】</t>
  </si>
  <si>
    <t>【百万加持】</t>
  </si>
  <si>
    <t>\n调查员似乎受到某种存在的眷顾</t>
  </si>
  <si>
    <t>\n每日一次，当任何检定投出大失败时，可重掷该检定。【增益特质】【影响自己】【每日限次】【触发生效】</t>
  </si>
  <si>
    <t>【祛灾除厄】</t>
  </si>
  <si>
    <t>\n调查员能替队友承担厄运</t>
  </si>
  <si>
    <t>\n当队友投出大失败时，可由你承担后果。队友可重掷检定，但你需要承受惩罚骰，持续1小时。每场景限一次。【增益特质】【影响友方】【场景限次】【主动生效】</t>
  </si>
  <si>
    <t>【妖怪通识】</t>
  </si>
  <si>
    <t>\n调查员对东方传说中的妖魔鬼怪了如指掌</t>
  </si>
  <si>
    <t>\n面对源自东方传说的超自然生物时，因此损失的理智值减半。【增益特质】【影响自己】【永久持续】【被动生效】</t>
  </si>
  <si>
    <t>【风水奇门】</t>
  </si>
  <si>
    <t>\n调查员能运用风水知识趋吉避凶</t>
  </si>
  <si>
    <t>\n每日一次，当受到致命伤害时，可进行幸运检定，成功则伤害减半。【增益特质】【影响自己】【每日限次】【触发生效】</t>
  </si>
  <si>
    <t>【占卜吉凶】</t>
  </si>
  <si>
    <t>\n调查员能通过卦象预知敌人的强弱</t>
  </si>
  <si>
    <t>\n遭遇未知超自然生物前，可进行一次占卜。KP会根据卦象暗示威胁等级，但卦象可能影响现实。【混合特质】【影响自己】【场景限次】【主动生效】</t>
  </si>
  <si>
    <t>【妖怪克星】</t>
  </si>
  <si>
    <t>\n调查员的攻击对妖怪格外有效</t>
  </si>
  <si>
    <t>\n对超自然生物（尤其是东方妖怪）造成的伤害，不会被其伤害减免等特性降低。【增益特质】【影响敌方】【永久持续】【被动生效】</t>
  </si>
  <si>
    <t>【解除封印】</t>
  </si>
  <si>
    <t>\n调查员天生就能轻易破坏魔法封印</t>
  </si>
  <si>
    <t>\n触碰任何魔法封印、结界时，可使其效果不稳定或直接解除。每次使用需进行幸运检定，失败则释放出危险存在。【混合特质】【影响单目标】【永久持续】【主动生效】</t>
  </si>
  <si>
    <t>【听声辩位】</t>
  </si>
  <si>
    <t>\n调查员的听觉敏锐到可以替代部分视觉</t>
  </si>
  <si>
    <t>\n聆听检定获得一个奖励骰；在安静环境下可大致判断周围生物位置。【增益特质】【影响自己】【永久持续】【被动生效】</t>
  </si>
  <si>
    <t>【掌握心眼】</t>
  </si>
  <si>
    <t>\n调查员不依赖视觉，用心去感受战斗</t>
  </si>
  <si>
    <t>\n主动闭上眼睛战斗时，斗殴和闪避检定获得一个奖励骰。【增益特质】【影响自己】【永久持续】【主动生效】</t>
  </si>
  <si>
    <t>【无心无物】</t>
  </si>
  <si>
    <t>\n调查员是盲人，内心一片虚无，无所畏惧</t>
  </si>
  <si>
    <t>\n免疫因目睹超自然景象而损失的理智值；但仍会因理解其本质而损失理智。【增益特质】【影响自己】【永久持续】【被动生效】</t>
  </si>
  <si>
    <t>【出口成真】</t>
  </si>
  <si>
    <t>\n调查员的话语蕴含着扭曲现实的力量</t>
  </si>
  <si>
    <t>\n每日一次，可尝试说出一件事物并使其成真。效果由KP裁定，每次使用消耗1D10点理智值。【混合特质】【影响单目标】【每日限次】【主动生效】【消耗SAN】</t>
  </si>
  <si>
    <t>【服从律令】</t>
  </si>
  <si>
    <t>\n调查员能以命令的口吻扭曲他人意志</t>
  </si>
  <si>
    <t>\n每日一次，对目标下达简单命令，双方进行意志对抗。若你成功，目标执行命令；若失败，你在1小时内无法抵抗该目标的命令。【混合特质】【影响单目标】【每日限次】【主动生效】</t>
  </si>
  <si>
    <t>【死者通灵】</t>
  </si>
  <si>
    <t>\n调查员能与刚死不久的灵魂进行短暂交流</t>
  </si>
  <si>
    <t>\n触摸死亡不超过1小时的尸体，可与其灵魂对话1D3轮。每次使用消耗1D6点理智值。【增益特质】【影响单目标】【永久持续】【主动生效】【消耗SAN】</t>
  </si>
  <si>
    <t>【阴阳视觉】</t>
  </si>
  <si>
    <t>\n调查员天生就能看见幽灵与不可名状之物</t>
  </si>
  <si>
    <t>\n总是能看见徘徊在世间的灵体，侦查它们时自动成功；但每日需进行理智检定以避免损失1D3点理智。【混合特质】【影响自己】【永久持续】【被动生效】</t>
  </si>
  <si>
    <t>【妖怪亲和】</t>
  </si>
  <si>
    <t>\n调查员的外貌或气质对妖怪有莫名的吸引力</t>
  </si>
  <si>
    <t>\n与智能型超自然生物（尤其是东方妖怪）进行交涉时，获得一个奖励骰。【增益特质】【影响敌方】【永久持续】【被动生效】</t>
  </si>
  <si>
    <t>【内丹修行】</t>
  </si>
  <si>
    <t>\n调查员修炼内家功法，体魄远超常人</t>
  </si>
  <si>
    <t>\n外貌、力量和体质各增加5点（不超过90）；斗殴检定获得一个奖励骰。【增益特质】【影响自己】【永久持续】【被动生效】</t>
  </si>
  <si>
    <t>【炼化外丹】</t>
  </si>
  <si>
    <t>\n调查员痴迷于炼丹术，视万物为药材</t>
  </si>
  <si>
    <t>\n急救、医学、药学和化学检定获得一个奖励骰；但总想尝试用非常规材料入药。【增益特质】【影响自己】【永久持续】【被动生效】</t>
  </si>
  <si>
    <t>【精通外语】</t>
  </si>
  <si>
    <t>\n调查员对某一门外语掌握得如同母语</t>
  </si>
  <si>
    <t>\n选择一门外语，使用该语言进行的检定获得一个奖励骰。【增益特质】【影响自己】【永久持续】【被动生效】</t>
  </si>
  <si>
    <t>【非法移民】</t>
  </si>
  <si>
    <t>\n调查员没有合法的公民身份</t>
  </si>
  <si>
    <t>\n信用评级检定面临一个惩罚骰；随时面临被驱逐出境的风险。【减益特质】【影响自己】【永久持续】【被动生效】</t>
  </si>
  <si>
    <t>【不动如山】</t>
  </si>
  <si>
    <t>\n调查员的下盘功夫极为了得</t>
  </si>
  <si>
    <t>\n当体格（SIZ）低于你的生物试图对你进行冲撞、擒抱时，其检定自动失败。【增益特质】【影响自己】【永久持续】【被动生效】</t>
  </si>
  <si>
    <t>【肉山炸弹】</t>
  </si>
  <si>
    <t>\n调查员是名副其实的巨人</t>
  </si>
  <si>
    <t>\n体格（SIZ）额外增加30点；近战攻击命中时目标需进行体质检定，失败则眩晕一轮。【增益特质】【影响自己】【永久持续】【被动生效】</t>
  </si>
  <si>
    <t>【钓鱼专精】</t>
  </si>
  <si>
    <t>\n调查员是钓鱼和捕鱼的好手</t>
  </si>
  <si>
    <t>\n钓鱼或设置捕鱼陷阱的检定获得一个奖励骰。【增益特质】【影响自己】【永久持续】【被动生效】</t>
  </si>
  <si>
    <t>【绝不空军】</t>
  </si>
  <si>
    <t>\n调查员运气奇佳，从不空手而归</t>
  </si>
  <si>
    <t>\n当钓鱼或寻找食物的幸运检定失败时，依然能找到有价值物品（由KP决定）。【增益特质】【影响自己】【永久持续】【被动生效】</t>
  </si>
  <si>
    <t>【自我分析】</t>
  </si>
  <si>
    <t>\n调查员能冷静地剖析自己的心理状态</t>
  </si>
  <si>
    <t>\n陷入临时疯狂时，可立即进行意志检定，成功则疯狂持续时间减半。【增益特质】【影响自己】【永久持续】【触发生效】</t>
  </si>
  <si>
    <t>【人格障碍】</t>
  </si>
  <si>
    <t>\n调查员患有多重人格障碍或反社会人格</t>
  </si>
  <si>
    <t>\n说服和取悦检定面临惩罚骰；但恐吓和斗殴检定获得奖励骰。【混合特质】【影响自己】【永久持续】【被动生效】</t>
  </si>
  <si>
    <t>【女性外表】</t>
  </si>
  <si>
    <t>\n调查员拥有非常女性化的美丽外表</t>
  </si>
  <si>
    <t>\n外貌增加10点；基于第一印象的说服和取悦检定获得一个奖励骰。【增益特质】【影响自己】【永久持续】【被动生效】</t>
  </si>
  <si>
    <t>【动物救援】</t>
  </si>
  <si>
    <t>\n调查员致力于救助受伤的野生动物</t>
  </si>
  <si>
    <t>\n对动物使用急救、医学和药学检定时，获得一个奖励骰。【增益特质】【影响动物】【永久持续】【主动生效】</t>
  </si>
  <si>
    <t>【医学传承】</t>
  </si>
  <si>
    <t>\n调查员继承了一项独特的医学流派或秘方</t>
  </si>
  <si>
    <t>\n选择一项医学专业（如正骨、针灸），在该领域的医学检定获得一个奖励骰。【增益特质】【影响自己】【永久持续】【被动生效】</t>
  </si>
  <si>
    <t>【东方医学】</t>
  </si>
  <si>
    <t>\n调查员精通中医等东方传统医学体系</t>
  </si>
  <si>
    <t>\n使用东方医学理论进行诊断、急救和药学检定时，获得一个奖励骰。【增益特质】【影响自己】【永久持续】【被动生效】</t>
  </si>
  <si>
    <t>【优雅舞步】</t>
  </si>
  <si>
    <t>\n调查员的舞姿优美动人</t>
  </si>
  <si>
    <t>\n舞蹈表演、交际和闪避（在舞会中）检定获得一个奖励骰。【增益特质】【影响自己】【永久持续】【被动生效】</t>
  </si>
  <si>
    <t>【定制服装】</t>
  </si>
  <si>
    <t>\n调查员的衣物均由名师量身定制</t>
  </si>
  <si>
    <t>\n在上流社会场合，信誉和外貌检定获得一个奖励骰。【增益特质】【影响自己】【永久持续】【被动生效】</t>
  </si>
  <si>
    <t>【定制武器】</t>
  </si>
  <si>
    <t>\n调查员的武器是大师打造的精品</t>
  </si>
  <si>
    <t>\n定制武器不会因故障或普通损坏而失效（大失败导致的毁灭性损坏除外）。【增益特质】【影响自己】【永久持续】【被动生效】</t>
  </si>
  <si>
    <t>【冒险精神】</t>
  </si>
  <si>
    <t>\n调查员热爱并擅长探索未知环境</t>
  </si>
  <si>
    <t>\n在第一次进入的陌生区域进行侦查、聆听和导航检定时，获得一个奖励骰。【增益特质】【影响自己】【永久持续】【被动生效】</t>
  </si>
  <si>
    <t>【常备光源】</t>
  </si>
  <si>
    <t>\n调查员总是随身携带多个可靠的光源</t>
  </si>
  <si>
    <t>\n永远不会因缺乏照明而承受惩罚骰；总能从包里翻出手电筒等物品。【增益特质】【影响自己】【永久持续】【被动生效】</t>
  </si>
  <si>
    <t>【地下偶像】</t>
  </si>
  <si>
    <t>\n调查员曾是不出名的偶像团体成员</t>
  </si>
  <si>
    <t>\n歌唱、表演、乐理、演奏、体质和意志（对抗疲劳）检定获得一个奖励骰。【增益特质】【影响自己】【永久持续】【被动生效】</t>
  </si>
  <si>
    <t>【过气网红】</t>
  </si>
  <si>
    <t>\n调查员曾是网络红人，现已过气</t>
  </si>
  <si>
    <t>\n表演（直播）和话术（网络互动）检定获得一个奖励骰；仍有一定数量粉丝。【增益特质】【影响自己】【永久持续】【被动生效】</t>
  </si>
  <si>
    <t>【科学驱魔】</t>
  </si>
  <si>
    <t>\n调查员尝试用科学设备探测和对抗灵异现象</t>
  </si>
  <si>
    <t>\n使用电子设备进行幽灵猎捕时，电气维修、机械维修、神秘学和科学检定获得一个奖励骰。【增益特质】【影响自己】【永久持续】【主动生效】</t>
  </si>
  <si>
    <t>【预言水晶】</t>
  </si>
  <si>
    <t>&amp;道具&amp;</t>
  </si>
  <si>
    <t>\n调查员持有一颗据说能预知未来的水晶球</t>
  </si>
  <si>
    <t>\n表演（占卜）、心理学（解读客户）和神秘学检定获得一个奖励骰；真实效果由KP决定。【增益特质】【影响自己】【永久持续】【主动生效】</t>
  </si>
  <si>
    <t>【机械神教】</t>
  </si>
  <si>
    <t>\n调查员崇拜机械，追求身体的机械化改造</t>
  </si>
  <si>
    <t>\n机械维修、电气维修和相关科学知识检定获得一个奖励骰；对肉体感到厌恶。【增益特质】【影响自己】【永久持续】【被动生效】</t>
  </si>
  <si>
    <t>【修理大师】</t>
  </si>
  <si>
    <t>\n调查员似乎能修好任何损坏的东西</t>
  </si>
  <si>
    <t>\n机械维修、电气维修、驾驶（维修）、操作重型机械（维修）和木工检定获得一个奖励骰。【增益特质】【影响自己】【永久持续】【主动生效】</t>
  </si>
  <si>
    <t>【超级味蕾】</t>
  </si>
  <si>
    <t>\n调查员的味觉灵敏到可以尝出微观成分</t>
  </si>
  <si>
    <t>\n可通过品尝检测食物和饮料中是否含有常见毒物，无需检定。【增益特质】【影响自己】【永久持续】【主动生效】</t>
  </si>
  <si>
    <t>【特级厨师】</t>
  </si>
  <si>
    <t>\n调查员的烹饪技艺已臻化境</t>
  </si>
  <si>
    <t>\n厨艺和相关的体质（长时间站立）、力量（颠锅）检定获得一个奖励骰。【增益特质】【影响自己】【永久持续】【主动生效】</t>
  </si>
  <si>
    <t>【匿名黑客】</t>
  </si>
  <si>
    <t>\n调查员是在网络上臭名昭著的黑客</t>
  </si>
  <si>
    <t>\n计算机使用检定获得一个奖励骰；被多个执法机构通缉。【增益特质】【影响自己】【永久持续】【被动生效】</t>
  </si>
  <si>
    <t>【抵抗之狐】</t>
  </si>
  <si>
    <t>\n调查员曾是身手不凡的国际雇佣兵</t>
  </si>
  <si>
    <t>\n所有战斗和射击技能检定获得一个奖励骰。【增益特质】【影响自己】【永久持续】【被动生效】</t>
  </si>
  <si>
    <t>【御宅之魂】</t>
  </si>
  <si>
    <t>\n调查员是资深的动漫游戏爱好者</t>
  </si>
  <si>
    <t>\n计算机使用、图书馆使用（寻找资料）、潜行（避免社交）和乔装（COSPLAY）检定获得一个奖励骰。【增益特质】【影响自己】【永久持续】【被动生效】</t>
  </si>
  <si>
    <t>【守备结界】</t>
  </si>
  <si>
    <t>\n调查员在自己的家里感到无比安全与强大</t>
  </si>
  <si>
    <t>\n身处自己的住所内时，所有技能检定获得一个奖励骰。【增益特质】【影响自己】【永久持续】【被动生效】</t>
  </si>
  <si>
    <t>【封弊大佬】</t>
  </si>
  <si>
    <t>\n调查员是游戏封测玩家，熟知各种漏洞</t>
  </si>
  <si>
    <t>\n计算机使用（游戏）和在游戏化情境下的战斗检定获得一个奖励骰。【增益特质】【影响自己】【永久持续】【被动生效】</t>
  </si>
  <si>
    <t>【打金肝帝】</t>
  </si>
  <si>
    <t>\n调查员靠玩游戏赚取生活费</t>
  </si>
  <si>
    <t>\n计算机使用（游戏）和对抗疲劳的意志检定获得一个奖励骰。【增益特质】【影响自己】【永久持续】【被动生效】</t>
  </si>
  <si>
    <t>【职业花瓶】</t>
  </si>
  <si>
    <t>\n调查员受过专业的交际训练，作为陪衬存在</t>
  </si>
  <si>
    <t>\n说服、取悦、外貌、礼仪、乔装和艺术与手艺（如插花）检定获得一个奖励骰。【增益特质】【影响自己】【永久持续】【被动生效】</t>
  </si>
  <si>
    <t>【传统贵族】</t>
  </si>
  <si>
    <t>\n调查员出身于历史悠久的贵族家庭</t>
  </si>
  <si>
    <t>\n信誉、外貌、礼仪、历史（贵族系）和艺术与手艺（如马术）检定获得一个奖励骰。【增益特质】【影响自己】【永久持续】【被动生效】</t>
  </si>
  <si>
    <t>【世家嫡子】</t>
  </si>
  <si>
    <t>\n调查员是大家族的第一顺位继承人</t>
  </si>
  <si>
    <t>\n信誉、会计、估价、心理学（识人）和艺术与手艺（管理）检定获得一个奖励骰；背负家族期望。【增益特质】【影响自己】【永久持续】【被动生效】</t>
  </si>
  <si>
    <t>【仆从执事】</t>
  </si>
  <si>
    <t>\n调查员曾接受过专业的仆役训练</t>
  </si>
  <si>
    <t>\n侦查（观察主人需求）、潜行（不打扰主人）、急救和战斗（保护主人）检定获得一个奖励骰。【增益特质】【影响自己】【永久持续】【被动生效】</t>
  </si>
  <si>
    <t>【精打细算】</t>
  </si>
  <si>
    <t>\n调查员对数字敏感，善于财务管理</t>
  </si>
  <si>
    <t>\n会计检定获得一个奖励骰。【增益特质】【影响自己】【永久持续】【被动生效】</t>
  </si>
  <si>
    <t>【人类专家】</t>
  </si>
  <si>
    <t>\n调查员对人类文化、习俗有深入研究</t>
  </si>
  <si>
    <t>\n人类学检定获得一个奖励骰。【增益特质】【影响自己】【永久持续】【被动生效】</t>
  </si>
  <si>
    <t>【精确估价】</t>
  </si>
  <si>
    <t>\n调查员能精准判断物品的市场价值</t>
  </si>
  <si>
    <t>\n估价检定获得一个奖励骰。【增益特质】【影响自己】【永久持续】【被动生效】</t>
  </si>
  <si>
    <t>【人猿泰山】</t>
  </si>
  <si>
    <t>\n调查员在丛林或复杂地形中移动迅捷如猿</t>
  </si>
  <si>
    <t>\n攀爬和跳跃检定获得一个奖励骰。【增益特质】【影响自己】【永久持续】【被动生效】</t>
  </si>
  <si>
    <t>【网络大神】</t>
  </si>
  <si>
    <t>\n调查员是计算机领域的顶尖高手</t>
  </si>
  <si>
    <t>\n计算机使用检定获得一个奖励骰。【增益特质】【影响自己】【永久持续】【被动生效】</t>
  </si>
  <si>
    <t>【民间声望】</t>
  </si>
  <si>
    <t>\n调查员在其专业领域内享有盛誉</t>
  </si>
  <si>
    <t>\n信用评级检定获得一个奖励骰。【增益特质】【影响自己】【永久持续】【被动生效】</t>
  </si>
  <si>
    <t>【异常接触】</t>
  </si>
  <si>
    <t>\n调查员曾无意间接触过宇宙的可怕真相</t>
  </si>
  <si>
    <t>\n初始克苏鲁神话技能增加5%。【增益特质】【影响自己】【永久持续】【被动生效】</t>
  </si>
  <si>
    <t>【邪神注视】</t>
  </si>
  <si>
    <t>\n调查员已被某个不可名状的存在所注意</t>
  </si>
  <si>
    <t>\n初始克苏鲁神话技能增加5%；但每模组需进行一次幸运检定，失败则遭遇相关超自然事件。【混合特质】【影响自己】【永久持续】【被动生效】</t>
  </si>
  <si>
    <t>【换装变态】</t>
  </si>
  <si>
    <t>\n调查员从异装行为中获得极大的满足感</t>
  </si>
  <si>
    <t>\n乔装成异性时，检定获得一个奖励骰。【增益特质】【影响自己】【永久持续】【主动生效】</t>
  </si>
  <si>
    <t>【潮流吸引】</t>
  </si>
  <si>
    <t>\n调查员热衷于追逐最新的时尚潮流</t>
  </si>
  <si>
    <t>\n乔装（打扮入时）和基于外貌的说服检定获得一个奖励骰。【增益特质】【影响自己】【永久持续】【被动生效】</t>
  </si>
  <si>
    <t>【车轮幸存】</t>
  </si>
  <si>
    <t>\n调查员曾奇迹般地从车祸中生还</t>
  </si>
  <si>
    <t>\n闪避车辆或类似冲撞攻击时，检定获得一个奖励骰。【增益特质】【影响自己】【永久持续】【被动生效】</t>
  </si>
  <si>
    <t>【车万大神】</t>
  </si>
  <si>
    <t>\n调查员拥有超凡的反应速度，如同弹幕游戏高手</t>
  </si>
  <si>
    <t>\n闪避远程投射物和计算机使用（玩弹幕游戏）检定获得一个奖励骰。【增益特质】【影响自己】【永久持续】【被动生效】</t>
  </si>
  <si>
    <t>【猫里奥猫】</t>
  </si>
  <si>
    <t>\n调查员的运气和意志力在绝境中能创造奇迹</t>
  </si>
  <si>
    <t>\n在看似必死的陷阱或绝境中进行闪避、意志或幸运检定时，获得一个奖励骰。【增益特质】【影响自己】【永久持续】【被动生效】</t>
  </si>
  <si>
    <t>【单手车技】</t>
  </si>
  <si>
    <t>\n调查员能单手完成复杂的驾驶操作</t>
  </si>
  <si>
    <t>\n驾驶检定获得一个奖励骰；即使一只手臂受伤也不会承受驾驶惩罚。【增益特质】【影响自己】【永久持续】【被动生效】</t>
  </si>
  <si>
    <t>【疯狂奥托】</t>
  </si>
  <si>
    <t>\n调查员在驾驶时有种撞向活物的冲动</t>
  </si>
  <si>
    <t>\n驾驶车辆撞击生物时，驾驶检定获得奖励骰，且目标闪避检定面临惩罚骰。【混合特质】【影响自己】【永久持续】【主动生效】</t>
  </si>
  <si>
    <t>【雷电法王】</t>
  </si>
  <si>
    <t>\n调查员对电学原理有着近乎痴迷的理解</t>
  </si>
  <si>
    <t>\n电气维修和电子学检定获得一个奖励骰。【增益特质】【影响自己】【永久持续】【被动生效】</t>
  </si>
  <si>
    <t>【手搓核弹】</t>
  </si>
  <si>
    <t>\n调查员拥有将理论知识转化为危险实物的能力</t>
  </si>
  <si>
    <t>\n制造装置时的机械维修、化学和科学（物理）检定获得一个奖励骰。【增益特质】【影响自己】【永久持续】【主动生效】</t>
  </si>
  <si>
    <t>【顶级钳工】</t>
  </si>
  <si>
    <t>\n调查员是工匠中的大师级人物</t>
  </si>
  <si>
    <t>\n所有维修类（机械、电气）和操作重型机械检定获得一个奖励骰。【增益特质】【影响自己】【永久持续】【被动生效】</t>
  </si>
  <si>
    <t>【自创拳法】</t>
  </si>
  <si>
    <t>\n调查员融会贯通，创立了自己独特的格斗流派</t>
  </si>
  <si>
    <t>\n斗殴检定获得一个奖励骰；但对手的反击检定难度提升一级。【增益特质】【影响自己】【永久持续】【被动生效】</t>
  </si>
  <si>
    <t>【不讲武德】</t>
  </si>
  <si>
    <t>\n调查员的攻击迅捷而刁钻，专攻要害</t>
  </si>
  <si>
    <t>\n斗殴检定获得一个奖励骰；但对手的闪避检定难度提升一级。【增益特质】【影响自己】【永久持续】【被动生效】</t>
  </si>
  <si>
    <t>【鞭长莫及】</t>
  </si>
  <si>
    <t>\n调查员是使用长鞭的大师</t>
  </si>
  <si>
    <t>\n使用鞭子攻击时，检定获得奖励骰，且攻击范围增加3米。【增益特质】【影响自己】【永久持续】【被动生效】</t>
  </si>
  <si>
    <t>【皮鞭滴蜡】</t>
  </si>
  <si>
    <t>\n调查员掌握着SM技巧，能控制伤害程度</t>
  </si>
  <si>
    <t>\n使用鞭子攻击时，检定获得奖励骰，且可选择不造成重伤效果。【增益特质】【影响单目标】【永久持续】【主动生效】</t>
  </si>
  <si>
    <t>【冷静真理】</t>
  </si>
  <si>
    <t>\n调查员手持电锯时异常冷静，不受外界干扰</t>
  </si>
  <si>
    <t>\n使用电锯战斗时，检定获得奖励骰，且免疫寡不敌众惩罚。【增益特质】【影响自己】【永久持续】【被动生效】</t>
  </si>
  <si>
    <t>【肢解快感】</t>
  </si>
  <si>
    <t>\n调查员在使用电锯时会产生一种病态的兴奋</t>
  </si>
  <si>
    <t>\n使用电锯战斗时，检定获得奖励骰；每损失5点理智值，电锯伤害+1。【混合特质】【影响自己】【永久持续】【被动生效】</t>
  </si>
  <si>
    <t>【碎颅专精】</t>
  </si>
  <si>
    <t>\n调查员擅长用链枷攻击头部，造成致命伤害</t>
  </si>
  <si>
    <t>\n使用链枷攻击造成重伤时，额外附加晕眩效果（目标需进行体质检定，失败则晕眩1轮）。【增益特质】【影响单目标】【永久持续】【被动生效】</t>
  </si>
  <si>
    <t>【破甲专精】</t>
  </si>
  <si>
    <t>\n调查员擅长用链枷破坏对方的护甲</t>
  </si>
  <si>
    <t>\n使用链枷攻击造成重伤时，可同时摧毁目标穿戴的非魔法护甲。【增益特质】【影响单目标】【永久持续】【被动生效】</t>
  </si>
  <si>
    <t>【无声绞索】</t>
  </si>
  <si>
    <t>\n调查员精通潜行与绞杀，能无声制服敌人</t>
  </si>
  <si>
    <t>\n使用绞索从背后偷袭时，潜行和攻击检定获得奖励骰；成功命中可使目标窒息并晕眩。【增益特质】【影响单目标】【永久持续】【主动生效】</t>
  </si>
  <si>
    <t>【无形细线】</t>
  </si>
  <si>
    <t>\n调查员使用极细的线作为武器，致命而隐蔽</t>
  </si>
  <si>
    <t>\n使用绞索（细线变体）攻击时，潜行和攻击检定获得奖励骰；造成重伤时可能直接切断颈部。【增益特质】【影响单目标】【永久持续】【主动生效】</t>
  </si>
  <si>
    <t>【力劈华山】</t>
  </si>
  <si>
    <t>\n调查员的斧击势大力沉，令人难以招架</t>
  </si>
  <si>
    <t>\n使用斧头攻击时，检定获得奖励骰；若目标力量检定失败，则本回合无法反击。【增益特质】【影响单目标】【永久持续】【被动生效】</t>
  </si>
  <si>
    <t>【投掷飞斧】</t>
  </si>
  <si>
    <t>\n调查员是投掷飞斧的专家</t>
  </si>
  <si>
    <t>\n使用斧头投掷时，检定获得奖励骰；成功命中则目标本回合无法反击。【增益特质】【影响单目标】【永久持续】【主动生效】</t>
  </si>
  <si>
    <t>【天生神力】</t>
  </si>
  <si>
    <t>\n调查员天生就拥有惊人的力量</t>
  </si>
  <si>
    <t>\n力量检定获得奖励骰；所有近战伤害增加1D4点。【增益特质】【影响自己】【永久持续】【被动生效】</t>
  </si>
  <si>
    <t>【钢铁之躯】</t>
  </si>
  <si>
    <t>\n调查员能忍受巨大的痛苦，重伤不下火线</t>
  </si>
  <si>
    <t>\n陷入重伤状态时，行动不受相关惩罚骰影响。【增益特质】【影响自己】【永久持续】【被动生效】</t>
  </si>
  <si>
    <t>【油嘴滑舌】</t>
  </si>
  <si>
    <t>\n调查员能言善道，死的都能说成活的</t>
  </si>
  <si>
    <t>\n所有交涉类技能（说服、话术、取悦）检定获得一个奖励骰。【增益特质】【影响自己】【永久持续】【被动生效】</t>
  </si>
  <si>
    <t>【铁石心肠】</t>
  </si>
  <si>
    <t>\n调查员的精神防线异常坚固</t>
  </si>
  <si>
    <t>\n单次损失理智值达到5点以上时，可免疫因此触发的临时疯狂。每24小时限一次。【增益特质】【影响自己】【每日限次】【触发生效】</t>
  </si>
  <si>
    <t>【意志坚韧】</t>
  </si>
  <si>
    <t>\n调查员的意志如同钢铁</t>
  </si>
  <si>
    <t>\n意志检定获得一个奖励骰。【增益特质】【影响自己】【永久持续】【被动生效】</t>
  </si>
  <si>
    <t>【聪明伶俐】</t>
  </si>
  <si>
    <t>\n调查员的思维敏捷，智力超群</t>
  </si>
  <si>
    <t>\n智力检定获得一个奖励骰。【增益特质】【影响自己】【永久持续】【被动生效】</t>
  </si>
  <si>
    <t>【机敏预感】</t>
  </si>
  <si>
    <t>\n调查员对危险有着野兽般的直觉</t>
  </si>
  <si>
    <t>\n遭遇战第一轮，所有先攻和行动检定获得一个奖励骰。【增益特质】【影响自己】【永久持续】【被动生效】</t>
  </si>
  <si>
    <t>【干脆利落】</t>
  </si>
  <si>
    <t>\n调查员的攻击精准而致命</t>
  </si>
  <si>
    <t>\n攻击造成穿透伤害时，此次伤害翻倍。【增益特质】【影响单目标】【永久持续】【被动生效】</t>
  </si>
  <si>
    <t>【招式模仿】</t>
  </si>
  <si>
    <t>\n调查员是格斗天才，能快速学习对手的技巧</t>
  </si>
  <si>
    <t>\n反击成功后，可尝试在下一次攻击中模仿对方技巧，造成类似效果。由KP裁定。【增益特质】【影响自己】【永久持续】【触发生效】</t>
  </si>
  <si>
    <t>【斗转星移】</t>
  </si>
  <si>
    <t>\n调查员擅长借力打力，将攻击返还给对手</t>
  </si>
  <si>
    <t>\n闪避成功时，可将部分伤害（等于闪避技能值一半）转移给攻击者或邻近目标。【增益特质】【影响单目标】【永久持续】【触发生效】</t>
  </si>
  <si>
    <t>【杂物旁身】</t>
  </si>
  <si>
    <t>\n调查员能信手拈来任何物品作为武器</t>
  </si>
  <si>
    <t>\n使用临时武器时，伤害增加1D4点。【增益特质】【影响自己】【永久持续】【被动生效】</t>
  </si>
  <si>
    <t>【杂技高手】</t>
  </si>
  <si>
    <t>\n调查员的身体协调性极佳，如同杂技演员</t>
  </si>
  <si>
    <t>\n投掷检定获得一个奖励骰。【增益特质】【影响自己】【永久持续】【被动生效】</t>
  </si>
  <si>
    <t>【善于伪装】</t>
  </si>
  <si>
    <t>\n乔装检定获得一个奖励骰。【增益特质】【影响自己】【永久持续】【被动生效】</t>
  </si>
  <si>
    <t>【善于潜行】</t>
  </si>
  <si>
    <t>\n调查员懂得如何利用阴影和环境隐藏自己</t>
  </si>
  <si>
    <t>\n潜行检定获得一个奖励骰。【增益特质】【影响自己】【永久持续】【被动生效】</t>
  </si>
  <si>
    <t>【神秘接触】</t>
  </si>
  <si>
    <t>\n调查员的过去与伟大存在有过交集</t>
  </si>
  <si>
    <t>【资深教徒】</t>
  </si>
  <si>
    <t>\n调查员曾深度参与过某个邪教活动</t>
  </si>
  <si>
    <t>\n初始克苏鲁神话技能增加10%；但背负沉重过去，信用评级减少10点。【混合特质】【影响自己】【永久持续】【被动生效】</t>
  </si>
  <si>
    <t>【考古狂热】</t>
  </si>
  <si>
    <t>\n调查员对历史考据充满热情，能发现深层信息</t>
  </si>
  <si>
    <t>\n历史检定成功时，可从KP处获得一条额外信息。【增益特质】【影响自己】【永久持续】【被动生效】</t>
  </si>
  <si>
    <t>【技艺精通】</t>
  </si>
  <si>
    <t>\n调查员在其手艺上追求完美，允许二次尝试</t>
  </si>
  <si>
    <t>\n每日一次，艺术与手艺或操作重型机械检定失败时可立即重掷。【增益特质】【影响自己】【每日限次】【触发生效】</t>
  </si>
  <si>
    <t>【宫廷舞蹈】</t>
  </si>
  <si>
    <t>\n调查员精通优雅的宫廷舞步</t>
  </si>
  <si>
    <t>\n可使用舞蹈技能代替信用评级在上流社会场合证明身份。【增益特质】【影响自己】【永久持续】【主动生效】</t>
  </si>
  <si>
    <t>【御用车夫】</t>
  </si>
  <si>
    <t>\n调查员曾是贵族的专属车夫，驾驶技术精湛</t>
  </si>
  <si>
    <t>\n驾驶（马车）检定自动成功，且不会因投出96-100而大失败。【增益特质】【影响自己】【永久持续】【被动生效】</t>
  </si>
  <si>
    <t>【知名人士】</t>
  </si>
  <si>
    <t>\n调查员是社会名流，脸就是通行证</t>
  </si>
  <si>
    <t>\n可使用说服技能代替信用评级检定；社交失败不会被视为大失败。【增益特质】【影响自己】【永久持续】【被动生效】</t>
  </si>
  <si>
    <t>【宫廷礼仪】</t>
  </si>
  <si>
    <t>\n调查员深谙贵族间的礼仪规范</t>
  </si>
  <si>
    <t>\n与贵族或上流人士交涉时，检定获得一个奖励骰。【增益特质】【影响自己】【永久持续】【被动生效】</t>
  </si>
  <si>
    <t>【时尚达人】</t>
  </si>
  <si>
    <t>\n调查员始终走在时尚的最前沿</t>
  </si>
  <si>
    <t>\n基于外貌的说服和取悦检定获得一个奖励骰。【增益特质】【影响自己】【永久持续】【被动生效】</t>
  </si>
  <si>
    <t>【寻欢作乐】</t>
  </si>
  <si>
    <t>\n调查员擅长与异性调情</t>
  </si>
  <si>
    <t>\n与异性进行取悦或说服（发展浪漫关系）时，检定获得一个奖励骰。【增益特质】【影响自己】【永久持续】【被动生效】</t>
  </si>
  <si>
    <t>【尊重传统】</t>
  </si>
  <si>
    <t>\n调查员懂得并尊重平民的传统与习俗</t>
  </si>
  <si>
    <t>\n与平民进行交涉时，检定获得一个奖励骰。【增益特质】【影响自己】【永久持续】【被动生效】</t>
  </si>
  <si>
    <t>【自然哲理】</t>
  </si>
  <si>
    <t>\n调查员对自然哲学有深入研究，能与学者共鸣</t>
  </si>
  <si>
    <t>\n与学者、科学家进行交涉时，检定获得一个奖励骰。【增益特质】【影响自己】【永久持续】【被动生效】</t>
  </si>
  <si>
    <t>【外语精通】</t>
  </si>
  <si>
    <t>\n调查员对语言学习有极高天赋</t>
  </si>
  <si>
    <t>\n语言检定获得一个奖励骰。【增益特质】【影响自己】【永久持续】【被动生效】</t>
  </si>
  <si>
    <t>【唇语默读】</t>
  </si>
  <si>
    <t>\n调查员能通过观察口型理解对方话语</t>
  </si>
  <si>
    <t>\n唇语解读时，侦查检定获得一个奖励骰。【增益特质】【影响自己】【永久持续】【主动生效】</t>
  </si>
  <si>
    <t>\n调查员是经验丰富的骑手</t>
  </si>
  <si>
    <t>\n骑术检定不会因常规情况而承受惩罚骰。【增益特质】【影响自己】【永久持续】【被动生效】</t>
  </si>
  <si>
    <t>【贵族遗产】</t>
  </si>
  <si>
    <t>\n调查员继承了一笔可观的贵族遗产</t>
  </si>
  <si>
    <t>【痛苦恶疾】</t>
  </si>
  <si>
    <t>\n调查员长期与疾病共存，意志因此磨练</t>
  </si>
  <si>
    <t>\n体质检定面临惩罚骰；但意志检定获得一个奖励骰。【混合特质】【影响自己】【永久持续】【被动生效】</t>
  </si>
  <si>
    <t>【冥界归来】</t>
  </si>
  <si>
    <t>\n调查员曾跨越生与死的边界，对时空异常免疫</t>
  </si>
  <si>
    <t>\n免疫时间流速改变、时间停止、空间束缚或传送效果。【增益特质】【影响自己】【永久持续】【被动生效】</t>
  </si>
  <si>
    <t>【哀悼莫名】</t>
  </si>
  <si>
    <t>\n调查员周身笼罩着一种莫名的忧郁气质</t>
  </si>
  <si>
    <t>\n外貌和取悦检定面临惩罚骰；但意志检定获得一个奖励骰。【混合特质】【影响自己】【永久持续】【被动生效】</t>
  </si>
  <si>
    <t>【空白躯壳】</t>
  </si>
  <si>
    <t>\n调查员的身体虚弱，但内心空明难以被影响</t>
  </si>
  <si>
    <t>\n体质和力量检定面临惩罚骰；但对抗精神控制和附身的意志检定自动成功。【混合特质】【影响自己】【永久持续】【被动生效】</t>
  </si>
  <si>
    <t>【不称之恋】</t>
  </si>
  <si>
    <t>\n调查员对年龄差距巨大的对象有特殊的吸引力</t>
  </si>
  <si>
    <t>\n与年龄远大于或远小于你的对象进行取悦或说服时，检定获得一个奖励骰。【增益特质】【影响自己】【永久持续】【被动生效】</t>
  </si>
  <si>
    <t>【帷幕间隙】</t>
  </si>
  <si>
    <t>\n调查员能模糊梦境与现实的界限</t>
  </si>
  <si>
    <t>\n可在现实世界中使用幻梦境中学会的技能，但效果减半（由KP裁定）。【增益特质】【影响自己】【永久持续】【主动生效】</t>
  </si>
  <si>
    <t>【斩首行动】</t>
  </si>
  <si>
    <t>\n调查员擅长对敌人进行致命的斩首攻击</t>
  </si>
  <si>
    <t>\n近战攻击造成穿透伤害时，此次伤害翻倍。【增益特质】【影响单目标】【永久持续】【被动生效】</t>
  </si>
  <si>
    <t>【巴斯温泉】</t>
  </si>
  <si>
    <t>\n调查员曾在传说中的巴斯温泉疗养，受益匪浅</t>
  </si>
  <si>
    <t>\n体质检定获得一个奖励骰；中毒效果持续时间减半。【增益特质】【影响自己】【永久持续】【被动生效】</t>
  </si>
  <si>
    <t>【阴影山脉】</t>
  </si>
  <si>
    <t>\n调查员曾在险峻的阴影山脉生活，熟悉高处</t>
  </si>
  <si>
    <t>\n从高处坠落时，受到的伤害减半。【增益特质】【影响自己】【永久持续】【被动生效】</t>
  </si>
  <si>
    <t>【昔日军团】</t>
  </si>
  <si>
    <t>\n调查员曾是精锐军团的一员，无数次直面死亡</t>
  </si>
  <si>
    <t>\n生命值降至0时，可用意志检定代替体质检定以保持清醒和行动能力。【增益特质】【影响自己】【永久持续】【触发生效】</t>
  </si>
  <si>
    <t>【宾至如归】</t>
  </si>
  <si>
    <t>\n调查员能快速适应任何室内环境，如同在家</t>
  </si>
  <si>
    <t>\n在建筑物内部进行侦查、聆听和导航检定时，获得一个奖励骰。【增益特质】【影响自己】【永久持续】【被动生效】</t>
  </si>
  <si>
    <t>【园丁专场】</t>
  </si>
  <si>
    <t>\n调查员热爱并精通园艺</t>
  </si>
  <si>
    <t>\n在花园、温室或植物迷宫中行动时，导航和潜行检定获得一个奖励骰。【增益特质】【影响自己】【永久持续】【被动生效】</t>
  </si>
  <si>
    <t>【社交之花】</t>
  </si>
  <si>
    <t>\n调查员在人群中如鱼得水</t>
  </si>
  <si>
    <t>\n在人群聚集的社交场合中，交涉和心理学检定获得一个奖励骰。【增益特质】【影响自己】【永久持续】【被动生效】</t>
  </si>
  <si>
    <t>【荒野之子】</t>
  </si>
  <si>
    <t>\n调查员在荒野中长大，视其为家</t>
  </si>
  <si>
    <t>\n在森林、山地等荒野环境中，生存、追踪和潜行检定获得一个奖励骰。【增益特质】【影响自己】【永久持续】【被动生效】</t>
  </si>
  <si>
    <t>【遗迹猎手】</t>
  </si>
  <si>
    <t>\n调查员是探索古代遗迹的专家</t>
  </si>
  <si>
    <t>\n在遗迹、废墟或古老城市中，侦查、考古学和导航检定获得一个奖励骰。【增益特质】【影响自己】【永久持续】【被动生效】</t>
  </si>
  <si>
    <t>【澡堂文化】</t>
  </si>
  <si>
    <t>\n调查员通过泡澡来放松身心，恢复理智</t>
  </si>
  <si>
    <t>\n每日一次，享受不少于1小时的舒适泡澡可恢复1点理智值。【增益特质】【影响自己】【每日限次】【主动生效】</t>
  </si>
  <si>
    <t>【忙里偷闲】</t>
  </si>
  <si>
    <t>\n调查员深知睡眠的重要性</t>
  </si>
  <si>
    <t>\n每日一次，获得充足（不少于8小时）且不受打扰的睡眠可恢复1点理智值。【增益特质】【影响自己】【每日限次】【主动生效】</t>
  </si>
  <si>
    <t>【赌场圣手】</t>
  </si>
  <si>
    <t>\n调查员在赌场中运气和技术俱佳</t>
  </si>
  <si>
    <t>\n赌博时，可进行一次幸运检定，成功则本次赌博检定获得一个奖励骰。【增益特质】【影响自己】【永久持续】【主动生效】</t>
  </si>
  <si>
    <t>【曲高和寡】</t>
  </si>
  <si>
    <t>\n调查员在音乐领域有着极高的造诣</t>
  </si>
  <si>
    <t>\n音乐、歌唱、乐理相关的艺术与手艺和表演检定获得一个奖励骰。【增益特质】【影响自己】【永久持续】【被动生效】</t>
  </si>
  <si>
    <t>【神圣管家】</t>
  </si>
  <si>
    <t>\n调查员曾担任过要求极高的职业管家</t>
  </si>
  <si>
    <t>\n厨艺、艺术与手艺（如缝纫、整理）检定获得一个奖励骰。【增益特质】【影响自己】【永久持续】【被动生效】</t>
  </si>
  <si>
    <t>【金牌销售】</t>
  </si>
  <si>
    <t>\n调查员曾是业绩斐然的销售人员</t>
  </si>
  <si>
    <t>\n与商人、店主进行交涉时，检定获得一个奖励骰。【增益特质】【影响自己】【永久持续】【被动生效】</t>
  </si>
  <si>
    <t>【猎狐运动】</t>
  </si>
  <si>
    <t>\n调查员出身贵族，精通传统的狩猎活动</t>
  </si>
  <si>
    <t>\n骑术和射击（在狩猎中）检定获得一个奖励骰。【增益特质】【影响自己】【永久持续】【被动生效】</t>
  </si>
  <si>
    <t>【歌剧魅影】</t>
  </si>
  <si>
    <t>\n调查员与歌剧院关系密切，是那里的常客或工作者</t>
  </si>
  <si>
    <t>\n信用评级和艺术与手艺（歌剧相关）检定获得一个奖励骰。【增益特质】【影响自己】【永久持续】【被动生效】</t>
  </si>
  <si>
    <t>【巧夺天工】</t>
  </si>
  <si>
    <t>\n调查员的手工艺品精美绝伦</t>
  </si>
  <si>
    <t>\n艺术与手艺（如裁缝、木工、珠宝制作）检定获得一个奖励骰。【增益特质】【影响自己】【永久持续】【被动生效】</t>
  </si>
  <si>
    <t>【融入集市】</t>
  </si>
  <si>
    <t>\n调查员懂得如何在嘈杂的集市中隐藏自己</t>
  </si>
  <si>
    <t>\n在人群中使用潜行和乔装时，检定获得一个奖励骰。【增益特质】【影响自己】【永久持续】【被动生效】</t>
  </si>
  <si>
    <t>【农舍百姓】</t>
  </si>
  <si>
    <t>\n调查员有着朴实的农民出身</t>
  </si>
  <si>
    <t>\n力量和体质检定获得一个奖励骰。【增益特质】【影响自己】【永久持续】【被动生效】</t>
  </si>
  <si>
    <t>【舞池领袖】</t>
  </si>
  <si>
    <t>\n调查员是舞池中的焦点，舞技超群</t>
  </si>
  <si>
    <t>\n舞蹈和需要敏捷的闪避（在舞池中）检定获得一个奖励骰。【增益特质】【影响自己】【永久持续】【被动生效】</t>
  </si>
  <si>
    <t>【信仰之名】</t>
  </si>
  <si>
    <t>\n调查员对宗教信仰有深入的了解</t>
  </si>
  <si>
    <t>\n与神职人员或信徒进行交涉时，检定获得一个奖励骰。【增益特质】【影响自己】【永久持续】【被动生效】</t>
  </si>
  <si>
    <t>【圣墓志铭】</t>
  </si>
  <si>
    <t>\n调查员似乎与神性有着某种联系</t>
  </si>
  <si>
    <t>\n医学（治疗）检定时，若目标是拯救生命，则检定获得一个奖励骰。【增益特质】【影响单目标】【永久持续】【被动生效】</t>
  </si>
  <si>
    <t>【朴茨茅斯】</t>
  </si>
  <si>
    <t>\n调查员出生在海边渔村，熟悉大海</t>
  </si>
  <si>
    <t>\n驾驶（船）和游泳检定获得一个奖励骰。【增益特质】【影响自己】【永久持续】【被动生效】</t>
  </si>
  <si>
    <t>【自然恢复】</t>
  </si>
  <si>
    <t>\n调查员的新陈代谢稳定，能缓慢恢复状态</t>
  </si>
  <si>
    <t>\n每日一次，休息时可恢复1点生命值，即使处于中毒等异常状态。【增益特质】【影响自己】【每日限次】【主动生效】</t>
  </si>
  <si>
    <t>【快速恢复】</t>
  </si>
  <si>
    <t>\n调查员的伤口愈合速度比常人快</t>
  </si>
  <si>
    <t>\n每日一次，休息时可恢复1D3点生命值。【增益特质】【影响自己】【每日限次】【主动生效】</t>
  </si>
  <si>
    <t>【超级恢复】</t>
  </si>
  <si>
    <t>\n调查员拥有惊人的恢复力</t>
  </si>
  <si>
    <t>\n每日一次，休息时可恢复1D6点生命值。【增益特质】【影响自己】【每日限次】【主动生效】</t>
  </si>
  <si>
    <t>【基础自愈】</t>
  </si>
  <si>
    <t>\n调查员的恢复能力如同低等怪物</t>
  </si>
  <si>
    <t>\n战斗轮中，生命值每轮自动恢复1点。【增益特质】【影响自己】【永久持续】【被动生效】</t>
  </si>
  <si>
    <t>【快速自愈】</t>
  </si>
  <si>
    <t>\n调查员的恢复能力如同中等怪物</t>
  </si>
  <si>
    <t>\n战斗轮中，生命值每轮自动恢复2点。【增益特质】【影响自己】【永久持续】【被动生效】</t>
  </si>
  <si>
    <t>【极速自愈】</t>
  </si>
  <si>
    <t>\n调查员的恢复能力如同强大怪物</t>
  </si>
  <si>
    <t>\n战斗轮中，生命值每轮自动恢复3点。【增益特质】【影响自己】【永久持续】【被动生效】</t>
  </si>
  <si>
    <t>【超级自愈】</t>
  </si>
  <si>
    <t>\n调查员的恢复能力如同高等怪物</t>
  </si>
  <si>
    <t>\n战斗轮中，生命值每轮自动恢复4点。【增益特质】【影响自己】【永久持续】【被动生效】</t>
  </si>
  <si>
    <t>【鳞片血肉】</t>
  </si>
  <si>
    <t>\n调查员的皮肤覆盖着坚硬的鳞片</t>
  </si>
  <si>
    <t>\n获得6点天然护甲；所有社交检定面临一个惩罚骰。【混合特质】【影响自己】【永久持续】【被动生效】</t>
  </si>
  <si>
    <t>【菌丝实体】</t>
  </si>
  <si>
    <t>\n调查员的身体部分由菌丝构成</t>
  </si>
  <si>
    <t>\n普通武器和枪械伤害取最小值；但火焰伤害翻倍；所有社交检定面临惩罚骰。【混合特质】【影响自己】【永久持续】【被动生效】</t>
  </si>
  <si>
    <t>【快速进食】</t>
  </si>
  <si>
    <t>\n调查员能够瞬间吞咽和吸收</t>
  </si>
  <si>
    <t>\n使用药水、药剂或类似消耗品视为即时动作，不消耗行动轮。【增益特质】【影响自己】【永久持续】【被动生效】</t>
  </si>
  <si>
    <t>【坚韧兽皮】</t>
  </si>
  <si>
    <t>\n调查员的皮肤粗糙厚实如同兽皮</t>
  </si>
  <si>
    <t>\n获得2点天然护甲；所有社交检定面临一个惩罚骰。【混合特质】【影响自己】【永久持续】【被动生效】</t>
  </si>
  <si>
    <t>【野兽硬皮】</t>
  </si>
  <si>
    <t>\n调查员的皮肤异常坚硬</t>
  </si>
  <si>
    <t>\n获得4点天然护甲；所有社交检定面临一个惩罚骰。【混合特质】【影响自己】【永久持续】【被动生效】</t>
  </si>
  <si>
    <t>【褶皱血肉】</t>
  </si>
  <si>
    <t>\n调查员的皮肤布满厚厚的褶皱，能吸收冲击</t>
  </si>
  <si>
    <t>【耐受高温】</t>
  </si>
  <si>
    <t>\n调查员能忍受50℃的高温，身体机能异于常人</t>
  </si>
  <si>
    <t>\n在50℃及以下环境行动无惩罚；但可能被视为异端而遭受排斥。【混合特质】【影响自己】【永久持续】【被动生效】</t>
  </si>
  <si>
    <t>【沸腾血肉】</t>
  </si>
  <si>
    <t>\n调查员能短暂承受100℃的沸点温度</t>
  </si>
  <si>
    <t>\n接触100℃高温时伤害减半；持续暴露仍需体质检定；被视为异端。【混合特质】【影响自己】【永久持续】【被动生效】</t>
  </si>
  <si>
    <t>【亲近火焰】</t>
  </si>
  <si>
    <t>\n调查员能承受250℃的高温，如置身烤箱</t>
  </si>
  <si>
    <t>\n250℃及以下环境无惩罚，火焰伤害减免2点；被视为异端，社交检定面临惩罚骰。【混合特质】【影响自己】【永久持续】【被动生效】</t>
  </si>
  <si>
    <t>【渴望燃烧】</t>
  </si>
  <si>
    <t>\n调查员能承受600℃的高温，如森林大火</t>
  </si>
  <si>
    <t>\n600℃及以下环境无惩罚，普通火焰伤害减半；但接触冷水会陷入恐慌。【混合特质】【影响自己】【永久持续】【被动生效】</t>
  </si>
  <si>
    <t>【熔岩引力】</t>
  </si>
  <si>
    <t>\n调查员能承受1500℃的极温，如熔岩</t>
  </si>
  <si>
    <t>\n免疫1500℃及以下高温伤害；但每周需进行意志检定，失败会无意识走向高温源。【混合特质】【影响自己】【永久持续】【被动生效】</t>
  </si>
  <si>
    <t>【冰雪肌肤】</t>
  </si>
  <si>
    <t>\n调查员皮肤雪白，与环境形成鲜明对比</t>
  </si>
  <si>
    <t>\n雪地潜行检定获得奖励骰；非雪地环境潜行检定面临惩罚骰且社交检定面临惩罚骰。【混合特质】【影响自己】【永久持续】【被动生效】</t>
  </si>
  <si>
    <t>【厌恶阳光】</t>
  </si>
  <si>
    <t>\n调查员对阳光极度敏感，白天行动力下降</t>
  </si>
  <si>
    <t>\n白天所有技能检定承受惩罚骰；直接暴露于烈日下每回合失去1点生命值。【减益特质】【影响自己】【永久持续】【被动生效】</t>
  </si>
  <si>
    <t>【暗夜英雄】</t>
  </si>
  <si>
    <t>\n调查员的生理周期完全颠倒</t>
  </si>
  <si>
    <t>\n夜晚（18:00-6:00）所有技能检定获得奖励骰；白天（6:00-18:00）所有技能检定承受惩罚骰。【混合特质】【影响自己】【永久持续】【被动生效】</t>
  </si>
  <si>
    <t>【水下呼吸】</t>
  </si>
  <si>
    <t>\n调查员拥有超越常人的肺活量和闭气能力</t>
  </si>
  <si>
    <t>\n潜水时间翻倍；对抗窒息效果的体质检定获得奖励骰。【增益特质】【影响自己】【永久持续】【被动生效】</t>
  </si>
  <si>
    <t>【异界外皮】</t>
  </si>
  <si>
    <t>\n调查员的皮肤并非凡物，拥有奇特的防御能力</t>
  </si>
  <si>
    <t>\n普通物理攻击伤害取最小值；但火焰、电击伤害翻倍；所有社交检定面临惩罚骰。【混合特质】【影响自己】【永久持续】【被动生效】</t>
  </si>
  <si>
    <t>【察觉活物】</t>
  </si>
  <si>
    <t>\n调查员能模糊感知到周围生命的活性</t>
  </si>
  <si>
    <t>\n可主动进行灵感检定感知周围是否有活物及大致数量（模糊）。【增益特质】【影响范围】【永久持续】【主动生效】</t>
  </si>
  <si>
    <t>【创造者说】</t>
  </si>
  <si>
    <t>\n调查员能感知物品与其创造者/长期持有者间的联系</t>
  </si>
  <si>
    <t>\n接触人造物后可通过灵感检定感知创造者或主要持有者的零星信息碎片；每次使用消耗1点理智值。【增益特质】【影响单目标】【永久持续】【主动生效】【消耗SAN】</t>
  </si>
  <si>
    <t>【林中潜行】</t>
  </si>
  <si>
    <t>\n调查员是森林与丛林中的潜行专家</t>
  </si>
  <si>
    <t>\n在森林环境中，潜行和追踪检定获得奖励骰。【增益特质】【影响自己】【永久持续】【被动生效】</t>
  </si>
  <si>
    <t>【诸武专精】</t>
  </si>
  <si>
    <t>\n调查员能快速掌握各种奇门兵器的用法</t>
  </si>
  <si>
    <t>\n使用特殊或异种武器时不会因不熟悉而承受未受训惩罚。【增益特质】【影响自己】【永久持续】【被动生效】</t>
  </si>
  <si>
    <t>【生化母体】</t>
  </si>
  <si>
    <t>\n调查员是某种烈性传染病的无症状携带者</t>
  </si>
  <si>
    <t>\n每日需进行体质检定，失败则失去2点生命值；密切接触者可能感染。【减益特质】【影响自己】【永久持续】【被动生效】</t>
  </si>
  <si>
    <t>【恶疾缠身】</t>
  </si>
  <si>
    <t>\n调查员身患难以根治的慢性恶疾</t>
  </si>
  <si>
    <t>\n每日需进行体质检定，失败则失去1点生命值；所有医学治疗效果减半。【减益特质】【影响自己】【永久持续】【被动生效】</t>
  </si>
  <si>
    <t>【暴力宣泄】</t>
  </si>
  <si>
    <t>\n调查员在理智受创时会通过暴力发泄</t>
  </si>
  <si>
    <t>\n损失理智值后若未陷入疯狂，必须对最近目标进行徒手攻击，否则失去额外1D3点理智。【减益特质】【影响自己】【永久持续】【触发生效】</t>
  </si>
  <si>
    <t>【与锁交流】</t>
  </si>
  <si>
    <t>\n调查员相信锁具拥有灵魂并能与之沟通</t>
  </si>
  <si>
    <t>\n可尝试与锁进行交涉，意志检定成功则锁自动打开，失败则失去1点理智值且锁永久锁死。【混合特质】【影响单目标】【永久持续】【主动生效】</t>
  </si>
  <si>
    <t>【双持近战】</t>
  </si>
  <si>
    <t>\n调查员擅长双手各持一把中型近战武器作战</t>
  </si>
  <si>
    <t>\n可使用两把中型近战武器，每轮可进行两次攻击（第二次攻击承受惩罚骰）。【增益特质】【影响自己】【永久持续】【主动生效】</t>
  </si>
  <si>
    <t>【左右开弓】</t>
  </si>
  <si>
    <t>\n调查员能够双手灵活地投掷或射击</t>
  </si>
  <si>
    <t>\n使用投掷武器或弓弩时，每轮可进行两次攻击（第二次攻击承受惩罚骰）。【增益特质】【影响自己】【永久持续】【主动生效】</t>
  </si>
  <si>
    <t>【诸葛连弩】</t>
  </si>
  <si>
    <t>\n调查员精通速射技巧，能短时间内倾泻大量箭矢</t>
  </si>
  <si>
    <t>\n使用弓/弩时可花费一整轮准备，下一轮可进行三次射击（三箭都承受惩罚骰）。每场战斗限一次。【增益特质】【影响自己】【战斗限次】【主动生效】</t>
  </si>
  <si>
    <t>【精灵之弓】</t>
  </si>
  <si>
    <t>\n调查员的箭术超凡脱俗，不受距离影响</t>
  </si>
  <si>
    <t>\n使用弓/弩射击时无视因距离导致的惩罚骰。【增益特质】【影响自己】【永久持续】【被动生效】</t>
  </si>
  <si>
    <t>【破甲之箭】</t>
  </si>
  <si>
    <t>\n调查员的箭矢能精准找到护甲的缝隙</t>
  </si>
  <si>
    <t>\n使用弓/弩造成的伤害无视目标的天然护甲和普通护甲。【增益特质】【影响单目标】【永久持续】【被动生效】</t>
  </si>
  <si>
    <t>【破釜沉舟】</t>
  </si>
  <si>
    <t>\n调查员在濒死时能爆发出惊人力量</t>
  </si>
  <si>
    <t>\n生命值低于最大值五分之一时，所有近战伤害增加1D4点。【增益特质】【影响自己】【永久持续】【被动生效】</t>
  </si>
  <si>
    <t>【巫师狂猎】</t>
  </si>
  <si>
    <t>\n调查员是追猎超自然存在的专家</t>
  </si>
  <si>
    <t>\n初始知晓1D3个法术，克苏鲁神话技能增加1D10点；但更容易被邪异存在盯上。【混合特质】【影响自己】【永久持续】【被动生效】</t>
  </si>
  <si>
    <t>【经验主义】</t>
  </si>
  <si>
    <t>\n调查员善于从失败中汲取教训</t>
  </si>
  <si>
    <t>\n技能成长检定失败时可获得一次额外的重掷机会。【增益特质】【影响自己】【永久持续】【被动生效】</t>
  </si>
  <si>
    <t>【死而复生】</t>
  </si>
  <si>
    <t>\n调查员掌握着超越生死的禁忌秘密</t>
  </si>
  <si>
    <t>\n死亡时可在1D10天后于准备好的或随机的身体中复活；免疫改变年龄效果；但会被特定法术永久摧毁。【增益特质】【影响自己】【永久持续】【触发生效】</t>
  </si>
  <si>
    <t>【暗之住民】</t>
  </si>
  <si>
    <t>\n调查员在黑暗中视物如昼，行动自如</t>
  </si>
  <si>
    <t>\n在黑暗或无光环境中，潜行、侦查和聆听检定获得奖励骰。【增益特质】【影响自己】【永久持续】【被动生效】</t>
  </si>
  <si>
    <t>【先天病弱】</t>
  </si>
  <si>
    <t>\n调查员天生体弱多病</t>
  </si>
  <si>
    <t>\n体质属性永久减少15；守秘人需额外添加一项疾病相关负面特质。【减益特质】【影响自己】【永久持续】【被动生效】</t>
  </si>
  <si>
    <t>【昔日执念】</t>
  </si>
  <si>
    <t>\n调查员因至亲/挚爱亡故，执着于复活之术</t>
  </si>
  <si>
    <t>\n与实现复活某人目标直接相关的技能检定获得奖励骰；提及或回想起该执念时理智检定失败则多失去1点理智。【混合特质】【影响自己】【永久持续】【被动生效】</t>
  </si>
  <si>
    <t>【脆弱神经】</t>
  </si>
  <si>
    <t>\n单次损失4点或以上理智值时就会陷入临时疯狂。【减益特质】【影响自己】【永久持续】【被动生效】</t>
  </si>
  <si>
    <t>【神经大条】</t>
  </si>
  <si>
    <t>\n调查员的精神承受能力较强</t>
  </si>
  <si>
    <t>\n单次损失6点或以上理智值时才会陷入临时疯狂。【增益特质】【影响自己】【永久持续】【被动生效】</t>
  </si>
  <si>
    <t>【心有所属】</t>
  </si>
  <si>
    <t>\n调查员的疯狂总是表现为对特定人物的病态依赖</t>
  </si>
  <si>
    <t>\n陷入疯狂时症状必定是人际依赖，会不顾一切寻找并保护依赖对象。【减益特质】【影响自己】【永久持续】【被动生效】</t>
  </si>
  <si>
    <t>【暴力侵袭】</t>
  </si>
  <si>
    <t>\n调查员的疯狂总是与暴力冲动相伴</t>
  </si>
  <si>
    <t>\n陷入疯狂时症状必定是暴力倾向，会无差别攻击周围目标。【减益特质】【影响自己】【永久持续】【被动生效】</t>
  </si>
  <si>
    <t>【逆天言论】</t>
  </si>
  <si>
    <t>\n调查员总是不合时宜地说出惊人之语</t>
  </si>
  <si>
    <t>\n所有交涉类检定承受惩罚骰；但胡言乱语有时会被疯狂存在欣赏。【混合特质】【影响自己】【永久持续】【被动生效】</t>
  </si>
  <si>
    <t>【变装爱好】</t>
  </si>
  <si>
    <t>\n调查员热衷于穿着异性服装</t>
  </si>
  <si>
    <t>\n进行异性乔装时检定获得奖励骰；在保守社会环境中可能带来麻烦。【增益特质】【影响自己】【永久持续】【主动生效】</t>
  </si>
  <si>
    <t>【黑暗呼唤】</t>
  </si>
  <si>
    <t>\n调查员更容易接收到来自宇宙深处的邪恶低语</t>
  </si>
  <si>
    <t>\n每晚睡眠前需进行理智检定，失败则因噩梦或幻听失去1点理智值；感知超自然存在时灵感检定获得奖励骰。【混合特质】【影响自己】【永久持续】【被动生效】</t>
  </si>
  <si>
    <t>【女神眷顾】</t>
  </si>
  <si>
    <t>\n调查员似乎被命运所青睐</t>
  </si>
  <si>
    <t>\n极难成功被视为大成功；但大失败范围扩大为96-00。【混合特质】【影响自己】【永久持续】【被动生效】</t>
  </si>
  <si>
    <t>【无梦之人】</t>
  </si>
  <si>
    <t>\n调查员从不做梦，睡眠质量极高</t>
  </si>
  <si>
    <t>\n免疫因梦境导致的一切理智损失和效果；但无法从梦的解析等特质中获益。【增益特质】【影响自己】【永久持续】【被动生效】</t>
  </si>
  <si>
    <t>【标记宿敌】</t>
  </si>
  <si>
    <t>\n调查员对某个特定类型的敌人怀有刻骨仇恨</t>
  </si>
  <si>
    <t>\n创建角色时指定一类生物，与该类生物战斗时所有攻击检定获得奖励骰；必须尽可能消灭它们，退缩需进行意志检定。【增益特质】【影响自己】【永久持续】【被动生效】</t>
  </si>
  <si>
    <t>【天弃之子】</t>
  </si>
  <si>
    <t>\n调查员霉运缠身</t>
  </si>
  <si>
    <t>\n任何技能检定失败即视为大失败。【减益特质】【影响自己】【永久持续】【被动生效】</t>
  </si>
  <si>
    <t>【地狱模式】</t>
  </si>
  <si>
    <t>\n调查员面临的挑战总异乎寻常</t>
  </si>
  <si>
    <t>\n所有技能检定实际难度提升一级。【减益特质】【影响自己】【永久持续】【被动生效】</t>
  </si>
  <si>
    <t>【垃圾天堂】</t>
  </si>
  <si>
    <t>\n调查员在肮脏混乱的环境中反而如鱼得水</t>
  </si>
  <si>
    <t>\n在脏乱差环境中进行侦查、搜索和潜行检定时获得奖励骰。【增益特质】【影响自己】【永久持续】【被动生效】</t>
  </si>
  <si>
    <t>\n调查员无法忍受任何不洁</t>
  </si>
  <si>
    <t>\n在脏乱、不洁环境中所有技能检定承受惩罚骰；保持绝对洁净可恢复1点理智，每日一次。【混合特质】【影响自己】【永久持续】【被动生效】</t>
  </si>
  <si>
    <t>【时间管理】</t>
  </si>
  <si>
    <t>\n调查员对时间流逝异常敏感</t>
  </si>
  <si>
    <t>\n守秘人总会告知你某项行动大致消耗的现实时间；免疫改变你主观时间感的效果。【增益特质】【影响自己】【永久持续】【被动生效】</t>
  </si>
  <si>
    <t>【奇迹骰子】</t>
  </si>
  <si>
    <t>\n调查员总能创造一次奇迹</t>
  </si>
  <si>
    <t>\n每模组一次，可宣布任何一次自己的检定为大成功。【增益特质】【影响自己】【模组限次】【主动生效】</t>
  </si>
  <si>
    <t>【空白奖励】</t>
  </si>
  <si>
    <t>\n调查员能凝聚精神，创造优势</t>
  </si>
  <si>
    <t>\n每模组一次，在任何检定前可宣布为其增加一个奖励骰。【增益特质】【影响自己】【模组限次】【主动生效】</t>
  </si>
  <si>
    <t>【气息腰带】</t>
  </si>
  <si>
    <t>\n调查员在绝境中总能保留一丝生机</t>
  </si>
  <si>
    <t>\n当受到单次伤害导致生命值降至0以下时，可使生命值稳定在1点。每模组自动触发一次。【增益特质】【影响自己】【模组限次】【触发生效】</t>
  </si>
  <si>
    <t>【命定之死】</t>
  </si>
  <si>
    <t>\n调查员似乎被死神遗忘</t>
  </si>
  <si>
    <t>\n生命值降至0时不会立即死亡，而是保持濒死状态；只有在濒死状态下体质检定时投出96-00才会真正死亡。【增益特质】【影响自己】【永久持续】【被动生效】</t>
  </si>
  <si>
    <t>【三十条命】</t>
  </si>
  <si>
    <t>\n调查员仿佛拥有多条生命</t>
  </si>
  <si>
    <t>\n拥有30条生命；每次受到伤害并损失生命值时都立即额外扣除1条生命；当所有生命耗尽则角色死亡。【增益特质】【影响自己】【永久持续】【被动生效】</t>
  </si>
  <si>
    <t>【九命妖狐】</t>
  </si>
  <si>
    <t>\n调查员如同传说中的猫妖，拥有多次复活的机会</t>
  </si>
  <si>
    <t>\n拥有9次复活机会；死亡时消耗1次机会，在1D10小时后于安全地点复活，但失去1D10点理智值；机会用尽则永久死亡。【增益特质】【影响自己】【永久持续】【触发生效】</t>
  </si>
  <si>
    <t>【贴身佩剑】</t>
  </si>
  <si>
    <t>\n调查员拥有一把灵魂绑定的佩剑</t>
  </si>
  <si>
    <t>\n佩剑不会丢失、损坏（大失败除外），造成2D6点伤害；是你身份的标志。【增益特质】【影响自己】【永久持续】【被动生效】</t>
  </si>
  <si>
    <t>【剑道高手】</t>
  </si>
  <si>
    <t>\n调查员是使用刀剑的大师</t>
  </si>
  <si>
    <t>\n使用刀剑类武器时，伤害额外增加1D4点。【增益特质】【影响自己】【永久持续】【被动生效】</t>
  </si>
  <si>
    <t>【浪客剑心】</t>
  </si>
  <si>
    <t>\n调查员的剑术精湛到能控制生死</t>
  </si>
  <si>
    <t>\n使用刀剑攻击时，可选择将目标生命值保留在1点，而非降至0或以下。【增益特质】【影响单目标】【永久持续】【主动生效】</t>
  </si>
  <si>
    <t>【施暴快感】</t>
  </si>
  <si>
    <t>\n调查员从伤害他人中获得病态的慰藉</t>
  </si>
  <si>
    <t>\n对他人造成伤害后，若对方因你的攻击损失生命值，可恢复1D3点理智值。每场战斗限一次。【混合特质】【影响自己】【战斗限次】【触发生效】</t>
  </si>
  <si>
    <t>【以一敌百】</t>
  </si>
  <si>
    <t>\n调查员惯于以少敌多</t>
  </si>
  <si>
    <t>\n永远不会因人数劣势而承受寡不敌众惩罚。【增益特质】【影响自己】【永久持续】【被动生效】</t>
  </si>
  <si>
    <t>【沉着冷静】</t>
  </si>
  <si>
    <t>\n调查员能有效平复精神的冲击</t>
  </si>
  <si>
    <t>\n每次理智检定时，最终损失的理智值减少1点（至少为0）。【增益特质】【影响自己】【永久持续】【被动生效】</t>
  </si>
  <si>
    <t>【必中之枪】</t>
  </si>
  <si>
    <t>\n调查员的远程攻击总能找到目标</t>
  </si>
  <si>
    <t>\n远程攻击检定失败时，视为普通成功。每场战斗限一次。【增益特质】【影响自己】【战斗限次】【触发生效】</t>
  </si>
  <si>
    <t>【天资聪颖】</t>
  </si>
  <si>
    <t>\n调查员天生智力超群</t>
  </si>
  <si>
    <t>\n创建角色时智力属性永久增加1D10点（最高99）；但教育属性成长检定难度增加。【增益特质】【影响自己】【永久持续】【被动生效】</t>
  </si>
  <si>
    <t>【支离破碎】</t>
  </si>
  <si>
    <t>\n调查员的死亡意味着彻底的终结</t>
  </si>
  <si>
    <t>\n死亡时尸体会被彻底肢解或吞噬，任何复活法术或特质无效。【减益特质】【影响自己】【永久持续】【被动生效】</t>
  </si>
  <si>
    <t>【反派傀儡】</t>
  </si>
  <si>
    <t>\n调查员死后亦不得安宁</t>
  </si>
  <si>
    <t>\n死亡时可能被敌方势力复活控制，在后续模组中作为NPC出场。【减益特质】【影响自己】【永久持续】【被动生效】</t>
  </si>
  <si>
    <t>【秘密叛徒】</t>
  </si>
  <si>
    <t>\n调查员内心已倒向敌方阵营</t>
  </si>
  <si>
    <t>\n自愿为敌方势力服务；结团时理智奖励变为理智损失，理智损失变为理智奖励。【减益特质】【影响自己】【永久持续】【被动生效】</t>
  </si>
  <si>
    <t>【虚无主义】</t>
  </si>
  <si>
    <t>\n调查员因看透一切而麻木</t>
  </si>
  <si>
    <t>\n理智检定获得奖励骰，所有理智损失减半（至少为1）；但无法通过积极方式恢复理智。【混合特质】【影响自己】【永久持续】【被动生效】</t>
  </si>
  <si>
    <t>【迷恋尸体】</t>
  </si>
  <si>
    <t>\n调查员对尸体有着病态的迷恋</t>
  </si>
  <si>
    <t>\n随身携带尸体零件或照片；目睹恐怖尸体或场景时，若理智检定成功可额外恢复1点理智。【混合特质】【影响自己】【永久持续】【被动生效】</t>
  </si>
  <si>
    <t>【老道猎人】</t>
  </si>
  <si>
    <t>\n调查员是狩猎动物的专家</t>
  </si>
  <si>
    <t>\n对所有非神话动物造成伤害翻倍；识别动物习性无需检定。【增益特质】【影响动物】【永久持续】【被动生效】</t>
  </si>
  <si>
    <t>【连续收割】</t>
  </si>
  <si>
    <t>\n调查员能在杀戮中汲取战斗经验</t>
  </si>
  <si>
    <t>\n每使一个敌人失去战斗力，本场战斗中下一个攻击检定获得奖励骰。【增益特质】【影响自己】【战斗限次】【触发生效】</t>
  </si>
  <si>
    <t>【弱点穿透】</t>
  </si>
  <si>
    <t>\n调查员善于发现并攻击敌人的致命弱点</t>
  </si>
  <si>
    <t>\n攻击检定达到困难成功时，可选择不造成常规额外伤害，而是直接造成该次攻击可能的最大伤害值。【增益特质】【影响单目标】【永久持续】【主动生效】</t>
  </si>
  <si>
    <t>【精神壁垒】</t>
  </si>
  <si>
    <t>\n调查员的精神世界有着坚固的防线</t>
  </si>
  <si>
    <t>\n单次理智损失最高为5点（直面邪神及类似存在时除外）。【增益特质】【影响自己】【永久持续】【被动生效】</t>
  </si>
  <si>
    <t>【神之使徒】</t>
  </si>
  <si>
    <t>\n调查员确信自己受到某位神明的庇护</t>
  </si>
  <si>
    <t>\n意志检定获得奖励骰；但行为违背神明教义时可能失去庇护。【增益特质】【影响自己】【永久持续】【被动生效】</t>
  </si>
  <si>
    <t>【自我说服】</t>
  </si>
  <si>
    <t>\n调查员擅长自我开解，避免陷入疯狂</t>
  </si>
  <si>
    <t>\n单次理智损失达到5点或以上时，可立即进行意志检定，成功则避免陷入临时疯狂。【增益特质】【影响自己】【永久持续】【触发生效】</t>
  </si>
  <si>
    <t>【冒险主义】</t>
  </si>
  <si>
    <t>\n调查员热衷于孤注一掷</t>
  </si>
  <si>
    <t>\n进行孤注一掷检定时获得奖励骰；但如果失败将承受额外惩罚。【混合特质】【影响自己】【永久持续】【被动生效】</t>
  </si>
  <si>
    <t>【一无所有】</t>
  </si>
  <si>
    <t>\n调查员始终身无分文</t>
  </si>
  <si>
    <t>\n信用评级固定为0，且无法通过正常手段提升。【减益特质】【影响自己】【永久持续】【被动生效】</t>
  </si>
  <si>
    <t>【音乐狂热】</t>
  </si>
  <si>
    <t>\n调查员需要持续的音乐刺激</t>
  </si>
  <si>
    <t>\n必须始终接触音乐；处于绝对安静环境超过1小时需进行意志检定，失败则陷入临时疯狂。【减益特质】【影响自己】【永久持续】【被动生效】</t>
  </si>
  <si>
    <t>【永不空军】</t>
  </si>
  <si>
    <t>\n调查员对钓鱼有着近乎偏执的热爱</t>
  </si>
  <si>
    <t>\n钓鱼活动检定获得奖励骰；若被迫中断钓鱼需进行困难成功的意志检定以避免沮丧。【增益特质】【影响自己】【永久持续】【被动生效】</t>
  </si>
  <si>
    <t>【神经过敏】</t>
  </si>
  <si>
    <t>\n调查员对环境中的任何风吹草动都异常警觉</t>
  </si>
  <si>
    <t>\n侦查检定获得奖励骰；但侦查检定失败时会因过度紧张而失去1点理智值。【混合特质】【影响自己】【永久持续】【被动生效】</t>
  </si>
  <si>
    <t>【被害妄想】</t>
  </si>
  <si>
    <t>\n调查员总认为有人要加害自己</t>
  </si>
  <si>
    <t>\n免疫偷袭（战斗首轮永远可以行动）；但每次被证实遭遇袭击时需进行理智检定，失败则失去1点理智值。【混合特质】【影响自己】【永久持续】【被动生效】</t>
  </si>
  <si>
    <t>【贴身遗物】</t>
  </si>
  <si>
    <t>\n调查员持有一件蕴含情感的珍贵遗物</t>
  </si>
  <si>
    <t>\n每日一次，可通过紧握遗物并进行成功的意志检定来恢复1D3点理智值。【增益特质】【影响自己】【每日限次】【主动生效】</t>
  </si>
  <si>
    <t>【晕车体质】</t>
  </si>
  <si>
    <t>\n调查员患有严重的晕动症</t>
  </si>
  <si>
    <t>\n乘坐或驾驶任何交通工具时，所有技能检定承受惩罚骰；下车后持续1D8小时。【减益特质】【影响自己】【永久持续】【被动生效】</t>
  </si>
  <si>
    <t>【瓶中之人】</t>
  </si>
  <si>
    <t>\n调查员掌握着极高的柔术</t>
  </si>
  <si>
    <t>\n可临时将体型（SIZ）视为原来的一半通过狭窄缝隙；但期间力量相关检定承受惩罚骰。【增益特质】【影响自己】【永久持续】【主动生效】</t>
  </si>
  <si>
    <t>【顶点科研】</t>
  </si>
  <si>
    <t>\n调查员在某一科学领域是绝对的权威</t>
  </si>
  <si>
    <t>\n选择一项科学技能，该技能增加50%成长值（不超过上限）；你在该领域被视为权威。【增益特质】【影响自己】【永久持续】【被动生效】</t>
  </si>
  <si>
    <t>【年老色衰】</t>
  </si>
  <si>
    <t>\n调查员因年岁增长而容颜不再</t>
  </si>
  <si>
    <t>\n年龄增加3D10岁，外貌属性永久减少1D10点；可能获得与年龄相关的知识或人脉。【混合特质】【影响自己】【永久持续】【被动生效】</t>
  </si>
  <si>
    <t>【鼓舞之歌】</t>
  </si>
  <si>
    <t>\n调查员的歌声能振奋人心</t>
  </si>
  <si>
    <t>\n成功进行歌唱或乐器表演后，周围所有友方角色可恢复1点理智值。每个角色每日限一次。【增益特质】【影响友方】【永久持续】【主动生效】</t>
  </si>
  <si>
    <t>【命运羁绊】</t>
  </si>
  <si>
    <t>\n调查员与某位重要之人有着深刻的命运联结</t>
  </si>
  <si>
    <t>\n每模组一次，陷入绝境时可呼唤重要之人提供关键帮助；之后该重要之人可能陷入危险。【增益特质】【影响自己】【模组限次】【主动生效】</t>
  </si>
  <si>
    <t>【黑道气质】</t>
  </si>
  <si>
    <t>\n调查员带有明显的江湖气息</t>
  </si>
  <si>
    <t>\n与罪犯、黑帮成员打交道时，交涉检定获得奖励骰；但更容易被警方怀疑和调查。【混合特质】【影响自己】【永久持续】【被动生效】</t>
  </si>
  <si>
    <t>【一身正气】</t>
  </si>
  <si>
    <t>\n调查员给人以正直可靠的印象</t>
  </si>
  <si>
    <t>\n与普通市民、执法人员打交道时，交涉检定获得奖励骰；但容易被罪犯视为首要目标。【增益特质】【影响自己】【永久持续】【被动生效】</t>
  </si>
  <si>
    <t>【犬类之敌】</t>
  </si>
  <si>
    <t>\n调查员被所有犬科动物深深厌恶</t>
  </si>
  <si>
    <t>\n所有犬科动物初始态度为敌对，并会优先攻击你。【减益特质】【影响自己】【永久持续】【被动生效】</t>
  </si>
  <si>
    <t>【猫类之敌】</t>
  </si>
  <si>
    <t>\n调查员被所有猫科动物深深厌恶</t>
  </si>
  <si>
    <t>\n所有猫科动物初始态度为敌对，并会优先攻击你。【减益特质】【影响自己】【永久持续】【被动生效】</t>
  </si>
  <si>
    <t>【万能叮当】</t>
  </si>
  <si>
    <t>\n调查员的背包像个百宝袋</t>
  </si>
  <si>
    <t>\n幸运检定成功时，可恰好从背包里找到一件常见且合理的小物件。每场景限一次。【增益特质】【影响自己】【场景限次】【触发生效】</t>
  </si>
  <si>
    <t>【荒野镖客】</t>
  </si>
  <si>
    <t>\n调查员精通西部式的绳套绑架</t>
  </si>
  <si>
    <t>\n战斗中手持绳索且距离适中，可尝试力量对抗检定（可能获得奖励骰），成功则用绳索套住目标并将其拉至身边。【增益特质】【影响单目标】【永久持续】【主动生效】</t>
  </si>
  <si>
    <t>\n调查员深谙偷袭之道</t>
  </si>
  <si>
    <t>\n从潜行状态发起的首轮攻击，可进行两次攻击动作（第二次攻击承受惩罚骰）。【增益特质】【影响自己】【永久持续】【被动生效】</t>
  </si>
  <si>
    <t>【机械纪元】</t>
  </si>
  <si>
    <t>\n调查员陷入诡异的时间循环</t>
  </si>
  <si>
    <t>\n在模组中死亡时，会在模组开始的特定时间点复活，但失去在本模组中获得的所有记忆和技能成长。【混合特质】【影响自己】【永久持续】【触发生效】</t>
  </si>
  <si>
    <t>【背叛预言】</t>
  </si>
  <si>
    <t>\n调查员被预言将背叛团队</t>
  </si>
  <si>
    <t>\n模组开始时被告知：若在模组结束前背叛团队，可获得2D6点理智奖励。是否背叛由你决定。【混合特质】【影响自己】【模组限次】【被动生效】</t>
  </si>
  <si>
    <t>【在逃囚犯】</t>
  </si>
  <si>
    <t>\n调查员是重罪通缉犯</t>
  </si>
  <si>
    <t>\n一旦被警方识别身份会遭到无警告攻击和立即逮捕；在黑市中人脉+20%。【混合特质】【影响自己】【永久持续】【被动生效】</t>
  </si>
  <si>
    <t>【极限属性】</t>
  </si>
  <si>
    <t>\n调查员某项属性达到凡人极限</t>
  </si>
  <si>
    <t>\n创建角色时选择一项属性设为99；但此项属性永远无法通过成长检定提升。【增益特质】【影响自己】【永久持续】【被动生效】</t>
  </si>
  <si>
    <t>【生命翻倍】</t>
  </si>
  <si>
    <t>\n调查员的生命力异常顽强</t>
  </si>
  <si>
    <t>\n最大生命值翻倍。【增益特质】【影响自己】【永久持续】【被动生效】</t>
  </si>
  <si>
    <t>【矢志不渝】</t>
  </si>
  <si>
    <t>\n调查员的信念坚不可摧</t>
  </si>
  <si>
    <t>\n免疫所有改变信念、记忆的精神控制或洗脑效果。【增益特质】【影响自己】【永久持续】【被动生效】</t>
  </si>
  <si>
    <t>【金牌厨师】</t>
  </si>
  <si>
    <t>\n调查员拥有顶尖的厨艺</t>
  </si>
  <si>
    <t>\n厨艺（艺术与手艺：烹饪）检定获得奖励骰；制作的美食可以提振士气。【增益特质】【影响自己】【永久持续】【被动生效】</t>
  </si>
  <si>
    <t>【人情难还】</t>
  </si>
  <si>
    <t>\n调查员欠下无法偿还的恩情</t>
  </si>
  <si>
    <t>\n欠某个重要NPC天大人情，无法做出任何直接或间接伤害该NPC的行为；该NPC可能会要求偿还人情。【减益特质】【影响自己】【永久持续】【被动生效】</t>
  </si>
  <si>
    <t>【传道授业】</t>
  </si>
  <si>
    <t>\n调查员是一名优秀的教师</t>
  </si>
  <si>
    <t>\n可花费1D10天尝试将一项技能教授给另一名调查员；教授者需进行智力检定，若达到困难成功则学习者该技能提升至与教授者当前水平相同（不超过其自身上限）。每项技能仅能学习一次。【增益特质】【影响友方】【永久持续】【主动生效】</t>
  </si>
  <si>
    <t>【临时教学】</t>
  </si>
  <si>
    <t>\n调查员擅长临阵磨枪式的指导</t>
  </si>
  <si>
    <t>\n可花费1小时快速指导他人一项技能；指导者需进行智力检定，若达到困难成功则学习者在接下来24小时内使用该技能时获得奖励骰。每个技能、每个学习者每日限一次。【增益特质】【影响友方】【每日限次】【主动生效】</t>
  </si>
  <si>
    <t>【第二人格】</t>
  </si>
  <si>
    <t>\n调查员体内栖息着另一个人格</t>
  </si>
  <si>
    <t>\n陷入临时或不定性疯狂时可切换至第二人格，使用另一张角色卡直至疯狂状态结束。两张角色卡的职业、技能可以不同，但属性、生命值、理智值池共享。【混合特质】【影响自己】【永久持续】【触发生效】</t>
  </si>
  <si>
    <t>【华丽面具】</t>
  </si>
  <si>
    <t>\n调查员总是戴着一副特质面具</t>
  </si>
  <si>
    <t>\n面具是你信心的来源。当面具被摘下或损坏时，所有技能检定承受一个惩罚骰，直到面具被修复或适应没有它（可能需要数周）。【减益特质】【影响自己】【临时持续】【被动生效】</t>
  </si>
  <si>
    <t>【枪械反击】</t>
  </si>
  <si>
    <t>\n调查员能在近距离开火还击</t>
  </si>
  <si>
    <t>\n当敌人对你进行近战攻击时，可使用手枪进行一次反击检定；此次反击造成的伤害不计算贯穿加成。【增益特质】【影响单目标】【永久持续】【触发生效】</t>
  </si>
  <si>
    <t>【重伤终结】</t>
  </si>
  <si>
    <t>\n调查员善于对受伤目标发动致命一击</t>
  </si>
  <si>
    <t>\n对生命值低于一半的目标进行攻击时，攻击检定获得一个奖励骰。【增益特质】【影响单目标】【永久持续】【被动生效】</t>
  </si>
  <si>
    <t>【武器掠夺】</t>
  </si>
  <si>
    <t>\n调查员精通缴械技巧</t>
  </si>
  <si>
    <t>\n可尝试夺取相邻敌人的武器，需进行敏捷或力量与对方力量的对抗检定，成功则获得该武器控制权。【增益特质】【影响单目标】【永久持续】【主动生效】</t>
  </si>
  <si>
    <t>【勇气赞歌】</t>
  </si>
  <si>
    <t>\n调查员拥有直面不可名状存在的勇气</t>
  </si>
  <si>
    <t>\n不会因神话生物而陷入瘫痪或无法行动状态，但仍需正常进行理智检定。【增益特质】【影响自己】【永久持续】【被动生效】</t>
  </si>
  <si>
    <t>【稳定驾驶】</t>
  </si>
  <si>
    <t>\n调查员能在恶劣条件下保持载具稳定</t>
  </si>
  <si>
    <t>\n在雨天、雪地等恶劣路况下驾驶时，可忽略一个因环境导致的惩罚骰。【增益特质】【影响自己】【永久持续】【被动生效】</t>
  </si>
  <si>
    <t>【燃烧幸运】</t>
  </si>
  <si>
    <t>\n调查员能更频繁地调动命运之力</t>
  </si>
  <si>
    <t>\n可以像正常规则一样燃烧幸运值来改变检定结果，且每日可如此操作的次数+1。【增益特质】【影响自己】【永久持续】【被动生效】</t>
  </si>
  <si>
    <t>【幸运减半】</t>
  </si>
  <si>
    <t>\n调查员的运气消耗总是更为经济</t>
  </si>
  <si>
    <t>\n燃烧幸运值时，需要消耗的幸运值点数减半（向上取整）。【增益特质】【影响自己】【永久持续】【被动生效】</t>
  </si>
  <si>
    <t>【后手优势】</t>
  </si>
  <si>
    <t>\n调查员善于在观察敌人行动后做出反应</t>
  </si>
  <si>
    <t>\n战斗第一轮，若尚未受到任何伤害，第一次行动检定获得一个奖励骰。【增益特质】【影响自己】【永久持续】【被动生效】</t>
  </si>
  <si>
    <t>【轮盘赌博】</t>
  </si>
  <si>
    <t>\n调查员在俄罗斯轮盘赌中异常冷静</t>
  </si>
  <si>
    <t>\n参与俄罗斯轮盘赌时，相关的意志检定和幸运检定获得一个奖励骰。【增益特质】【影响自己】【永久持续】【被动生效】</t>
  </si>
  <si>
    <t>【熊的力量】</t>
  </si>
  <si>
    <t>\n调查员的力量突破了人类的常规极限</t>
  </si>
  <si>
    <t>\n力量属性可以超过99，并在创建角色时额外增加3D10点力量值（仍受角色创建规则限制）。【增益特质】【影响自己】【永久持续】【被动生效】</t>
  </si>
  <si>
    <t>【追逐优势】</t>
  </si>
  <si>
    <t>\n调查员在追逐开始时能爆发出惊人速度</t>
  </si>
  <si>
    <t>\n追逐场景开始时，第一次体质检定获得一个奖励骰，且在第一轮获得额外的1点移动力。【增益特质】【影响自己】【永久持续】【被动生效】</t>
  </si>
  <si>
    <t>【闪避追击】</t>
  </si>
  <si>
    <t>\n调查员善于在闪避后迅速反击或调整位置</t>
  </si>
  <si>
    <t>\n成功闪避一次攻击后，在下一轮进行的第一次检定获得一个奖励骰。【增益特质】【影响自己】【永久持续】【触发生效】</t>
  </si>
  <si>
    <t>【医疗阴影】</t>
  </si>
  <si>
    <t>\n调查员对医疗行为有严重的心理阴影</t>
  </si>
  <si>
    <t>\n清醒时会拒绝接受任何急救或医疗处理；只有在昏迷状态下才能被治疗。【减益特质】【影响自己】【永久持续】【被动生效】</t>
  </si>
  <si>
    <t>【紧急治疗】</t>
  </si>
  <si>
    <t>\n调查员在危急情况下能进行高效的急救</t>
  </si>
  <si>
    <t>\n对生命值低于最大值的25%或濒死的目标进行急救时，急救检定获得一个奖励骰。【增益特质】【影响单目标】【永久持续】【主动生效】</t>
  </si>
  <si>
    <t>【信仰之跃】</t>
  </si>
  <si>
    <t>\n调查员掌握着特殊的坠落技巧</t>
  </si>
  <si>
    <t>\n从任何高度坠落时，受到的伤害取该次伤害骰的最小值。【增益特质】【影响自己】【永久持续】【被动生效】</t>
  </si>
  <si>
    <t>【显眼目标】</t>
  </si>
  <si>
    <t>\n调查员总是成为战场上的焦点</t>
  </si>
  <si>
    <t>\n在战斗中，敌人会优先攻击你；闪避检定获得一个奖励骰，但每场战斗至少会被攻击一次。【混合特质】【影响自己】【永久持续】【被动生效】</t>
  </si>
  <si>
    <t>【魔力熔炉】</t>
  </si>
  <si>
    <t>\n调查员体内蕴含着更庞大的魔力源泉</t>
  </si>
  <si>
    <t>\n魔力值（MP）上限翻倍，且每小时自然恢复的魔力值也翻倍。【增益特质】【影响自己】【永久持续】【被动生效】</t>
  </si>
  <si>
    <t>【魔法绝缘】</t>
  </si>
  <si>
    <t>\n调查员的存在本身排斥魔法能量</t>
  </si>
  <si>
    <t>\n无法学习或施展任何法术；抵抗法术的意志检定获得一个奖励骰。【混合特质】【影响自己】【永久持续】【被动生效】</t>
  </si>
  <si>
    <t>【资质愚钝】</t>
  </si>
  <si>
    <t>\n调查员学习能力极差</t>
  </si>
  <si>
    <t>\n无法通过正常的学习或阅读提升技能；只有当接触到克苏鲁神话或类似超常知识时才能获得技能成长。【减益特质】【影响自己】【永久持续】【被动生效】</t>
  </si>
  <si>
    <t>【书本无用】</t>
  </si>
  <si>
    <t>\n调查员无法从书面材料中学习魔法</t>
  </si>
  <si>
    <t>\n阅读神话原典或魔法书不会让你学会任何法术，但仍需进行理智检定。【减益特质】【影响自己】【永久持续】【被动生效】</t>
  </si>
  <si>
    <t>【完美阅读】</t>
  </si>
  <si>
    <t>\n调查员阅读速度慢但理解深刻</t>
  </si>
  <si>
    <t>\n阅读任何书籍所需时间翻倍，但因阅读而损失的理智值减半。【混合特质】【影响自己】【永久持续】【被动生效】</t>
  </si>
  <si>
    <t>【人形检索】</t>
  </si>
  <si>
    <t>\n调查员对图书馆系统了如指掌</t>
  </si>
  <si>
    <t>\n在图书馆中查找资料时，所需时间减半，且图书馆使用检定获得一个奖励骰。【增益特质】【影响自己】【永久持续】【被动生效】</t>
  </si>
  <si>
    <t>【蓝绿修改】</t>
  </si>
  <si>
    <t>\n调查员总是携带大量现金</t>
  </si>
  <si>
    <t>\n随身携带的现金是正常情况的10倍；但这可能会引起不法分子的注意。【混合特质】【影响自己】【永久持续】【被动生效】</t>
  </si>
  <si>
    <t>【持续癫狂】</t>
  </si>
  <si>
    <t>\n调查员的疯狂状态异常持久</t>
  </si>
  <si>
    <t>\n临时疯狂与不定性疯狂的持续时间翻倍。【减益特质】【影响自己】【永久持续】【被动生效】</t>
  </si>
  <si>
    <t>【不屈意志】</t>
  </si>
  <si>
    <t>\n调查员能靠意志力支撑濒死的身体</t>
  </si>
  <si>
    <t>\n生命值降至0时，可进行一次意志检定，成功则生命值恢复1点。每场模组限一次。【增益特质】【影响自己】【模组限次】【触发生效】</t>
  </si>
  <si>
    <t>【灵感爆发】</t>
  </si>
  <si>
    <t>\n调查员的直觉敏锐得超乎寻常</t>
  </si>
  <si>
    <t>\n灵感检定获得一个奖励骰；当场景中存在重要线索时，守秘人应当给你一些提示。【增益特质】【影响自己】【永久持续】【被动生效】</t>
  </si>
  <si>
    <t>【萌王大赏】</t>
  </si>
  <si>
    <t>\n调查员在特定圈子中拥有极高人气</t>
  </si>
  <si>
    <t>\n因赢得萌王大赏而受到追捧，所有社交检定获得一个奖励骰。【增益特质】【影响自己】【永久持续】【被动生效】</t>
  </si>
  <si>
    <t>【微观表情】</t>
  </si>
  <si>
    <t>\n调查员能捕捉最细微的表情变化</t>
  </si>
  <si>
    <t>\n心理学检定获得一个奖励骰。【增益特质】【影响自己】【永久持续】【被动生效】</t>
  </si>
  <si>
    <t>【特长精通】</t>
  </si>
  <si>
    <t>\n调查员在其特长领域表现出色</t>
  </si>
  <si>
    <t>\n选择的一个特长技能（职业技能或兴趣技能）的检定获得一个奖励骰。【增益特质】【影响自己】【永久持续】【被动生效】</t>
  </si>
  <si>
    <t>【刚毅护盾】</t>
  </si>
  <si>
    <t>\n调查员能承受惊人的伤害</t>
  </si>
  <si>
    <t>\n单次受到的伤害不会超过生命值上限。【增益特质】【影响自己】【永久持续】【被动生效】</t>
  </si>
  <si>
    <t>【精英教育】</t>
  </si>
  <si>
    <t>\n调查员接受过顶尖的教育</t>
  </si>
  <si>
    <t>\n所有教育和知识类技能（如历史、科学、博物学）检定获得一个奖励骰。【增益特质】【影响自己】【永久持续】【被动生效】</t>
  </si>
  <si>
    <t>【魔法亲和】</t>
  </si>
  <si>
    <t>\n调查员与魔法能量有着天然的亲和力</t>
  </si>
  <si>
    <t>\n学习一个法术后，第一次施放该法术时自动成功，无需进行智力检定。【增益特质】【影响自己】【永久持续】【被动生效】</t>
  </si>
  <si>
    <t>【害怕受伤】</t>
  </si>
  <si>
    <t>\n调查员对受伤极为恐惧</t>
  </si>
  <si>
    <t>\n每当生命值减少后，直到下次休息前，所有技能检定承受一个惩罚骰。【减益特质】【影响自己】【永久持续】【被动生效】</t>
  </si>
  <si>
    <t>【好运降临】</t>
  </si>
  <si>
    <t>\n调查员的好运能够延续</t>
  </si>
  <si>
    <t>\n幸运检定成功时，在接下来一小时内进行的第一次检定获得一个奖励骰。【增益特质】【影响自己】【永久持续】【触发生效】</t>
  </si>
  <si>
    <t>【于心不忍】</t>
  </si>
  <si>
    <t>\n调查员对同伴的伤痛感同身受</t>
  </si>
  <si>
    <t>\n当一名队友在视野内受到伤害并损失生命值时，失去1点理智值。【减益特质】【影响自己】【永久持续】【被动生效】</t>
  </si>
  <si>
    <t>【理智动摇】</t>
  </si>
  <si>
    <t>\n调查员的精神状态会影响其表现</t>
  </si>
  <si>
    <t>\n每当你损失理智值后，直到下次休息前，所有技能检定承受一个惩罚骰。【减益特质】【影响自己】【永久持续】【被动生效】</t>
  </si>
  <si>
    <t>【燃烧意志】</t>
  </si>
  <si>
    <t>\n调查员能透支意志力创造优势</t>
  </si>
  <si>
    <t>\n可消耗10点意志值，为一次检定增加一个奖励骰。此效果每日限一次。【增益特质】【影响自己】【每日限次】【主动生效】【消耗意志】</t>
  </si>
  <si>
    <t>【荆棘之甲】</t>
  </si>
  <si>
    <t>\n调查员能将受到的伤害返还给攻击者</t>
  </si>
  <si>
    <t>\n成功进行一次反击时，攻击者受到等同于此次反击造成伤害值的伤害。【增益特质】【影响单目标】【永久持续】【触发生效】</t>
  </si>
  <si>
    <t>【拳击之魂】</t>
  </si>
  <si>
    <t>\n调查员是徒手格斗的大师</t>
  </si>
  <si>
    <t>\n使用拳头、指虎等徒手武器进行斗殴和反击时，检定获得一个奖励骰。【增益特质】【影响自己】【永久持续】【被动生效】</t>
  </si>
  <si>
    <t>【肾上腺素】</t>
  </si>
  <si>
    <t>\n调查员在受伤后会进入高度兴奋状态</t>
  </si>
  <si>
    <t>\n每当生命值减少后，直到战斗结束，闪避检定和追逐中的体质检定获得一个奖励骰。【增益特质】【影响自己】【永久持续】【被动生效】</t>
  </si>
  <si>
    <t>【天生无痛】</t>
  </si>
  <si>
    <t>\n调查员没有痛觉</t>
  </si>
  <si>
    <t>\n不会因为重伤或濒死而倒地，且重伤不会对行动造成惩罚骰；但可能因无法感知伤害而陷入更危险的境地。【混合特质】【影响自己】【永久持续】【被动生效】</t>
  </si>
  <si>
    <t>【玻璃大炮】</t>
  </si>
  <si>
    <t>\n调查员的攻击凌厉但防御薄弱</t>
  </si>
  <si>
    <t>\n造成的所有近战伤害翻倍，但受到的所有伤害也翻倍。【混合特质】【影响自己】【永久持续】【被动生效】</t>
  </si>
  <si>
    <t>【肉身强韧】</t>
  </si>
  <si>
    <t>\n调查员能承受更多伤害后才被视为重伤</t>
  </si>
  <si>
    <t>\n只有当生命值低于最大值的20%时，才被视为进入重伤状态。【增益特质】【影响自己】【永久持续】【被动生效】</t>
  </si>
  <si>
    <t>【战斗大师】</t>
  </si>
  <si>
    <t>\n调查员拥有丰富的战斗经验</t>
  </si>
  <si>
    <t>\n所有战斗技能（斗殴、射击等）检定获得一个奖励骰。【增益特质】【影响自己】【永久持续】【被动生效】</t>
  </si>
  <si>
    <t>【公平决斗】</t>
  </si>
  <si>
    <t>\n调查员崇尚一对一的公平对决</t>
  </si>
  <si>
    <t>\n发起决斗并被接受后，在本次战斗中，你和你的对手都无法进行闪避动作。【混合特质】【影响双方】【临时持续】【主动生效】</t>
  </si>
  <si>
    <t>【大许愿术】</t>
  </si>
  <si>
    <t>\n调查员拥有一次实现愿望的能力</t>
  </si>
  <si>
    <t>\n可许下一个在物理法则内可能实现的愿望（不能直接涉及神祇）；许愿后立即死亡。每角色一生限一次。【增益特质】【影响自己】【一生限次】【主动生效】</t>
  </si>
  <si>
    <t>【家传戏法】</t>
  </si>
  <si>
    <t>\n调查员家族传承着微弱的超能力</t>
  </si>
  <si>
    <t>\n拥有一种微不足道的异能，如指尖点火、产生静电、轻微操控小物件等；效果由守秘人裁定。【增益特质】【影响自己】【永久持续】【主动生效】</t>
  </si>
  <si>
    <t>【幸运偷窃】</t>
  </si>
  <si>
    <t>\n调查员的偷窃行为似乎受到运气眷顾</t>
  </si>
  <si>
    <t>\n可尝试从目标身上偷取一件随机物品；进行一次幸运检定，成功则获得一件守秘人指定的随机物品。【增益特质】【影响单目标】【永久持续】【主动生效】</t>
  </si>
  <si>
    <t>【商界精英】</t>
  </si>
  <si>
    <t>\n调查员在商业界有着卓越声誉</t>
  </si>
  <si>
    <t>\n进行信用评级检定时，获得一个奖励骰。【增益特质】【影响自己】【永久持续】【被动生效】</t>
  </si>
  <si>
    <t>【正义伙伴】</t>
  </si>
  <si>
    <t>\n调查员始终将救助他人放在首位</t>
  </si>
  <si>
    <t>\n在任何情况下都会优先尝试救助处于危险中的人；成功救助他人时可恢复1D3点理智值。【增益特质】【影响友方】【永久持续】【被动生效】</t>
  </si>
  <si>
    <t>【和平守护】</t>
  </si>
  <si>
    <t>\n调查员以打击犯罪和邪教为己任</t>
  </si>
  <si>
    <t>\n与罪犯或邪教徒对抗时，所有攻击检定获得一个奖励骰。【增益特质】【影响自己】【永久持续】【被动生效】</t>
  </si>
  <si>
    <t>【官场老手】</t>
  </si>
  <si>
    <t>\n调查员精通官僚体系的运作规则</t>
  </si>
  <si>
    <t>\n与政府官员、公务员打交道时，交涉检定获得一个奖励骰。【增益特质】【影响自己】【永久持续】【被动生效】</t>
  </si>
  <si>
    <t>【外交大师】</t>
  </si>
  <si>
    <t>\n调查员擅长通过谈判解决冲突</t>
  </si>
  <si>
    <t>\n战斗开始前可尝试进行交涉检定，成功则可能避免战斗或改变战斗条件（由KP裁定）。【增益特质】【影响敌方】【永久持续】【主动生效】</t>
  </si>
  <si>
    <t>【军事训练】</t>
  </si>
  <si>
    <t>\n调查员接受过正规军事训练</t>
  </si>
  <si>
    <t>\n拥有基本军事常识；与军人打交道时，交涉检定获得一个奖励骰。【增益特质】【影响自己】【永久持续】【被动生效】</t>
  </si>
  <si>
    <t>【军械维修】</t>
  </si>
  <si>
    <t>\n调查员精通枪械的维护保养</t>
  </si>
  <si>
    <t>\n使用的枪械不会因普通故障而卡壳（大失败导致的损坏除外）。【增益特质】【影响自己】【永久持续】【被动生效】</t>
  </si>
  <si>
    <t>【掩体构筑】</t>
  </si>
  <si>
    <t>\n调查员能快速利用环境构建防御工事</t>
  </si>
  <si>
    <t>\n战斗环境中可花费一轮行动构建简易掩体，提供2点护甲加值。【增益特质】【影响自己】【永久持续】【主动生效】</t>
  </si>
  <si>
    <t>【物资管理】</t>
  </si>
  <si>
    <t>\n调查员善于精打细算地使用资源</t>
  </si>
  <si>
    <t>\n队伍物资消耗速度减半；野外生存时，生存检定获得一个奖励骰。【增益特质】【影响友方】【永久持续】【被动生效】</t>
  </si>
  <si>
    <t>【科学研究】</t>
  </si>
  <si>
    <t>\n调查员是严谨的科学研究者</t>
  </si>
  <si>
    <t>\n所有科学类技能（化学、物理、生物等）检定获得一个奖励骰。【增益特质】【影响自己】【永久持续】【被动生效】</t>
  </si>
  <si>
    <t>【驱赶动物】</t>
  </si>
  <si>
    <t>\n调查员擅长控制动物群</t>
  </si>
  <si>
    <t>\n可尝试驱散或引导一群动物，相关的驯兽或生存检定获得一个奖励骰。【增益特质】【影响动物】【永久持续】【主动生效】</t>
  </si>
  <si>
    <t>【地下学者】</t>
  </si>
  <si>
    <t>\n调查员对城市地下设施了如指掌</t>
  </si>
  <si>
    <t>\n在下水道、地下通道等环境中行动时，导航和生存检定获得一个奖励骰。【增益特质】【影响自己】【永久持续】【被动生效】</t>
  </si>
  <si>
    <t>【昆虫专家】</t>
  </si>
  <si>
    <t>\n调查员精通昆虫学</t>
  </si>
  <si>
    <t>\n可识别并利用各种昆虫，相关的博物学或科学（昆虫学）检定获得一个奖励骰。【增益特质】【影响自己】【永久持续】【被动生效】</t>
  </si>
  <si>
    <t>【街头智慧】</t>
  </si>
  <si>
    <t>\n调查员在街头生活中磨练出了独特的生存技巧</t>
  </si>
  <si>
    <t>\n徒手斗殴检定获得一个奖励骰；城市环境中的生存检定获得一个奖励骰。【增益特质】【影响自己】【永久持续】【被动生效】</t>
  </si>
  <si>
    <t>【赤脚医生】</t>
  </si>
  <si>
    <t>\n调查员掌握着一种特殊但有效的急救技术</t>
  </si>
  <si>
    <t>\n急救检定总是成功（视为普通成功）；但每次接受你急救的人会永久失去1D10点体质值。同一目标只能生效一次。【混合特质】【影响单目标】【永久持续】【主动生效】</t>
  </si>
  <si>
    <t>【狼群战术】</t>
  </si>
  <si>
    <t>\n当至少两名队友与你共同攻击同一目标时，你的攻击检定获得一个奖励骰。【增益特质】【影响自己】【永久持续】【被动生效】</t>
  </si>
  <si>
    <t>【孤狼策略】</t>
  </si>
  <si>
    <t>\n调查员独自行动时更加高效</t>
  </si>
  <si>
    <t>\n周围30米内没有队友时，所有潜行和攻击检定获得一个奖励骰。【增益特质】【影响自己】【永久持续】【被动生效】</t>
  </si>
  <si>
    <t>【哥谭小丑】</t>
  </si>
  <si>
    <t>\n调查员精通混乱与诡计</t>
  </si>
  <si>
    <t>\n爆破、乔装和潜行检定获得一个奖励骰。【增益特质】【影响自己】【永久持续】【被动生效】</t>
  </si>
  <si>
    <t>【靶场粉丝】</t>
  </si>
  <si>
    <t>\n调查员是射击场的常客</t>
  </si>
  <si>
    <t>\n所有枪械射击检定获得一个奖励骰。【增益特质】【影响自己】【永久持续】【被动生效】</t>
  </si>
  <si>
    <t>【性病携带】</t>
  </si>
  <si>
    <t>\n调查员患有难以治愈的性传播疾病</t>
  </si>
  <si>
    <t>\n体质检定面临一个惩罚骰；可能通过亲密接触传染给他人。【减益特质】【影响自己】【永久持续】【被动生效】</t>
  </si>
  <si>
    <t>【超级英雄】</t>
  </si>
  <si>
    <t>\n调查员能对虚弱敌人发动致命一击</t>
  </si>
  <si>
    <t>\n攻击生命值低于10的敌人时，若攻击命中则目标直接死亡。【增益特质】【影响单目标】【永久持续】【被动生效】</t>
  </si>
  <si>
    <t>【霸王举鼎】</t>
  </si>
  <si>
    <t>\n调查员的力量远超常人</t>
  </si>
  <si>
    <t>\n可尝试举起或移动重量不超过力量两倍的物体，相关力量检定自动成功。【增益特质】【影响自己】【永久持续】【被动生效】</t>
  </si>
  <si>
    <t>【蚍蜉撼树】</t>
  </si>
  <si>
    <t>\n调查员能在短时间内爆发出惊人力量</t>
  </si>
  <si>
    <t>\n每日一次，可尝试移动重量不超过力量五倍的物体，持续一轮；需要成功的极限力量检定。【增益特质】【影响自己】【每日限次】【主动生效】</t>
  </si>
  <si>
    <t>【外强中干】</t>
  </si>
  <si>
    <t>\n调查员看似强壮实则无力</t>
  </si>
  <si>
    <t>\n所有力量检定面临一个惩罚骰。【减益特质】【影响自己】【永久持续】【被动生效】</t>
  </si>
  <si>
    <t>【破门而入】</t>
  </si>
  <si>
    <t>\n调查员擅长暴力开锁</t>
  </si>
  <si>
    <t>\n可直接摧毁耐久度低于力量值的普通门锁，无需检定。【增益特质】【影响自己】【永久持续】【主动生效】</t>
  </si>
  <si>
    <t>【黑客帝国】</t>
  </si>
  <si>
    <t>\n调查员拥有超乎常人的反应速度</t>
  </si>
  <si>
    <t>\n可尝试闪避子弹；但近距离（5米内）被枪械击中时，受到的伤害翻倍。【混合特质】【影响自己】【永久持续】【被动生效】</t>
  </si>
  <si>
    <t>【摩托步兵】</t>
  </si>
  <si>
    <t>\n调查员受过特殊的机动训练</t>
  </si>
  <si>
    <t>\n可尝试徒手追逐低速行驶的车辆，相关的敏捷或体质检定获得一个奖励骰。【增益特质】【影响自己】【永久持续】【主动生效】</t>
  </si>
  <si>
    <t>【二重身法】</t>
  </si>
  <si>
    <t>\n调查员拥有二次闪避的机会</t>
  </si>
  <si>
    <t>\n闪避检定失败时，可立即再进行一次闪避检定。每轮限一次。【增益特质】【影响自己】【永久持续】【触发生效】</t>
  </si>
  <si>
    <t>【移动缓慢】</t>
  </si>
  <si>
    <t>\n调查员的移动速度低于常人</t>
  </si>
  <si>
    <t>\n所有敏捷和移动相关检定面临一个惩罚骰。【减益特质】【影响自己】【永久持续】【被动生效】</t>
  </si>
  <si>
    <t>【博物教育】</t>
  </si>
  <si>
    <t>\n调查员能将知识应用于实践</t>
  </si>
  <si>
    <t>\n可使用教育属性来代替博物学进行检定。【增益特质】【影响自己】【永久持续】【被动生效】</t>
  </si>
  <si>
    <t>【三生教育】</t>
  </si>
  <si>
    <t>\n调查员的知识面极为广博</t>
  </si>
  <si>
    <t>\n可使用教育属性来代替生存、体质（对抗自然环境）和知识类技能进行检定。【增益特质】【影响自己】【永久持续】【被动生效】</t>
  </si>
  <si>
    <t>\n调查员对异常状态极为敏感</t>
  </si>
  <si>
    <t>\n中毒、疾病等异常状态效果持续时间翻倍；对抗这些效果的体质检定面临惩罚骰。【减益特质】【影响自己】【永久持续】【被动生效】</t>
  </si>
  <si>
    <t>【脱敏体质】</t>
  </si>
  <si>
    <t>\n调查员对异常状态有较强抵抗力</t>
  </si>
  <si>
    <t>\n中毒、疾病等异常状态效果持续时间减半；对抗这些效果的体质检定获得奖励骰。【增益特质】【影响自己】【永久持续】【被动生效】</t>
  </si>
  <si>
    <t>【呕吐毒物】</t>
  </si>
  <si>
    <t>\n调查员的身体能自动排斥毒素</t>
  </si>
  <si>
    <t>\n食用有毒物质后会立即呕吐，从而免疫口服毒物效果；但注射或吸入的毒素仍然有效。【增益特质】【影响自己】【永久持续】【被动生效】</t>
  </si>
  <si>
    <t>【不良载体】</t>
  </si>
  <si>
    <t>\n调查员的身体不适合微生物生存</t>
  </si>
  <si>
    <t>\n免疫所有病毒、真菌和寄生虫的感染。【增益特质】【影响自己】【永久持续】【被动生效】</t>
  </si>
  <si>
    <t>【免疫过滤】</t>
  </si>
  <si>
    <t>\n调查员的免疫系统异常活跃</t>
  </si>
  <si>
    <t>\n免疫所有感染；但药物、酒精等化学物质效果减半或无效。【混合特质】【影响自己】【永久持续】【被动生效】</t>
  </si>
  <si>
    <t>【活化细胞】</t>
  </si>
  <si>
    <t>\n调查员的新陈代谢异常旺盛</t>
  </si>
  <si>
    <t>\n生命值恢复速度翻倍；但药物和急救技能无效，只能通过自然休息或医学手术恢复生命值。【混合特质】【影响自己】【永久持续】【被动生效】</t>
  </si>
  <si>
    <t>【招蜂引蝶】</t>
  </si>
  <si>
    <t>\n调查员散发特殊体香</t>
  </si>
  <si>
    <t>\n散发花香般体香，社交检定获得奖励骰；但会吸引昆虫靠近。【混合特质】【影响自己】【永久持续】【被动生效】</t>
  </si>
  <si>
    <t>【尸香魔芋】</t>
  </si>
  <si>
    <t>\n调查员散发特殊体臭</t>
  </si>
  <si>
    <t>\n散发腐败般恶臭，社交检定面临惩罚骰；且会吸引食腐昆虫靠近。【减益特质】【影响自己】【永久持续】【被动生效】</t>
  </si>
  <si>
    <t>【荧光躯体】</t>
  </si>
  <si>
    <t>\n调查员的身体会在黑暗中发光</t>
  </si>
  <si>
    <t>\n在黑暗环境中，潜行和藏匿检定面临惩罚骰。【减益特质】【影响自己】【永久持续】【被动生效】</t>
  </si>
  <si>
    <t>【哑光肌肤】</t>
  </si>
  <si>
    <t>\n调查员的皮肤能吸收光线</t>
  </si>
  <si>
    <t>\n在黑暗环境中，潜行和藏匿检定获得奖励骰。【增益特质】【影响自己】【永久持续】【被动生效】</t>
  </si>
  <si>
    <t>【车轮身高】</t>
  </si>
  <si>
    <t>\n调查员的身材异常矮胖</t>
  </si>
  <si>
    <t>\n身高远低于常人，体型（SIZ）横向发展；可通过狭窄缝隙，但移动力（MOV）减少1点。【混合特质】【影响自己】【永久持续】【被动生效】</t>
  </si>
  <si>
    <t>【天顶星人】</t>
  </si>
  <si>
    <t>\n调查员的身材异常高瘦</t>
  </si>
  <si>
    <t>\n身高远高于常人，体型（SIZ）主要体现为高度；移动力（MOV）增加1点，但难以通过低矮门廊。【混合特质】【影响自己】【永久持续】【被动生效】</t>
  </si>
  <si>
    <t>【肢体崎岖】</t>
  </si>
  <si>
    <t>\n调查员的肢体畸形扭曲</t>
  </si>
  <si>
    <t>\n肢体呈现不自然扭曲状态；恐吓检定获得奖励骰，但所有其他技能检定面临惩罚骰。【混合特质】【影响自己】【永久持续】【被动生效】</t>
  </si>
  <si>
    <t>【智慧之力】</t>
  </si>
  <si>
    <t>\n调查员能用智慧弥补身体的不足</t>
  </si>
  <si>
    <t>\n可使用智力属性来代替力量或敏捷进行检定。【增益特质】【影响自己】【永久持续】【被动生效】</t>
  </si>
  <si>
    <t>【学术天才】</t>
  </si>
  <si>
    <t>\n调查员是学术领域的天才</t>
  </si>
  <si>
    <t>\n可使用智力属性来代替任何科学技能进行检定。【增益特质】【影响自己】【永久持续】【被动生效】</t>
  </si>
  <si>
    <t>【计算诸元】</t>
  </si>
  <si>
    <t>\n调查员能通过计算提高射击精度</t>
  </si>
  <si>
    <t>\n可使用智力属性来代替射击技能进行检定。【增益特质】【影响自己】【永久持续】【被动生效】</t>
  </si>
  <si>
    <t>【智慧精神】</t>
  </si>
  <si>
    <t>\n调查员的精神力量源于智慧</t>
  </si>
  <si>
    <t>\n可使用智力属性来代替意志进行检定。【增益特质】【影响自己】【永久持续】【被动生效】</t>
  </si>
  <si>
    <t>【快速理解】</t>
  </si>
  <si>
    <t>\n调查员的学习和理解能力超群</t>
  </si>
  <si>
    <t>\n阅读任何书籍所需时间减半；进行教学或技能传授时的检定难度降低一级。【增益特质】【影响自己】【永久持续】【被动生效】</t>
  </si>
  <si>
    <t>【参透真实】</t>
  </si>
  <si>
    <t>\n调查员能通过理性分析缓解疯狂</t>
  </si>
  <si>
    <t>\n智力检定达到困难成功时，当前的疯狂持续时间减半。【增益特质】【影响自己】【永久持续】【触发生效】</t>
  </si>
  <si>
    <t>【定义人类】</t>
  </si>
  <si>
    <t>\n调查员能快速分析人类特征</t>
  </si>
  <si>
    <t>\n通过成功的人类学检定，可快速了解对象的基本信息（如大致年龄、人种、国籍等）。【增益特质】【影响单目标】【永久持续】【主动生效】</t>
  </si>
  <si>
    <t>\n调查员是精明的谈判者，善于压低价格</t>
  </si>
  <si>
    <t>\n估价检定成功可让物品价格降低20%，极难成功则可降低50%。【增益特质】【影响自己】【永久持续】【主动生效】</t>
  </si>
  <si>
    <t>【税务清查】</t>
  </si>
  <si>
    <t>\n调查员能通过账目发现财务漏洞甚至制造假账</t>
  </si>
  <si>
    <t>\n会计检定成功可以找出账目中的税务漏洞，或为目标捏造经济犯罪证据。【增益特质】【影响单目标】【永久持续】【主动生效】</t>
  </si>
  <si>
    <t>【流动清单】</t>
  </si>
  <si>
    <t>\n调查员能通过财务记录分析出资金流向与人际网络</t>
  </si>
  <si>
    <t>\n会计检定成功可以分析账本，理清其中的人际关系与资金流动的地理路径。【增益特质】【影响单目标】【永久持续】【主动生效】</t>
  </si>
  <si>
    <t>【欺诈交易】</t>
  </si>
  <si>
    <t>\n调查员擅长虚高物品价值以牟取暴利</t>
  </si>
  <si>
    <t>\n估价检定成功可让物品售价提高20%，极难成功则可让价格翻倍。【增益特质】【影响自己】【永久持续】【主动生效】</t>
  </si>
  <si>
    <t>【盗墓笔记】</t>
  </si>
  <si>
    <t>\n调查员是经验丰富的遗迹探索者</t>
  </si>
  <si>
    <t>\n考古学检定获得一个奖励骰；在地下或遗迹环境中行动时，潜行与侦查也获得奖励骰。【增益特质】【影响自己】【永久持续】【被动生效】</t>
  </si>
  <si>
    <t>【摸金校尉】</t>
  </si>
  <si>
    <t>\n调查员专注于寻找墓穴中的贵金属与宝石</t>
  </si>
  <si>
    <t>\n考古学检定获得一个奖励骰；在探索遗迹时更容易发现隐藏的宝石或金币（由KP裁定）。【增益特质】【影响自己】【永久持续】【被动生效】</t>
  </si>
  <si>
    <t>【工匠精神】</t>
  </si>
  <si>
    <t>\n艺术与手艺检定获得一个奖励骰；制作出的物品品质被视为高一级。【增益特质】【影响自己】【永久持续】【被动生效】</t>
  </si>
  <si>
    <t>【精神慰藉】</t>
  </si>
  <si>
    <t>\n调查员能从专注的手工创作中获得心灵的宁静</t>
  </si>
  <si>
    <t>\n每日一次，当艺术与手艺检定成功时，可以恢复1点理智值。【增益特质】【影响自己】【每日限次】【触发生效】</t>
  </si>
  <si>
    <t>【逃避可耻】</t>
  </si>
  <si>
    <t>\n调查员将撤退视为懦弱的行为，并因此自责</t>
  </si>
  <si>
    <t>\n每日一次，当主动选择逃跑或进行闪避时，失去1点理智值。【减益特质】【影响自己】【每日限次】【触发生效】</t>
  </si>
  <si>
    <t>【逃避有用】</t>
  </si>
  <si>
    <t>\n调查员坚信留得青山在的实用主义哲学</t>
  </si>
  <si>
    <t>\n每日一次，当成功逃跑或闪避后，可以恢复1点理智值。【增益特质】【影响自己】【每日限次】【触发生效】</t>
  </si>
  <si>
    <t>【勇攀高峰】</t>
  </si>
  <si>
    <t>\n调查员从征服高处中获得巨大的成就感</t>
  </si>
  <si>
    <t>\n每日一次，当成功到达一座山峰或悬崖的顶端时，可以恢复1点理智值。【增益特质】【影响自己】【每日限次】【触发生效】</t>
  </si>
  <si>
    <t>【恐高眩晕】</t>
  </si>
  <si>
    <t>\n调查员患有严重的恐高症</t>
  </si>
  <si>
    <t>\n当身处高处且向下望时，所有技能检定面临惩罚骰；检定失败则因眩晕而无法行动1轮。【减益特质】【影响自己】【永久持续】【被动生效】</t>
  </si>
  <si>
    <t>【坠落自救】</t>
  </si>
  <si>
    <t>\n调查员掌握着减轻坠落伤害的特殊技巧</t>
  </si>
  <si>
    <t>\n从任何高度坠落时，可进行一次敏捷检定，成功则生命值稳定在1点。【增益特质】【影响自己】【永久持续】【触发生效】</t>
  </si>
  <si>
    <t>【微型电脑】</t>
  </si>
  <si>
    <t>\n调查员能利用各种电子元件组装出简易计算机</t>
  </si>
  <si>
    <t>\n可使用电气维修和计算机使用，将手头的电子设备临时改造为一台功能简单的微型电脑。【增益特质】【影响自己】【永久持续】【主动生效】</t>
  </si>
  <si>
    <t>【卫星通讯】</t>
  </si>
  <si>
    <t>\n调查员能建立不受寻常干扰的通讯链路</t>
  </si>
  <si>
    <t>\n进行的远程通讯（如无线电、卫星电话）免疫因超自然力量导致的普通干扰。【增益特质】【影响自己】【永久持续】【被动生效】</t>
  </si>
  <si>
    <t>【职业伪装】</t>
  </si>
  <si>
    <t>\n调查员能完美融入各种职业群体</t>
  </si>
  <si>
    <t>\n乔装成常见职业时，身份不会被轻易怀疑，且在此状态下的潜行检定获得奖励骰。【增益特质】【影响自己】【永久持续】【主动生效】</t>
  </si>
  <si>
    <t>【自我攻略】</t>
  </si>
  <si>
    <t>\n调查员的伪装极具亲和力，能让人敞开心扉</t>
  </si>
  <si>
    <t>\n处于乔装状态并与他人互动时，若取悦检定成功，对方会将你视为自己人并可能分享秘密。【增益特质】【影响单目标】【永久持续】【触发生效】</t>
  </si>
  <si>
    <t>【电子制造】</t>
  </si>
  <si>
    <t>\n调查员是变废为宝的电子发明家</t>
  </si>
  <si>
    <t>\n进行电子学检定时，若缺乏特定零件，可尝试寻找替代品，检定难度不会因此提升。【增益特质】【影响自己】【永久持续】【被动生效】</t>
  </si>
  <si>
    <t>【电子干扰】</t>
  </si>
  <si>
    <t>\n调查员能制造局部的电磁干扰区</t>
  </si>
  <si>
    <t>\n通过成功的电子学检定，可干扰特定区域的通讯设备和电子操控系统，使其暂时失灵。【增益特质】【影响范围】【永久持续】【主动生效】</t>
  </si>
  <si>
    <t>【电子过载】</t>
  </si>
  <si>
    <t>\n调查员能人为引发设备的电路过载</t>
  </si>
  <si>
    <t>\n通过成功的电子学检定，可使一个电子设备过载，导致其短路、燃烧甚至爆炸。【增益特质】【影响单目标】【永久持续】【主动生效】</t>
  </si>
  <si>
    <t>【电器改造】</t>
  </si>
  <si>
    <t>\n调查员能巧妙篡改电器的功能</t>
  </si>
  <si>
    <t>\n通过电气维修检定，可改变一个电器的原有功能，或人为制造短路、断路。【增益特质】【影响单目标】【永久持续】【主动生效】</t>
  </si>
  <si>
    <t>【泰瑟电击】</t>
  </si>
  <si>
    <t>\n调查员能为金属武器附加非致命的电击效果</t>
  </si>
  <si>
    <t>\n通过成功的电气维修检定，可为金属近战武器临时附加电击效果，命中后可能使目标麻痹。【增益特质】【影响单目标】【永久持续】【主动生效】</t>
  </si>
  <si>
    <t>【电子弱点】</t>
  </si>
  <si>
    <t>\n调查员能洞察电子机械的脆弱点</t>
  </si>
  <si>
    <t>\n对抗电子机械或自动化防御系统时，攻击检定获得一个奖励骰。【增益特质】【影响自己】【永久持续】【被动生效】</t>
  </si>
  <si>
    <t>【联合修理】</t>
  </si>
  <si>
    <t>\n调查员能综合运用机械与电子知识进行复杂维修</t>
  </si>
  <si>
    <t>\n同时使用机械维修和电子学维修复杂设备时，维修检定的难度降低一级。【增益特质】【影响自己】【永久持续】【被动生效】</t>
  </si>
  <si>
    <t>【修理活人】</t>
  </si>
  <si>
    <t>\n调查员用修理机器的方式处理人体创伤</t>
  </si>
  <si>
    <t>\n可使用机械维修或电气维修技能来代替急救进行检定；但这会让伤者感到极度不适。【混合特质】【影响单目标】【永久持续】【主动生效】</t>
  </si>
  <si>
    <t>【解构机械】</t>
  </si>
  <si>
    <t>\n调查员拆解机械的速度快得惊人</t>
  </si>
  <si>
    <t>\n拆解机械设备时，机械维修检定所需时间减半；战斗中也可尝试拆卸敌人的装备。【增益特质】【影响自己】【永久持续】【主动生效】</t>
  </si>
  <si>
    <t>【过载保护】</t>
  </si>
  <si>
    <t>\n调查员能让设备在超负荷下安全运行</t>
  </si>
  <si>
    <t>\n通过成功的机械维修或电气维修检定，可让设备或载具在超负荷状态下运行而不立即损坏。【增益特质】【影响单目标】【永久持续】【主动生效】</t>
  </si>
  <si>
    <t>【飞跃峡谷】</t>
  </si>
  <si>
    <t>\n调查员的驾驶风格大胆而精准</t>
  </si>
  <si>
    <t>\n尝试驾驶车辆进行飞跃时，驾驶检定的难度降低一级。【增益特质】【影响自己】【永久持续】【被动生效】</t>
  </si>
  <si>
    <t>【机魂大悦】</t>
  </si>
  <si>
    <t>\n调查员能与载具产生神秘的共鸣</t>
  </si>
  <si>
    <t>\n专注于驾驶时，与载具仿佛融为一体，所有驾驶检定获得一个奖励骰。【增益特质】【影响自己】【永久持续】【被动生效】</t>
  </si>
  <si>
    <t>【有效沟通】</t>
  </si>
  <si>
    <t>\n调查员是天生的沟通者</t>
  </si>
  <si>
    <t>\n使用说服、话术、取悦、恐吓进行检定时，实际难度降低一级。【增益特质】【影响自己】【永久持续】【被动生效】</t>
  </si>
  <si>
    <t>【无效沟通】</t>
  </si>
  <si>
    <t>\n调查员的沟通方式总是容易引起误会</t>
  </si>
  <si>
    <t>\n使用说服、话术、取悦、恐吓进行检定时，实际难度提升一级。【减益特质】【影响自己】【永久持续】【被动生效】</t>
  </si>
  <si>
    <t>【魅惑联合】</t>
  </si>
  <si>
    <t>\n调查员的取悦中带有难以抗拒的暗示</t>
  </si>
  <si>
    <t>\n取悦检定成功时，目标不仅有好感，还会倾向于服从一个简单指令。【增益特质】【影响单目标】【永久持续】【触发生效】</t>
  </si>
  <si>
    <t>【恐吓艺术】</t>
  </si>
  <si>
    <t>\n调查员的恐吓能直击心灵深处</t>
  </si>
  <si>
    <t>\n恐吓检定成功时，目标除了感到恐惧外，还会因精神冲击而失去1点理智值。【增益特质】【影响单目标】【永久持续】【触发生效】</t>
  </si>
  <si>
    <t>【话术欺诈】</t>
  </si>
  <si>
    <t>\n调查员的言语总能引导对话走向有利方向</t>
  </si>
  <si>
    <t>\n使用话术且KP需要决定模糊细节时，结果总会偏向于对你有利的一方。【增益特质】【影响自己】【永久持续】【被动生效】</t>
  </si>
  <si>
    <t>【软饭硬吃】</t>
  </si>
  <si>
    <t>\n调查员的说服总能在达成目的的同时提升好感</t>
  </si>
  <si>
    <t>\n说服检定成功时，除了达到目的，目标对你的好感度还会显著提升。【增益特质】【影响单目标】【永久持续】【触发生效】</t>
  </si>
  <si>
    <t>【濒死自救】</t>
  </si>
  <si>
    <t>\n调查员在弥留之际能爆发出自救的潜能</t>
  </si>
  <si>
    <t>\n濒死时，可尝试对自己进行急救，且此次急救检定获得一个奖励骰。【增益特质】【影响自己】【永久持续】【触发生效】</t>
  </si>
  <si>
    <t>【苏格拉底】</t>
  </si>
  <si>
    <t>\n调查员将拯救生命置于最高优先级</t>
  </si>
  <si>
    <t>\n战斗中会优先救助伤员而非参与攻击；成功救助一名队友后，可以恢复1D3点理智值。【增益特质】【影响友方】【永久持续】【被动生效】</t>
  </si>
  <si>
    <t>【心肺复苏】</t>
  </si>
  <si>
    <t>\n调查员拒绝放弃任何一丝生机</t>
  </si>
  <si>
    <t>\n可对已宣告死亡不超过10分钟的目标尝试极限急救检定；成功则目标可能恢复微弱生命体征；每次尝试消耗1D6点理智值。【增益特质】【影响单目标】【永久持续】【主动生效】【消耗SAN】</t>
  </si>
  <si>
    <t>【南丁格尔】</t>
  </si>
  <si>
    <t>\n调查员的急救总能带来慰藉与恢复</t>
  </si>
  <si>
    <t>\n急救检定无论成功与否，目标都恢复1点生命值；若检定结果为困难成功，额外恢复1点。【增益特质】【影响单目标】【永久持续】【被动生效】</t>
  </si>
  <si>
    <t>【历史虚无】</t>
  </si>
  <si>
    <t>\n调查员从根本上否定历史的客观性</t>
  </si>
  <si>
    <t>\n无法进行历史知识检定。【减益特质】【影响自己】【永久持续】【被动生效】</t>
  </si>
  <si>
    <t>【深挖历史】</t>
  </si>
  <si>
    <t>\n调查员能穿透历史的迷雾找到核心</t>
  </si>
  <si>
    <t>\n历史检定时，若成功，可从KP处获得关于该历史事件的关键词或核心信息。【增益特质】【影响自己】【永久持续】【被动生效】</t>
  </si>
  <si>
    <t>【安全下车】</t>
  </si>
  <si>
    <t>\n调查员掌握着高速跳车的技巧</t>
  </si>
  <si>
    <t>\n从移动的载具上跳下时，受到的伤害取该次伤害骰的最小值。【增益特质】【影响自己】【永久持续】【被动生效】</t>
  </si>
  <si>
    <t>【跳跃恐惧】</t>
  </si>
  <si>
    <t>\n调查员对跳跃有着病态的恐惧</t>
  </si>
  <si>
    <t>\n拒绝进行任何非必要的跳跃；宁愿绕远路也不会尝试跳过沟壑。【减益特质】【影响自己】【永久持续】【被动生效】</t>
  </si>
  <si>
    <t>【跑酷大神】</t>
  </si>
  <si>
    <t>\n调查员是跑酷专家</t>
  </si>
  <si>
    <t>\n进行跳跃、攀爬或在复杂地形上移动时，免除常规情况下的技能检定。【增益特质】【影响自己】【永久持续】【被动生效】</t>
  </si>
  <si>
    <t>【公正无私】</t>
  </si>
  <si>
    <t>\n调查员从依法办事中获得正义的满足感</t>
  </si>
  <si>
    <t>\n成功使用法律手段处理犯罪行为后，可以恢复1点理智值。【增益特质】【影响自己】【永久持续】【触发生效】</t>
  </si>
  <si>
    <t>【法律豁免】</t>
  </si>
  <si>
    <t>\n调查员精通法律漏洞以保护自己</t>
  </si>
  <si>
    <t>\n通过成功的法律检定，可为自己免除轻微的犯罪指控，避免被拘留。【增益特质】【影响自己】【永久持续】【主动生效】</t>
  </si>
  <si>
    <t>【法外狂徒】</t>
  </si>
  <si>
    <t>\n调查员能利用法律手段为自己严重罪行开脱</t>
  </si>
  <si>
    <t>\n通过极难成功的法律检定，可为自己免除一项严重犯罪的指控；但受害者及其相关者不会原谅你。【增益特质】【影响自己】【永久持续】【主动生效】</t>
  </si>
  <si>
    <t>【构陷诬告】</t>
  </si>
  <si>
    <t>\n调查员能利用法律武器陷害他人</t>
  </si>
  <si>
    <t>\n通过成功的法律检定，可捏造证据对目标提起指控，警方可能会立案调查。【增益特质】【影响单目标】【永久持续】【主动生效】</t>
  </si>
  <si>
    <t>【图书情报】</t>
  </si>
  <si>
    <t>\n调查员是图书馆中的侦探</t>
  </si>
  <si>
    <t>\n在图书馆中查找公开信息时，可免除常规的图书馆使用检定。【增益特质】【影响自己】【永久持续】【被动生效】</t>
  </si>
  <si>
    <t>【情报汇总】</t>
  </si>
  <si>
    <t>\n调查员能系统性地整合所有找到的资料</t>
  </si>
  <si>
    <t>\n图书馆使用检定成功时，可获得与成功等级相对应的全部相关信息，而非零碎线索。【增益特质】【影响自己】【永久持续】【被动生效】</t>
  </si>
  <si>
    <t>【一心二用】</t>
  </si>
  <si>
    <t>\n调查员可以高效地同时处理多项信息</t>
  </si>
  <si>
    <t>\n可同时阅读两本书籍，总耗时与阅读一本相同；但通过此书获得的技能成长值减半。【增益特质】【影响自己】【永久持续】【主动生效】</t>
  </si>
  <si>
    <t>【阅读核心】</t>
  </si>
  <si>
    <t>\n调查员善于快速抓取书籍的精华部分</t>
  </si>
  <si>
    <t>\n可通过略读快速掌握书籍核心内容，耗时减半；但通过此书获得的技能成长值减半。【增益特质】【影响自己】【永久持续】【主动生效】</t>
  </si>
  <si>
    <t>【聆听真心】</t>
  </si>
  <si>
    <t>\n调查员能听出话语背后隐藏的情绪与真实</t>
  </si>
  <si>
    <t>\n进行聆听检定时，可同时进行一次心理学检定，以判断说话者是否诚实或其真实情绪。【增益特质】【影响自己】【永久持续】【被动生效】</t>
  </si>
  <si>
    <t>【声纳反馈】</t>
  </si>
  <si>
    <t>\n调查员拥有接近声纳般的听觉解析能力</t>
  </si>
  <si>
    <t>\n通过成功的聆听检定，可在脑中构建出声音来源的大致数量和外形轮廓。【增益特质】【影响自己】【永久持续】【主动生效】</t>
  </si>
  <si>
    <t>【心外无物】</t>
  </si>
  <si>
    <t>\n调查员闭上眼时看得更清楚</t>
  </si>
  <si>
    <t>\n可使用聆听技能来代替侦查进行检定，尤其是在探测隐藏的物体或生物时。【增益特质】【影响自己】【永久持续】【主动生效】</t>
  </si>
  <si>
    <t>【耳内灵感】</t>
  </si>
  <si>
    <t>\n调查员的耳朵能捕捉到异常的音波</t>
  </si>
  <si>
    <t>\n聆听检定在探测异常频率或超自然低语时，难度降低一级；总能听到些别的东西。【混合特质】【影响自己】【永久持续】【被动生效】</t>
  </si>
  <si>
    <t>【绝对平衡】</t>
  </si>
  <si>
    <t>\n调查员的内耳前庭系统异常发达</t>
  </si>
  <si>
    <t>\n免疫因旋转、晃动导致的眩晕效果；对抗声波类精神影响的意志检定获得奖励骰。【增益特质】【影响自己】【永久持续】【被动生效】</t>
  </si>
  <si>
    <t>【低频震动】</t>
  </si>
  <si>
    <t>\n调查员能感知并制造细微的震动</t>
  </si>
  <si>
    <t>\n可感知到地震前兆或异常次声波；也可通过接触让小物体产生共振，效果如同灵异现象。【增益特质】【影响自己】【永久持续】【主动生效】</t>
  </si>
  <si>
    <t>【声带异构】</t>
  </si>
  <si>
    <t>\n调查员的声带结构独特，能发出惊人音域</t>
  </si>
  <si>
    <t>\n进行语言（发声、模仿）或歌唱检定时，获得一个奖励骰。【增益特质】【影响自己】【永久持续】【被动生效】</t>
  </si>
  <si>
    <t>【舌腔共鸣】</t>
  </si>
  <si>
    <t>\n调查员的吟诵能更高效地引导魔力</t>
  </si>
  <si>
    <t>\n施展需要咒语吟唱的法术时，施法时间减半；语言（吟唱）检定获得奖励骰。【增益特质】【影响自己】【永久持续】【被动生效】</t>
  </si>
  <si>
    <t>【内衣大盗】</t>
  </si>
  <si>
    <t>\n调查员有偷取他人贴身衣物的怪异癖好</t>
  </si>
  <si>
    <t>\n成功妙手偷取他人贴身衣物时，恢复1点理智值，但该NPC好感度大幅下降。【混合特质】【影响自己】【永久持续】【主动生效】</t>
  </si>
  <si>
    <t>【贼不走空】</t>
  </si>
  <si>
    <t>\n调查员无法空手离开一个地方</t>
  </si>
  <si>
    <t>\n离开任何场所前，必须成功进行一次妙手检定以偷取一件小物品，否则会因焦虑而承受惩罚骰。【减益特质】【影响自己】【永久持续】【被动生效】</t>
  </si>
  <si>
    <t>【陷阱察觉】</t>
  </si>
  <si>
    <t>\n调查员对陷阱有着同行的直觉</t>
  </si>
  <si>
    <t>\n能自动察觉到大多数非魔法的简易陷阱，无需进行侦查检定。【增益特质】【影响自己】【永久持续】【被动生效】</t>
  </si>
  <si>
    <t>【一键开锁】</t>
  </si>
  <si>
    <t>\n调查员的开锁技巧已臻化境</t>
  </si>
  <si>
    <t>\n开启普通锁具时，免除锁匠检定，视为自动成功。【增益特质】【影响自己】【永久持续】【被动生效】</t>
  </si>
  <si>
    <t>【凿壁偷光】</t>
  </si>
  <si>
    <t>\n调查员认为破坏容器比开锁更高效</t>
  </si>
  <si>
    <t>\n进行锁匠检定时，可选择直接破坏容器（门、箱子）的结构而非开锁，对木质或脆弱结构尤其有效。【增益特质】【影响自己】【永久持续】【主动生效】</t>
  </si>
  <si>
    <t>【玄学修理】</t>
  </si>
  <si>
    <t>\n调查员的维修方式匪夷所思，但有时有效</t>
  </si>
  <si>
    <t>\n可尝试对任何物品进行一次维修，并视为成功；但修复效果仅持续1轮，之后会彻底损坏。【增益特质】【影响单目标】【永久持续】【主动生效】</t>
  </si>
  <si>
    <t>【临时修理】</t>
  </si>
  <si>
    <t>\n调查员擅长让东西再坚持一会儿</t>
  </si>
  <si>
    <t>\n维修检定总是视为成功；但若实际投骰结果失败，则该物品在本次使用后会永久损坏。【增益特质】【影响单目标】【永久持续】【主动生效】</t>
  </si>
  <si>
    <t>【损坏管制】</t>
  </si>
  <si>
    <t>\n调查员是维持装备状态的专家</t>
  </si>
  <si>
    <t>\n携带和使用的物品或载具，其耐久度在降为0之前，或维修检定出现大失败之前，不会完全损坏，总能维持最低限度功能。【增益特质】【影响自己】【永久持续】【被动生效】</t>
  </si>
  <si>
    <t>【封建治疗】</t>
  </si>
  <si>
    <t>\n调查员极度排斥现代医学</t>
  </si>
  <si>
    <t>\n清醒时会拒绝任何基于科学的急救或医学治疗，只接受传统或神秘学的治疗方式。【减益特质】【影响自己】【永久持续】【被动生效】</t>
  </si>
  <si>
    <t>【迷信医学】</t>
  </si>
  <si>
    <t>\n调查员是科学的坚定信徒</t>
  </si>
  <si>
    <t>\n只相信并接受科学的急救与医学治疗；法术或超自然的治疗手段无效。【减益特质】【影响自己】【永久持续】【被动生效】</t>
  </si>
  <si>
    <t>\n调查员的治疗总是效果显著</t>
  </si>
  <si>
    <t>\n进行医学或急救检定时，若成功，恢复的生命值取该次骰点的最大值。【增益特质】【影响单目标】【永久持续】【被动生效】</t>
  </si>
  <si>
    <t>【医疗事故】</t>
  </si>
  <si>
    <t>\n调查员的治疗尝试常常适得其反</t>
  </si>
  <si>
    <t>\n医学或急救检定失败时，目标受到的伤害翻倍，或产生更严重的并发症。【减益特质】【影响单目标】【永久持续】【被动生效】</t>
  </si>
  <si>
    <t>\n调查员使用猛药，效果与风险并存</t>
  </si>
  <si>
    <t>\n使用药学调配药物治疗他人时，若成功，治疗效果翻倍；若失败，造成医疗事故。【混合特质】【影响单目标】【永久持续】【主动生效】</t>
  </si>
  <si>
    <t>【博物灵光】</t>
  </si>
  <si>
    <t>\n调查员能通过广博的知识产生非凡的直觉</t>
  </si>
  <si>
    <t>\n可使用博物学技能来代替灵感进行检定，以发现被忽略的自然相关线索。【增益特质】【影响自己】【永久持续】【主动生效】</t>
  </si>
  <si>
    <t>【杂学专家】</t>
  </si>
  <si>
    <t>\n调查员的知识庞杂到可以触类旁通</t>
  </si>
  <si>
    <t>\n可使用博物学技能来代替任何其他技能进行常规难度的检定。【增益特质】【影响自己】【永久持续】【主动生效】</t>
  </si>
  <si>
    <t>【城市导航】</t>
  </si>
  <si>
    <t>\n调查员对城市布局了如指掌</t>
  </si>
  <si>
    <t>\n在城市环境中，不会迷路，且在两地点间移动所需时间减少25%。【增益特质】【影响自己】【永久持续】【被动生效】</t>
  </si>
  <si>
    <t>【活点地图】</t>
  </si>
  <si>
    <t>\n调查员拥有近乎摄影记忆般的地图记忆力</t>
  </si>
  <si>
    <t>\n对于仔细研究过的地图，可以过目不忘，在该区域的常规导航检定自动成功。【增益特质】【影响自己】【永久持续】【被动生效】</t>
  </si>
  <si>
    <t>【寻找捷径】</t>
  </si>
  <si>
    <t>\n调查员总能找到更快到达目的地的路径</t>
  </si>
  <si>
    <t>\n通过成功的导航检定，可为队伍找到一条捷径，取代当前较慢的行进路线。【增益特质】【影响友方】【永久持续】【主动生效】</t>
  </si>
  <si>
    <t>【结构地形】</t>
  </si>
  <si>
    <t>\n调查员能通过地形分析发现隐藏结构</t>
  </si>
  <si>
    <t>\n通过导航检定，可像使用地质学一样分析出地形的隐藏结构，如洞穴入口或地下暗河。【增益特质】【影响自己】【永久持续】【主动生效】</t>
  </si>
  <si>
    <t>【稳定指针】</t>
  </si>
  <si>
    <t>\n调查员体内仿佛有一个天然的指南针</t>
  </si>
  <si>
    <t>\n总是能直觉性地知道正北方向，即使在无任何参照物的异度空间。【增益特质】【影响自己】【永久持续】【被动生效】</t>
  </si>
  <si>
    <t>【直线距离】</t>
  </si>
  <si>
    <t>\n调查员能精准估算两点间的空间距离</t>
  </si>
  <si>
    <t>\n通过成功的导航检定，可准确估算出与可见目标地点之间的直线距离。【增益特质】【影响自己】【永久持续】【主动生效】</t>
  </si>
  <si>
    <t>【神秘研究】</t>
  </si>
  <si>
    <t>\n调查员对超自然领域有深入研究</t>
  </si>
  <si>
    <t>\n神秘学检定获得一个奖励骰。【增益特质】【影响自己】【永久持续】【被动生效】</t>
  </si>
  <si>
    <t>【三类接触】</t>
  </si>
  <si>
    <t>\n调查员曾与超自然存在有过更深层次的接触</t>
  </si>
  <si>
    <t>\n因超自然现象进行理智检定时，若失败，最终损失的理智值减少1点（至少为1）。【增益特质】【影响自己】【永久持续】【被动生效】</t>
  </si>
  <si>
    <t>【重型机械】</t>
  </si>
  <si>
    <t>\n调查员是操作大型设备的好手</t>
  </si>
  <si>
    <t>\n进行操作重型机械检定时，获得一个奖励骰。【增益特质】【影响自己】【永久持续】【被动生效】</t>
  </si>
  <si>
    <t>【战争机甲】</t>
  </si>
  <si>
    <t>\n调查员能将重型机械变成战争堡垒</t>
  </si>
  <si>
    <t>\n操控重型机械或类机甲设备进行攻击时，造成的伤害翻倍。【增益特质】【影响自己】【永久持续】【被动生效】</t>
  </si>
  <si>
    <t>【特种驾驶】</t>
  </si>
  <si>
    <t>\n调查员受过特殊载具的驾驶训练</t>
  </si>
  <si>
    <t>\n驾驶特种载具（如坦克、潜艇）时，相关技能获得+30%的临时加值（不超过95%）。【增益特质】【影响自己】【永久持续】【被动生效】</t>
  </si>
  <si>
    <t>【飞船领航】</t>
  </si>
  <si>
    <t>\n调查员能胜任星际飞船的导航工作</t>
  </si>
  <si>
    <t>\n进行宇航器导航或驾驶检定时，实际难度降低一级。【增益特质】【影响自己】【永久持续】【被动生效】</t>
  </si>
  <si>
    <t>【魔力载具】</t>
  </si>
  <si>
    <t>\n调查员能凭直觉驾驭魔法驱动的交通工具</t>
  </si>
  <si>
    <t>\n可正常操作魔法驱动的载具，而无需理解其运作原理。【增益特质】【影响自己】【永久持续】【被动生效】</t>
  </si>
  <si>
    <t>【魔法驾驶】</t>
  </si>
  <si>
    <t>\n调查员能用意志直接影响魔法载具</t>
  </si>
  <si>
    <t>\n可使用意志属性来代替驾驶技能，操作魔法载具，忽略其通常的使用条件。【增益特质】【影响自己】【永久持续】【主动生效】</t>
  </si>
  <si>
    <t>【跳伞求生】</t>
  </si>
  <si>
    <t>\n调查员总是做好应急降落的准备</t>
  </si>
  <si>
    <t>\n总是随身携带一顶降落伞；进行跳伞时，进行一次幸运检定以决定落地是否安全。【增益特质】【影响自己】【永久持续】【被动生效】</t>
  </si>
  <si>
    <t>【伞兵之魂】</t>
  </si>
  <si>
    <t>\n调查员是坠落生存的大师</t>
  </si>
  <si>
    <t>\n从高处坠落时，生命值至少保留1点，且不会因这次坠落伤害而陷入重伤状态。【增益特质】【影响自己】【永久持续】【被动生效】</t>
  </si>
  <si>
    <t>【精准空投】</t>
  </si>
  <si>
    <t>\n调查员能从空中精确打击目标</t>
  </si>
  <si>
    <t>\n从飞行器上进行轰炸时，攻击检定获得一个奖励骰。【增益特质】【影响自己】【永久持续】【被动生效】</t>
  </si>
  <si>
    <t>【轰炸信标】</t>
  </si>
  <si>
    <t>\n调查员能呼叫致命的空中支援</t>
  </si>
  <si>
    <t>\n可尝试呼叫空中支援；若成功，1D6回合后，指定区域将遭受覆盖性轰炸，造成6D10点范围伤害。每模组限一次。【增益特质】【影响范围】【模组限次】【主动生效】</t>
  </si>
  <si>
    <t>【空中狗斗】</t>
  </si>
  <si>
    <t>\n调查员在空中格斗中如鱼得水</t>
  </si>
  <si>
    <t>\n在空中战斗（无论是否在载具内）时，所有战斗检定获得一个奖励骰。【增益特质】【影响自己】【永久持续】【被动生效】</t>
  </si>
  <si>
    <t>【低空突防】</t>
  </si>
  <si>
    <t>\n调查员擅长利用低空飞行规避探测</t>
  </si>
  <si>
    <t>\n驾驶航空器进行低空飞行以规避雷达时，相关的驾驶和潜行检定获得一个奖励骰。【增益特质】【影响自己】【永久持续】【被动生效】</t>
  </si>
  <si>
    <t>【空载机枪】</t>
  </si>
  <si>
    <t>\n调查员是操作飞机机枪的专家</t>
  </si>
  <si>
    <t>\n使用飞行器上的机载机枪进行射击时，攻击检定获得一个奖励骰，且造成的伤害忽略目标一半的护甲值。【增益特质】【影响自己】【永久持续】【被动生效】</t>
  </si>
  <si>
    <t>【碧海航线】</t>
  </si>
  <si>
    <t>\n调查员能胜任大型战舰的指挥工作</t>
  </si>
  <si>
    <t>\n驾驶航空母舰或大型战舰时，无需进行常规的驾驶检定，视为自动成功。【增益特质】【影响自己】【永久持续】【被动生效】</t>
  </si>
  <si>
    <t>【水手之魂】</t>
  </si>
  <si>
    <t>\n调查员是经验丰富的老水手</t>
  </si>
  <si>
    <t>\n总是携带罗盘、六分仪等航海工具；进行驾驶（船）检定时，获得一个奖励骰。【增益特质】【影响自己】【永久持续】【被动生效】</t>
  </si>
  <si>
    <t>【泰坦尼克】</t>
  </si>
  <si>
    <t>\n调查员的驾驶风格极具攻击性但也自损八百</t>
  </si>
  <si>
    <t>\n驾驶船只撞击目标时，造成的伤害翻倍，但船只的耐久损失也翻倍。【混合特质】【影响自己】【永久持续】【主动生效】</t>
  </si>
  <si>
    <t>【拉莱耶号】</t>
  </si>
  <si>
    <t>\n调查员的首次攻击蕴含着毁灭性的力量</t>
  </si>
  <si>
    <t>\n驾驶船只的第一轮战斗中，第一次攻击命中必定造成最大可能伤害，并有几率直接击沉小型目标。【增益特质】【影响自己】【永久持续】【被动生效】</t>
  </si>
  <si>
    <t>【神风特攻】</t>
  </si>
  <si>
    <t>\n调查员信奉与敌偕亡的终极战术</t>
  </si>
  <si>
    <t>\n驾驶载具进行自杀式攻击时造成的伤害翻倍；但如果攻击失败，载具必定彻底毁坏。【混合特质】【影响自己】【永久持续】【主动生效】</t>
  </si>
  <si>
    <t>【人格分析】</t>
  </si>
  <si>
    <t>\n调查员能通过心理学剖析对方的核心立场</t>
  </si>
  <si>
    <t>\n通过成功的心理学检定，可判断出目标的基本道德观、善恶倾向及其可能所属的阵营或组织。【增益特质】【影响单目标】【永久持续】【主动生效】</t>
  </si>
  <si>
    <t>【胡乱分析】</t>
  </si>
  <si>
    <t>\n调查员的心理学分析总能扯上些奇怪关联</t>
  </si>
  <si>
    <t>\n心理学检定失败时，不会一无所获，而是会得到一个与目标看似无关的随机信息（如一个名字、地点或物品）。【增益特质】【影响自己】【永久持续】【被动生效】</t>
  </si>
  <si>
    <t>【乌合之众】</t>
  </si>
  <si>
    <t>\n调查员深谙群体心理学的奥秘</t>
  </si>
  <si>
    <t>\n通过心理学检定，可准确诊断出一个人陷入疯狂的根本原因。【增益特质】【影响单目标】【永久持续】【主动生效】</t>
  </si>
  <si>
    <t>【精神同调】</t>
  </si>
  <si>
    <t>\n调查员能深入他人的精神世界，感同身受</t>
  </si>
  <si>
    <t>\n通过心理学检定，可看到对方经历的精神创伤或产生的幻觉；但每次尝试，自身也需进行理智检定，失败则损失1D3点理智。【混合特质】【影响单目标】【永久持续】【主动生效】【消耗SAN】</t>
  </si>
  <si>
    <t>【异性心理】</t>
  </si>
  <si>
    <t>\n调查员特别了解异性的思维方式</t>
  </si>
  <si>
    <t>\n针对异性进行心理学检定时，自动成功（视为普通成功）。【增益特质】【影响自己】【永久持续】【被动生效】</t>
  </si>
  <si>
    <t>【儿童心理】</t>
  </si>
  <si>
    <t>\n调查员擅长与孩童沟通，理解其想法</t>
  </si>
  <si>
    <t>\n针对儿童进行心理学检定时，自动成功（视为普通成功）。【增益特质】【影响自己】【永久持续】【被动生效】</t>
  </si>
  <si>
    <t>【犯罪心理】</t>
  </si>
  <si>
    <t>\n调查员精通罪犯与邪教徒的思维模式</t>
  </si>
  <si>
    <t>\n针对罪犯或邪教徒进行心理学检定时，自动成功（视为普通成功）。【增益特质】【影响自己】【永久持续】【被动生效】</t>
  </si>
  <si>
    <t>【谎话解析】</t>
  </si>
  <si>
    <t>\n调查员对谎言有天生的直觉</t>
  </si>
  <si>
    <t>\n无需进行心理学检定，仅凭直觉就能自动察觉明显的谎言；但对于高明的骗术仍需检定。【增益特质】【影响自己】【永久持续】【被动生效】</t>
  </si>
  <si>
    <t>【瞒天过海】</t>
  </si>
  <si>
    <t>\n调查员是说谎大师，难以被识破</t>
  </si>
  <si>
    <t>\n进行欺诈或话术（说谎）时，与你对抗的心理学检定难度提升一级。【增益特质】【影响自己】【永久持续】【被动生效】</t>
  </si>
  <si>
    <t>【忠诚伙计】</t>
  </si>
  <si>
    <t>\n调查员拥有一匹永不背叛的骏马</t>
  </si>
  <si>
    <t>\n拥有一匹名为伙计的老马；在需要逃离险境时，它可以带你脱离（由KP裁定一条生路）；它绝不会主动抛弃你。【增益特质】【影响自己】【永久持续】【被动生效】</t>
  </si>
  <si>
    <t>【载具征召】</t>
  </si>
  <si>
    <t>\n调查员能把任何坐骑当马来骑</t>
  </si>
  <si>
    <t>\n可使用骑术技能来代替驾驶（针对动物动力或简单机械载具）进行检定。【增益特质】【影响自己】【永久持续】【主动生效】</t>
  </si>
  <si>
    <t>【骑士精神】</t>
  </si>
  <si>
    <t>\n调查员恪守古老的骑士准则</t>
  </si>
  <si>
    <t>\n从正面发起的攻击检定获得奖励骰；但从背后偷袭或使用阴招时，检定面临惩罚骰。【混合特质】【影响自己】【永久持续】【被动生效】</t>
  </si>
  <si>
    <t>【撕毁契约】</t>
  </si>
  <si>
    <t>\n调查员对背信弃义毫无心理负担</t>
  </si>
  <si>
    <t>\n主动违背誓言或契约时，意志检定获得奖励骰，且不会因此损失理智值。【增益特质】【影响自己】【永久持续】【被动生效】</t>
  </si>
  <si>
    <t>【骑术冲锋】</t>
  </si>
  <si>
    <t>\n调查员善于将坐骑的冲击力转化为伤害</t>
  </si>
  <si>
    <t>\n骑乘坐骑进行冲锋攻击时，造成的伤害可以加上坐骑本身撞击造成的伤害。【增益特质】【影响自己】【永久持续】【被动生效】</t>
  </si>
  <si>
    <t>【腰马合一】</t>
  </si>
  <si>
    <t>\n调查员的骑术精湛到下盘稳如磐石</t>
  </si>
  <si>
    <t>\n骑乘时极难被击落（对抗击落的骑术检定获得奖励骰），且不会因外界干扰而中断骑乘状态。【增益特质】【影响自己】【永久持续】【被动生效】</t>
  </si>
  <si>
    <t>【妙手回春】</t>
  </si>
  <si>
    <t>\n调查员可以使用妙手技能进行急救医疗</t>
  </si>
  <si>
    <t>\n使用妙手代替急救时，医疗检定增加一个惩罚骰，但成功后恢复HP+1。【混合特质】【影响单目标】【永久持续】【主动生效】</t>
  </si>
  <si>
    <t>【敏锐侦查】</t>
  </si>
  <si>
    <t>\n调查员的侦查检定更加敏锐</t>
  </si>
  <si>
    <t>\n侦查检定难度降低一级（如困难→常规）。【增益特质】【影响自己】【永久持续】【被动生效】</t>
  </si>
  <si>
    <t>【闪光标签】</t>
  </si>
  <si>
    <t>\n调查员侦查成功时能自动识别关键信息</t>
  </si>
  <si>
    <t>\n侦查成功时，KP必须明确告知线索中的核心关键词。【增益特质】【影响自己】【永久持续】【被动生效】</t>
  </si>
  <si>
    <t>【无双潜行】</t>
  </si>
  <si>
    <t>\n调查员潜行成功时首次攻击更加致命</t>
  </si>
  <si>
    <t>\n潜行成功后首次攻击造成穿透伤害，但该场景后续潜行检定增加一个惩罚骰。【混合特质】【影响自己】【永久持续】【被动生效】</t>
  </si>
  <si>
    <t>【武装泅渡】</t>
  </si>
  <si>
    <t>\n调查员可以全副武装地游泳</t>
  </si>
  <si>
    <t>\n游泳时携带装备不增加惩罚骰，但游泳技能值临时-20%。【混合特质】【影响自己】【永久持续】【被动生效】</t>
  </si>
  <si>
    <t>【静谧投掷】</t>
  </si>
  <si>
    <t>\n调查员投掷失败时不会被发现</t>
  </si>
  <si>
    <t>\n投掷检定失败不会暴露位置，但成功时伤害减半。【混合特质】【影响自己】【永久持续】【被动生效】</t>
  </si>
  <si>
    <t>【万里追踪】</t>
  </si>
  <si>
    <t>\n调查员追踪失败后仍能继续尝试</t>
  </si>
  <si>
    <t>\n追踪失败后可立即重试一次，但每次追踪时间消耗×2。【增益特质】【影响自己】【永久持续】【被动生效】</t>
  </si>
  <si>
    <t>【无声潜行】</t>
  </si>
  <si>
    <t>\n调查员潜行时更难被察觉</t>
  </si>
  <si>
    <t>\n潜行成功时，对抗的侦查和聆听检定各增加两个惩罚骰。【增益特质】【影响自己】【永久持续】【被动生效】</t>
  </si>
  <si>
    <t>【水中搏斗】</t>
  </si>
  <si>
    <t>\n调查员擅长水中战斗</t>
  </si>
  <si>
    <t>\n水下战斗获得奖励骰，但陆地战斗增加一个惩罚骰。【混合特质】【影响自己】【永久持续】【被动生效】</t>
  </si>
  <si>
    <t>【谭雅刺客】</t>
  </si>
  <si>
    <t>\n调查员精通水下潜行暗杀</t>
  </si>
  <si>
    <t>\n水下潜行和暗杀检定难度降低一级，但每日需进行CON检定，失败则获得疲惫状态。【混合特质】【影响自己】【永久持续】【被动生效】</t>
  </si>
  <si>
    <t>【投索技艺】</t>
  </si>
  <si>
    <t>\n调查员擅长使用投索远程制敌</t>
  </si>
  <si>
    <t>\n使用投索获得奖励骰，命中可击倒目标，但装填需额外一回合。【增益特质】【影响单目标】【永久持续】【主动生效】</t>
  </si>
  <si>
    <t>【可靠信使】</t>
  </si>
  <si>
    <t>\n调查员训练飞禽传递信息</t>
  </si>
  <si>
    <t>\n飞禽传递物品成功率为驯兽技能值，每模组限三次。【增益特质】【影响自己】【模组限次】【主动生效】</t>
  </si>
  <si>
    <t>【忠诚伙伴】</t>
  </si>
  <si>
    <t>\n调查员拥有忠实的动物伙伴</t>
  </si>
  <si>
    <t>\n宠物可辅助一次检定获得奖励骰，但宠物受伤时调查员SAN-1d3。【混合特质】【影响自己】【永久持续】【被动生效】</t>
  </si>
  <si>
    <t>【大型驯兽】</t>
  </si>
  <si>
    <t>\n调查员能驯服危险动物</t>
  </si>
  <si>
    <t>\n驯兽检定难度降低一级，但驯养大型动物每日消耗$10。【增益特质】【影响自己】【永久持续】【主动生效】</t>
  </si>
  <si>
    <t>【无声交流】</t>
  </si>
  <si>
    <t>\n调查员精通手语和唇语</t>
  </si>
  <si>
    <t>\n读唇检定自动成功，但误解时可能获得错误信息。【增益特质】【影响自己】【永久持续】【被动生效】</t>
  </si>
  <si>
    <t>【二次爆炸】</t>
  </si>
  <si>
    <t>\n调查员设置的爆炸物会爆炸两次</t>
  </si>
  <si>
    <t>\n第二次爆炸伤害减半，范围不变，但爆破检定增加一个惩罚骰。【增益特质】【影响范围】【永久持续】【主动生效】</t>
  </si>
  <si>
    <t>【炸药调整】</t>
  </si>
  <si>
    <t>\n调查员能精确控制爆炸威力</t>
  </si>
  <si>
    <t>\n伤害可在1到最大值间调整，但调整后爆破技能临时-20%。【增益特质】【影响自己】【永久持续】【主动生效】</t>
  </si>
  <si>
    <t>【舍身爆破】</t>
  </si>
  <si>
    <t>\n调查员能以生命为代价增强爆炸</t>
  </si>
  <si>
    <t>\n造成双倍伤害，但使用者受到同等伤害且无法闪避。【增益特质】【影响范围】【永久持续】【主动生效】</t>
  </si>
  <si>
    <t>【遥控爆破】</t>
  </si>
  <si>
    <t>\n调查员能远程引爆炸药</t>
  </si>
  <si>
    <t>\n遥控距离为爆破技能值×1米，但哑火率增加20%。【增益特质】【影响自己】【永久持续】【主动生效】</t>
  </si>
  <si>
    <t>【炸弹狂人】</t>
  </si>
  <si>
    <t>\n调查员能快速投掷多个爆炸物</t>
  </si>
  <si>
    <t>\n每回合可投掷爆破/10个爆炸物，但每个爆炸物伤害-1d6。【增益特质】【影响自己】【永久持续】【主动生效】</t>
  </si>
  <si>
    <t>【生物炸弹】</t>
  </si>
  <si>
    <t>\n调查员能在生物体内植入炸弹</t>
  </si>
  <si>
    <t>\n需要医学和爆破联合检定，失败则立即爆炸伤及自身。【混合特质】【影响单目标】【永久持续】【主动生效】</t>
  </si>
  <si>
    <t>【驯兽爆破】</t>
  </si>
  <si>
    <t>\n调查员能训练动物携带炸弹</t>
  </si>
  <si>
    <t>\n爆炸威力受动物负重限制，驯兽失败则动物可能失控。【混合特质】【影响自己】【永久持续】【主动生效】</t>
  </si>
  <si>
    <t>【爆炸余波】</t>
  </si>
  <si>
    <t>\n调查员的爆炸物即使未命中也有效果</t>
  </si>
  <si>
    <t>\n未命中造成1点不可减免伤害，但主要目标可进行闪避检定。【增益特质】【影响范围】【永久持续】【被动生效】</t>
  </si>
  <si>
    <t>【流弹碎片】</t>
  </si>
  <si>
    <t>\n调查员的爆炸会产生额外破片</t>
  </si>
  <si>
    <t>\n爆炸范围外5米内目标受1d6伤害，可闪避，但主要伤害-1d4。【增益特质】【影响范围】【永久持续】【被动生效】</t>
  </si>
  <si>
    <t>\n调查员能催眠意志坚定者</t>
  </si>
  <si>
    <t>\n可对高意志目标使用催眠，但失败时施法者SAN-1d3。【混合特质】【影响单目标】【永久持续】【主动生效】</t>
  </si>
  <si>
    <t>【思维钢印】</t>
  </si>
  <si>
    <t>\n调查员能用催眠植入保护指令</t>
  </si>
  <si>
    <t>\n成功植入的钢印持续1d6小时，但解除时目标SAN-1d6。【混合特质】【影响单目标】【永久持续】【主动生效】</t>
  </si>
  <si>
    <t>【伟大学识】</t>
  </si>
  <si>
    <t>\n调查员精通一门冷门学问</t>
  </si>
  <si>
    <t>\n任选一学识技能获得奖励骰，但其他学识技能检定增加惩罚骰。【混合特质】【影响自己】【永久持续】【被动生效】</t>
  </si>
  <si>
    <t>【火炮齐射】</t>
  </si>
  <si>
    <t>\n调查员能操作多门火炮同时射击</t>
  </si>
  <si>
    <t>\n所有火炮使用同一攻击骰，伤害叠加，但装填时间×3。【增益特质】【影响自己】【永久持续】【主动生效】</t>
  </si>
  <si>
    <t>【呼叫支援】</t>
  </si>
  <si>
    <t>\n调查员能召唤外部援助</t>
  </si>
  <si>
    <t>\n每模组一次，但使用后幸运值临时-20直到模组结束。【增益特质】【影响自己】【模组限次】【主动生效】</t>
  </si>
  <si>
    <t>【余寿归终】</t>
  </si>
  <si>
    <t>\n调查员生命正在流逝</t>
  </si>
  <si>
    <t>\n每日CON检定，失败则CON和SIZ-1，HP上限-1。【减益特质】【影响自己】【永久持续】【被动生效】</t>
  </si>
  <si>
    <t>【神龟虽寿】</t>
  </si>
  <si>
    <t>\n调查员拥有非凡的体质</t>
  </si>
  <si>
    <t>\nCON检定自动成功，但所有技能成长值固定为1。【混合特质】【影响自己】【永久持续】【被动生效】</t>
  </si>
  <si>
    <t>【幸运闪避】</t>
  </si>
  <si>
    <t>\n调查员能靠运气躲过突袭</t>
  </si>
  <si>
    <t>\n成功闪避所有伤害，但之后幸运值临时-1d10。【增益特质】【影响自己】【永久持续】【触发生效】</t>
  </si>
  <si>
    <t>【第一滴血】</t>
  </si>
  <si>
    <t>\n调查员每日首次受伤较轻</t>
  </si>
  <si>
    <t>\n每日第一次伤害固定为1点，但该场景后续伤害+1。【混合特质】【影响自己】【每日限次】【被动生效】</t>
  </si>
  <si>
    <t>【烂柯棋局】</t>
  </si>
  <si>
    <t>\n调查员通过延长准备时间提高成功率</t>
  </si>
  <si>
    <t>\n技能检定时间×2，获得奖励骰，但失败时资源消耗×2。【增益特质】【影响自己】【永久持续】【主动生效】</t>
  </si>
  <si>
    <t>【福兮祸兮】</t>
  </si>
  <si>
    <t>\n调查员的失败会带来成功</t>
  </si>
  <si>
    <t>\n大失败后下次检定自动大成功，但大成功效果可能产生意外后果（由KP裁定）。【混合特质】【影响自己】【永久持续】【被动生效】</t>
  </si>
  <si>
    <t>【大梦先觉】</t>
  </si>
  <si>
    <t>\n调查员通过梦境提升技能</t>
  </si>
  <si>
    <t>\n技能成功时成长+1，但需INT检定保留记忆，失败则遗忘重要信息。【增益特质】【影响自己】【永久持续】【被动生效】</t>
  </si>
  <si>
    <t>【武器认可】</t>
  </si>
  <si>
    <t>\n调查员获得特定武器的认可</t>
  </si>
  <si>
    <t>\n绑定武器伤害+1d3，非绑定者使用会受到1d6精神伤害。【增益特质】【影响自己】【永久持续】【被动生效】</t>
  </si>
  <si>
    <t>【临时精通】</t>
  </si>
  <si>
    <t>\n调查员能暂时使用绑定武器</t>
  </si>
  <si>
    <t>\n每场景一次，可临时使用绑定武器1d6回合。【增益特质】【影响自己】【场景限次】【主动生效】</t>
  </si>
  <si>
    <t>【绑定武器】</t>
  </si>
  <si>
    <t>\n调查员通过契约与武器绑定</t>
  </si>
  <si>
    <t>\n绑定后武器仅限使用者，解除时损失1d10理智。【增益特质】【影响自己】【永久持续】【主动生效】</t>
  </si>
  <si>
    <t>【契约绑定】</t>
  </si>
  <si>
    <t>\n调查员与武器契约获得加成</t>
  </si>
  <si>
    <t>\n获得+10%技能奖励，但武器损坏时使用者CON-1d6。【混合特质】【影响自己】【永久持续】【被动生效】</t>
  </si>
  <si>
    <t>【契生诅咒】</t>
  </si>
  <si>
    <t>\n调查员与道具永久绑定</t>
  </si>
  <si>
    <t>\n道具无法丢失，但每日需进行POW检定避免属性侵蚀。【混合特质】【影响自己】【永久持续】【被动生效】</t>
  </si>
  <si>
    <t>【血脉绑定】</t>
  </si>
  <si>
    <t>\n调查员通过血脉使用道具</t>
  </si>
  <si>
    <t>\n仅限血脉使用者，使用时随机损失1点属性（1d8决定）。【混合特质】【影响自己】【永久持续】【被动生效】</t>
  </si>
  <si>
    <t>【解除绑定】</t>
  </si>
  <si>
    <t>\n调查员能解除道具绑定</t>
  </si>
  <si>
    <t>\n可解除绑定或诅咒，但施法者承受原效果一半的惩罚。【增益特质】【影响单目标】【永久持续】【主动生效】</t>
  </si>
  <si>
    <t>【诅咒绑定】</t>
  </si>
  <si>
    <t>\n调查员通过祭品强行绑定</t>
  </si>
  <si>
    <t>\n可通过祭品绑定道具，但每日需进行幸运检定避免反噬。【混合特质】【影响自己】【永久持续】【主动生效】</t>
  </si>
  <si>
    <t>【不可遗失】</t>
  </si>
  <si>
    <t>\n调查员的绑定道具不会丢失</t>
  </si>
  <si>
    <t>\n道具自动回归，但每次回归消耗1d6理智或1d10生命。【增益特质】【影响自己】【永久持续】【被动生效】</t>
  </si>
  <si>
    <t>【道具拟态】</t>
  </si>
  <si>
    <t>\n调查员能改变道具形态</t>
  </si>
  <si>
    <t>\n可改变道具外观功能，但每次改变需进行INT检定避免失效。【增益特质】【影响自己】【永久持续】【主动生效】</t>
  </si>
  <si>
    <t>【灵性觉醒】</t>
  </si>
  <si>
    <t>\n调查员使用的道具有自主意识</t>
  </si>
  <si>
    <t>\n道具有自主意志，使用时需进行CHA检定说服。【混合特质】【影响自己】【永久持续】【被动生效】</t>
  </si>
  <si>
    <t>【人工智能】</t>
  </si>
  <si>
    <t>\n调查员拥有智慧道具</t>
  </si>
  <si>
    <t>\n道具可提供建议（奖励骰），但可能隐藏信息或提出危险方案。【混合特质】【影响自己】【永久持续】【被动生效】</t>
  </si>
  <si>
    <t>【魂器附魔】</t>
  </si>
  <si>
    <t>\n调查员制作魂器分担伤害</t>
  </si>
  <si>
    <t>\n伤害减半，但魂器被毁时立即死亡且无法复活。【混合特质】【影响自己】【永久持续】【主动生效】</t>
  </si>
  <si>
    <t>【灵魂寄宿】</t>
  </si>
  <si>
    <t>\n调查员使用寄宿灵魂的道具</t>
  </si>
  <si>
    <t>\n可获得特殊能力，但需定期进行POW对抗避免附身。【混合特质】【影响自己】【永久持续】【被动生效】</t>
  </si>
  <si>
    <t>【强化材料】</t>
  </si>
  <si>
    <t>\n调查员的武器护甲得到强化</t>
  </si>
  <si>
    <t>\n伤害或护甲+1d3，但耐久度减半。【增益特质】【影响自己】【永久持续】【被动生效】</t>
  </si>
  <si>
    <t>【坚固耐用】</t>
  </si>
  <si>
    <t>\n调查员的道具更加耐用</t>
  </si>
  <si>
    <t>\n穿透伤害或耐久翻倍，但重量增加50%。【增益特质】【影响自己】【永久持续】【被动生效】</t>
  </si>
  <si>
    <t>【永固不朽】</t>
  </si>
  <si>
    <t>\n调查员的道具难以摧毁</t>
  </si>
  <si>
    <t>\n几乎无法被正常摧毁，但会被特定物质或方法克制。【增益特质】【影响自己】【永久持续】【被动生效】</t>
  </si>
  <si>
    <t>【特效摧毁】</t>
  </si>
  <si>
    <t>\n调查员能破坏低属性武器</t>
  </si>
  <si>
    <t>\n可破坏属性低于自身的武器，每日限一次且消耗1d6MP。【增益特质】【影响单目标】【每日限次】【主动生效】【消耗MP】</t>
  </si>
  <si>
    <t>【血肉融合】</t>
  </si>
  <si>
    <t>\n调查员将道具与身体融合</t>
  </si>
  <si>
    <t>\n获得特殊能力，但移除时造成2d6不可减免伤害。【混合特质】【影响自己】【永久持续】【主动生效】</t>
  </si>
  <si>
    <t>【紧密缠绕】</t>
  </si>
  <si>
    <t>\n调查员的道具无法被击落</t>
  </si>
  <si>
    <t>\n道具不会脱手，但使用者无法主动放下该道具。【增益特质】【影响自己】【永久持续】【被动生效】</t>
  </si>
  <si>
    <t>【魔力活化】</t>
  </si>
  <si>
    <t>\n调查员消耗魔力增强道具</t>
  </si>
  <si>
    <t>\n每消耗1MP增强1点效果，但过度使用（&gt;POW）会导致道具损坏。【增益特质】【影响自己】【永久持续】【主动生效】【消耗MP】</t>
  </si>
  <si>
    <t>【魔力汲取】</t>
  </si>
  <si>
    <t>\n调查员通过道具汲取魔力</t>
  </si>
  <si>
    <t>\n每场景可恢复1d6MP，但道具会随机吸收1d3MP。【增益特质】【影响自己】【场景限次】【主动生效】</t>
  </si>
  <si>
    <t>【魔力吞噬】</t>
  </si>
  <si>
    <t>\n调查员使用道具吞噬魔力</t>
  </si>
  <si>
    <t>\n可吸收目标MP，失败时反噬使用者1d10MP伤害。【混合特质】【影响单目标】【永久持续】【主动生效】</t>
  </si>
  <si>
    <t>【魔力转化】</t>
  </si>
  <si>
    <t>\n调查员转化魔力为其他能量</t>
  </si>
  <si>
    <t>\nMP可转化为HP或其他，转化效率50%。【增益特质】【影响自己】【永久持续】【主动生效】</t>
  </si>
  <si>
    <t>【生命活化】</t>
  </si>
  <si>
    <t>\n调查员消耗生命增强道具</t>
  </si>
  <si>
    <t>\n每消耗1HP增强1点效果，生命低于25%时自动停止。【增益特质】【影响自己】【永久持续】【主动生效】【消耗HP】</t>
  </si>
  <si>
    <t>【生命汲取】</t>
  </si>
  <si>
    <t>\n调查员通过道具汲取生命</t>
  </si>
  <si>
    <t>\n每场景可恢复1d6HP，但道具会随机吸收1d3HP。【增益特质】【影响自己】【场景限次】【主动生效】</t>
  </si>
  <si>
    <t>【生命吞噬】</t>
  </si>
  <si>
    <t>\n调查员使用道具吞噬生命</t>
  </si>
  <si>
    <t>\n可吸收目标HP，失败时反噬使用者1d10伤害。【混合特质】【影响单目标】【永久持续】【主动生效】</t>
  </si>
  <si>
    <t>【生命转化】</t>
  </si>
  <si>
    <t>\n调查员转化生命为其他能量</t>
  </si>
  <si>
    <t>\nHP可转化为MP或其他，转化效率50%。【增益特质】【影响自己】【永久持续】【主动生效】</t>
  </si>
  <si>
    <t>【魔力容器】</t>
  </si>
  <si>
    <t>\n调查员使用道具储存魔力</t>
  </si>
  <si>
    <t>\n可储存POW×2点MP，破损时储存MP爆炸造成等值伤害。【增益特质】【影响自己】【永久持续】【被动生效】</t>
  </si>
  <si>
    <t>【生命容器】</t>
  </si>
  <si>
    <t>\n调查员使用道具储存生命</t>
  </si>
  <si>
    <t>\n可储存CON×2点HP，破损时储存者损失等值HP。【增益特质】【影响自己】【永久持续】【被动生效】</t>
  </si>
  <si>
    <t>【灵魂容器】</t>
  </si>
  <si>
    <t>\n调查员使用道具储存灵魂</t>
  </si>
  <si>
    <t>\n可储存SAN，容器被毁时储存的SAN永久损失。【增益特质】【影响自己】【永久持续】【被动生效】</t>
  </si>
  <si>
    <t>【躯壳容器】</t>
  </si>
  <si>
    <t>\n调查员使用道具储存血肉</t>
  </si>
  <si>
    <t>\n可储存生物组织，但可能造成污染或变异。【增益特质】【影响自己】【永久持续】【主动生效】</t>
  </si>
  <si>
    <t>\n调查员牺牲体型换取生命</t>
  </si>
  <si>
    <t>\n消耗5点SIZ换取1点HP，体型变化影响相关检定。【增益特质】【影响自己】【永久持续】【主动生效】</t>
  </si>
  <si>
    <t>【精神融合】</t>
  </si>
  <si>
    <t>\n调查员牺牲意志换取理智</t>
  </si>
  <si>
    <t>\n消耗5点POW换取1点SAN，意志降低影响魔法抗性。【增益特质】【影响自己】【永久持续】【主动生效】</t>
  </si>
  <si>
    <t>【异化缝合】</t>
  </si>
  <si>
    <t>\n调查员通过改造增强属性</t>
  </si>
  <si>
    <t>\n获得1d4属性提升，但外表异化导致社交检定增加惩罚骰。【混合特质】【影响自己】【永久持续】【主动生效】</t>
  </si>
  <si>
    <t>【同化缝合】</t>
  </si>
  <si>
    <t>\n调查员通过融合增强属性</t>
  </si>
  <si>
    <t>\n获得1d3属性提升，但可能产生依赖性。【增益特质】【影响自己】【永久持续】【主动生效】</t>
  </si>
  <si>
    <t>【杀戮渴望】</t>
  </si>
  <si>
    <t>\n调查员通过杀戮增强伤害</t>
  </si>
  <si>
    <t>\n每杀死一个生物db+1，但每场战斗后需进行SAN检定。【混合特质】【影响自己】【永久持续】【被动生效】</t>
  </si>
  <si>
    <t>【鲜血渴望】</t>
  </si>
  <si>
    <t>\n调查员消耗生命增强伤害</t>
  </si>
  <si>
    <t>\n每消耗5HP获得1点db，效果结束后获得虚弱状态。【增益特质】【影响自己】【永久持续】【主动生效】【消耗HP】</t>
  </si>
  <si>
    <t>【躯体衰弱】</t>
  </si>
  <si>
    <t>\n调查员消耗生命削弱敌人</t>
  </si>
  <si>
    <t>\n每消耗5HP降低目标1点db，自身同时获得debuff。【混合特质】【影响单目标】【永久持续】【主动生效】【消耗HP】</t>
  </si>
  <si>
    <t>【精神狂化】</t>
  </si>
  <si>
    <t>\n调查员消耗生命打击理智</t>
  </si>
  <si>
    <t>\n每消耗5HP降低目标1点SAN，自身SAN也受到1点冲击。【混合特质】【影响单目标】【永久持续】【主动生效】【消耗HP】</t>
  </si>
  <si>
    <t>【分割灵魂】</t>
  </si>
  <si>
    <t>\n调查员分裂灵魂创造分身</t>
  </si>
  <si>
    <t>\n可创造分身或魂器，但永久损失1d10点POW。【增益特质】【影响自己】【永久持续】【主动生效】</t>
  </si>
  <si>
    <t>【灵魂护盾】</t>
  </si>
  <si>
    <t>\n调查员获得魔法免疫护盾</t>
  </si>
  <si>
    <t>\n持续一轮免疫魔法，结束后获得精神恍惚状态。【增益特质】【影响自己】【永久持续】【主动生效】</t>
  </si>
  <si>
    <t>【献祭灵魂】</t>
  </si>
  <si>
    <t>\n调查员通过献祭掠夺意志</t>
  </si>
  <si>
    <t>\n可掠夺目标POW的20/50/100%，但每次损失1d10SAN。【混合特质】【影响单目标】【永久持续】【主动生效】</t>
  </si>
  <si>
    <t>【燃烧灵魂】</t>
  </si>
  <si>
    <t>\n调查员消耗意志获取力量</t>
  </si>
  <si>
    <t>\n每消耗1点POW获得临时加值，但有10%几率永久损失POW。【增益特质】【影响自己】【永久持续】【主动生效】【消耗POW】</t>
  </si>
  <si>
    <t>【牺牲复活】</t>
  </si>
  <si>
    <t>\n调查员通过牺牲复活他人</t>
  </si>
  <si>
    <t>\n复活目标但施法者永久损失1d20SAN，可能召唤未知存在。【增益特质】【影响单目标】【永久持续】【主动生效】</t>
  </si>
  <si>
    <t>【完全复活】</t>
  </si>
  <si>
    <t>\n调查员能完全复活死者</t>
  </si>
  <si>
    <t>\n消耗大量资源复活目标，可能打破生死平衡。【增益特质】【影响单目标】【永久持续】【主动生效】</t>
  </si>
  <si>
    <t>【灵魂固化】</t>
  </si>
  <si>
    <t>\n调查员的理智更加稳定</t>
  </si>
  <si>
    <t>\nSAN损失减半，但SAN增益也减半。【混合特质】【影响自己】【永久持续】【被动生效】</t>
  </si>
  <si>
    <t>【灵魂复苏】</t>
  </si>
  <si>
    <t>\n调查员死后成为幽灵</t>
  </si>
  <si>
    <t>\n死亡后以幽灵形态存在，每回合损失5点POW。【增益特质】【影响自己】【永久持续】【被动生效】</t>
  </si>
  <si>
    <t>【灵魂融合】</t>
  </si>
  <si>
    <t>\n调查员通过融合增强意志</t>
  </si>
  <si>
    <t>\nPOW+1d6，但可能产生人格改变或记忆混乱。【混合特质】【影响自己】【永久持续】【主动生效】</t>
  </si>
  <si>
    <t>【灵魂剥离】</t>
  </si>
  <si>
    <t>\n调查员能强制分离灵魂</t>
  </si>
  <si>
    <t>\n可分离目标灵魂，失败时受到1d10精神伤害。【混合特质】【影响单目标】【永久持续】【主动生效】</t>
  </si>
  <si>
    <t>【灵魂交换】</t>
  </si>
  <si>
    <t>\n调查员能交换两个灵魂</t>
  </si>
  <si>
    <t>\n可交换两个目标的灵魂，但施法者损失1d20SAN。【混合特质】【影响双目标】【永久持续】【主动生效】</t>
  </si>
  <si>
    <t>\n调查员能够消耗体力维持战斗状态</t>
  </si>
  <si>
    <t>\n每消耗5点CON可获得3点临时生命值，持续1场景，每日限一次。【增益特质】【影响自己】【每日限次】【主动生效】【消耗CON】</t>
  </si>
  <si>
    <t>【复仇蛇牙】</t>
  </si>
  <si>
    <t>\n调查员在濒死时能够发动强力反击</t>
  </si>
  <si>
    <t>\n当生命值低于25%时，可进行一次无条件反击，伤害值等于本场战斗已受到攻击次数（最高不超过db×2）。【增益特质】【影响自己】【永久持续】【触发生效】</t>
  </si>
  <si>
    <t>【精神火炬】</t>
  </si>
  <si>
    <t>\n调查员能够燃烧意志维持生命</t>
  </si>
  <si>
    <t>\n每消耗5点POW可获得3点临时生命值，持续1场景，每日限一次。【增益特质】【影响自己】【每日限次】【主动生效】【消耗POW】</t>
  </si>
  <si>
    <t>【死亡坚韧】</t>
  </si>
  <si>
    <t>\n调查员能够在濒死状态保持意识</t>
  </si>
  <si>
    <t>\n每回合消耗1点SAN可保持行动能力，但生命值不会恢复至0以上。【增益特质】【影响自己】【永久持续】【主动生效】【消耗SAN】</t>
  </si>
  <si>
    <t>【精神防护】</t>
  </si>
  <si>
    <t>\n调查员能够减轻精神冲击</t>
  </si>
  <si>
    <t>\n所有SAN损失减少1d3点，最低为1点。【增益特质】【影响自己】【永久持续】【被动生效】</t>
  </si>
  <si>
    <t>【精神免疫】</t>
  </si>
  <si>
    <t>\n调查员对特定精神影响免疫</t>
  </si>
  <si>
    <t>\n对精神控制、催眠等效果免疫，但对抗此类效果的POW检定增加两个惩罚骰。【增益特质】【影响自己】【永久持续】【被动生效】</t>
  </si>
  <si>
    <t>【精神固化】</t>
  </si>
  <si>
    <t>\n所有SAN损失减半（向下取整），但SAN恢复也减半。【混合特质】【影响自己】【永久持续】【被动生效】</t>
  </si>
  <si>
    <t>【精神吞噬】</t>
  </si>
  <si>
    <t>\n调查员能够将伤害转化为精神打击</t>
  </si>
  <si>
    <t>\n可将物理伤害的50%转化为SAN损失作用于目标，但自身SAN同时受到1点冲击。【混合特质】【影响单目标】【永久持续】【主动生效】</t>
  </si>
  <si>
    <t>【精神活化】</t>
  </si>
  <si>
    <t>\n调查员能够暂时提升理智上限</t>
  </si>
  <si>
    <t>\n消耗10点MP可临时增加1d6点SAN上限，持续1场景。【增益特质】【影响自己】【永久持续】【主动生效】【消耗MP】</t>
  </si>
  <si>
    <t>【精神扭曲】</t>
  </si>
  <si>
    <t>\n调查员能够直接打击目标理智</t>
  </si>
  <si>
    <t>\n成功POW对抗后目标SAN-1d5，但失败时施法者SAN-1d3。【混合特质】【影响单目标】【永久持续】【主动生效】</t>
  </si>
  <si>
    <t>【精神操控】</t>
  </si>
  <si>
    <t>\n调查员能够影响目标意志</t>
  </si>
  <si>
    <t>\n需要进行POW对抗，成功可控制目标1回合，但每回合消耗5点MP。【增益特质】【影响单目标】【永久持续】【主动生效】【消耗MP】</t>
  </si>
  <si>
    <t>【精神爆破】</t>
  </si>
  <si>
    <t>\n调查员能够削弱目标意志</t>
  </si>
  <si>
    <t>\n成功POW对抗后目标POW临时-1d4，持续1场景。【增益特质】【影响单目标】【永久持续】【主动生效】</t>
  </si>
  <si>
    <t>【血肉分割】</t>
  </si>
  <si>
    <t>\n调查员能够牺牲肉体造成伤害</t>
  </si>
  <si>
    <t>\n消耗5点CON和5点SIZ，对目标造成1d8不可减免伤害。【增益特质】【影响单目标】【永久持续】【主动生效】【消耗CON/SIZ】</t>
  </si>
  <si>
    <t>【血肉转化】</t>
  </si>
  <si>
    <t>\n调查员能够转化体质为生命</t>
  </si>
  <si>
    <t>\n消耗5点CON可获得10点临时生命值，持续1场景。【增益特质】【影响自己】【永久持续】【主动生效】【消耗CON】</t>
  </si>
  <si>
    <t>\n调查员能够转化体型为生命</t>
  </si>
  <si>
    <t>\n消耗5点SIZ可获得10点临时生命值，持续1场景。【增益特质】【影响自己】【永久持续】【主动生效】【消耗SIZ】</t>
  </si>
  <si>
    <t>【血肉重生】</t>
  </si>
  <si>
    <t>\n调查员能够快速恢复伤势</t>
  </si>
  <si>
    <t>\n消耗5点CON和5点SIZ，可立即消除一个异常状态或重伤效果。【增益特质】【影响自己】【永久持续】【主动生效】【消耗CON/SIZ】</t>
  </si>
  <si>
    <t>【躯体强化】</t>
  </si>
  <si>
    <t>\n调查员能够暂时增强伤害</t>
  </si>
  <si>
    <t>\n消耗5点POW，db临时+1d4，持续3回合。【增益特质】【影响自己】【永久持续】【主动生效】【消耗POW】</t>
  </si>
  <si>
    <t>【躯体倍化】</t>
  </si>
  <si>
    <t>\n调查员能够改变自身体格</t>
  </si>
  <si>
    <t>\n消耗5点POW，SIZ临时+10，但所有敏捷相关检定增加两个惩罚骰。【混合特质】【影响自己】【永久持续】【主动生效】【消耗POW】</t>
  </si>
  <si>
    <t>【躯体固化】</t>
  </si>
  <si>
    <t>\n调查员能够免疫形态改变</t>
  </si>
  <si>
    <t>\n消耗5点POW，获得3回合变形和重伤免疫。【增益特质】【影响自己】【永久持续】【主动生效】【消耗POW】</t>
  </si>
  <si>
    <t>【躯体变形】</t>
  </si>
  <si>
    <t>\n调查员能够改变肢体形态</t>
  </si>
  <si>
    <t>\n消耗5点POW，可改变一个肢体形态，持续1场景，但可能造成SAN损失。【混合特质】【影响自己】【永久持续】【主动生效】【消耗POW】</t>
  </si>
  <si>
    <t>【驱逐怪物】</t>
  </si>
  <si>
    <t>&amp;法术&amp;</t>
  </si>
  <si>
    <t>\n调查员能够增强驱逐法术效果</t>
  </si>
  <si>
    <t>\n每投入1点POW，驱逐怪物法术成功率+1%，最高+20%。【增益特质】【影响自己】【永久持续】【被动生效】</t>
  </si>
  <si>
    <t>【控制生物】</t>
  </si>
  <si>
    <t>\n调查员能够增强控制法术效果</t>
  </si>
  <si>
    <t>\n每投入1点POW，控制生物法术成功率+1%，最高+20%。【增益特质】【影响自己】【永久持续】【被动生效】</t>
  </si>
  <si>
    <t>【召唤怪物】</t>
  </si>
  <si>
    <t>\n调查员能够增强召唤法术效果</t>
  </si>
  <si>
    <t>\n每投入1点POW，召唤怪物法术成功率+1%，最高+20%。【增益特质】【影响自己】【永久持续】【被动生效】</t>
  </si>
  <si>
    <t>【召唤邪神】</t>
  </si>
  <si>
    <t>\n调查员能够增强召唤神祇效果</t>
  </si>
  <si>
    <t>\n每投入1点POW，召唤邪神法术成功率+1%，最高+10%。【增益特质】【影响自己】【永久持续】【被动生效】</t>
  </si>
  <si>
    <t>【强化战斗】</t>
  </si>
  <si>
    <t>\n调查员能够增强战斗法术效果</t>
  </si>
  <si>
    <t>\n每投入1点POW，战斗法术成功率+1%，最高+20%。【增益特质】【影响自己】【永久持续】【被动生效】</t>
  </si>
  <si>
    <t>【魔法通讯】</t>
  </si>
  <si>
    <t>\n调查员能够扩展通讯范围</t>
  </si>
  <si>
    <t>\n每增加1点MP消耗，魔法通讯范围+100码。【增益特质】【影响自己】【永久持续】【主动生效】</t>
  </si>
  <si>
    <t>【心灵沟通】</t>
  </si>
  <si>
    <t>\n调查员能够进行无语言交流</t>
  </si>
  <si>
    <t>\n消耗4点MP可与一人心灵沟通，每额外消耗1点MP可增加一人。【增益特质】【影响多目标】【永久持续】【主动生效】【消耗MP】</t>
  </si>
  <si>
    <t>【范围广播】</t>
  </si>
  <si>
    <t>\n调查员能够扩展广播范围</t>
  </si>
  <si>
    <t>\n每增加1点MP消耗，范围广播法术效果+100码。【增益特质】【影响自己】【永久持续】【主动生效】</t>
  </si>
  <si>
    <t>【梦境专属】</t>
  </si>
  <si>
    <t>\n调查员能够将物品带入梦境</t>
  </si>
  <si>
    <t>\n道具可在梦境中使用，但现实世界中使用时效果减半。【增益特质】【影响自己】【永久持续】【被动生效】</t>
  </si>
  <si>
    <t>【梦境存续】</t>
  </si>
  <si>
    <t>\n调查员能够在梦境现实间传递物品</t>
  </si>
  <si>
    <t>\n道具在梦境和现实中都可使用，但可能引起梦境生物的注意。【增益特质】【影响自己】【永久持续】【被动生效】</t>
  </si>
  <si>
    <t>【精致附魔】</t>
  </si>
  <si>
    <t>\n调查员能够提高附魔成功率</t>
  </si>
  <si>
    <t>\n投入5点POW，附魔法术成功率+10%。【增益特质】【影响自己】【永久持续】【主动生效】【消耗POW】</t>
  </si>
  <si>
    <t>【环境增益】</t>
  </si>
  <si>
    <t>\n调查员能够延长环境法术</t>
  </si>
  <si>
    <t>\n投入5点POW，环境类法术持续时间+1回合。【增益特质】【影响自己】【永久持续】【主动生效】【消耗POW】</t>
  </si>
  <si>
    <t>【强化复活】</t>
  </si>
  <si>
    <t>\n调查员能够提高复活成功率</t>
  </si>
  <si>
    <t>\n投入5点POW，复活类法术成功率+10%。【增益特质】【影响自己】【永久持续】【主动生效】【消耗POW】</t>
  </si>
  <si>
    <t>【民俗增益】</t>
  </si>
  <si>
    <t>\n调查员能够增强民俗法术</t>
  </si>
  <si>
    <t>\n投入5点POW，民俗类法术成功率+10%。【增益特质】【影响自己】【永久持续】【主动生效】【消耗POW】</t>
  </si>
  <si>
    <t>【延续损害】</t>
  </si>
  <si>
    <t>\n调查员能够延长伤害法术</t>
  </si>
  <si>
    <t>\n投入5点POW，伤害类法术效果持续时间+1回合。【增益特质】【影响自己】【永久持续】【主动生效】【消耗POW】</t>
  </si>
  <si>
    <t>【连续支配】</t>
  </si>
  <si>
    <t>\n调查员能够延长支配效果</t>
  </si>
  <si>
    <t>\n投入5点POW，支配类法术持续时间+1回合。【增益特质】【影响自己】【永久持续】【主动生效】【消耗POW】</t>
  </si>
  <si>
    <t>【精细施法】</t>
  </si>
  <si>
    <t>\n调查员能够提高精准法术</t>
  </si>
  <si>
    <t>\n投入5点POW，精准类法术成功率+10%。【增益特质】【影响自己】【永久持续】【主动生效】【消耗POW】</t>
  </si>
  <si>
    <t>【守护延长】</t>
  </si>
  <si>
    <t>\n调查员能够延长防护效果</t>
  </si>
  <si>
    <t>\n投入5点POW，防护类法术持续时间+1回合。【增益特质】【影响自己】【永久持续】【主动生效】【消耗POW】</t>
  </si>
  <si>
    <t>【时空增益】</t>
  </si>
  <si>
    <t>\n调查员能够增强时空法术</t>
  </si>
  <si>
    <t>\n投入5点POW，时空类法术成功率+10%。【增益特质】【影响自己】【永久持续】【主动生效】【消耗POW】</t>
  </si>
  <si>
    <t>【变形延长】</t>
  </si>
  <si>
    <t>\n调查员能够延长变形效果</t>
  </si>
  <si>
    <t>\n投入5点POW，变形类法术持续时间+1回合。【增益特质】【影响自己】【永久持续】【主动生效】【消耗POW】</t>
  </si>
  <si>
    <t>【技艺增益】</t>
  </si>
  <si>
    <t>\n调查员能够增强技艺法术</t>
  </si>
  <si>
    <t>\n投入5点POW，技艺类法术成功率+10%。【增益特质】【影响自己】【永久持续】【主动生效】【消耗POW】</t>
  </si>
  <si>
    <t>【跨界增益】</t>
  </si>
  <si>
    <t>\n调查员能够增强跨界法术</t>
  </si>
  <si>
    <t>\n投入5点POW，跨界类法术成功率+10%。【增益特质】【影响自己】【永久持续】【主动生效】【消耗POW】</t>
  </si>
  <si>
    <t>【属性增益】</t>
  </si>
  <si>
    <t>\n调查员能够增强属性法术</t>
  </si>
  <si>
    <t>\n投入5点POW，属性增强类法术成功率+10%。【增益特质】【影响自己】【永久持续】【主动生效】【消耗POW】</t>
  </si>
  <si>
    <t>【监控之野】</t>
  </si>
  <si>
    <t>\n调查员能够设置魔法监视区域</t>
  </si>
  <si>
    <t>\n消耗1d6点MP，设置一个魔法监视区域，持续1d3小时。【增益特质】【影响范围】【永久持续】【主动生效】【消耗MP】</t>
  </si>
  <si>
    <t>【幽灵之野】</t>
  </si>
  <si>
    <t>\n调查员能够创造隐形区域</t>
  </si>
  <si>
    <t>\n消耗1d8点MP，创造一个隐形区域，持续1d3小时。【增益特质】【影响范围】【永久持续】【主动生效】【消耗MP】</t>
  </si>
  <si>
    <t>【活化陷阱】</t>
  </si>
  <si>
    <t>\n调查员能够操控陷阱</t>
  </si>
  <si>
    <t>\n消耗1d8点MP，可激活、干扰或无效化一个陷阱。【增益特质】【影响单目标】【永久持续】【主动生效】【消耗MP】</t>
  </si>
  <si>
    <t>【随机环境】</t>
  </si>
  <si>
    <t>\n调查员能够改变局部环境</t>
  </si>
  <si>
    <t>\n消耗1d6点MP，改变局部环境效果，持续1d3小时。【增益特质】【影响范围】【永久持续】【主动生效】【消耗MP】</t>
  </si>
  <si>
    <t>【改变天气】</t>
  </si>
  <si>
    <t>\n调查员能够改变天气</t>
  </si>
  <si>
    <t>\n消耗1d6点MP，改变局部天气，持续1d3小时。【增益特质】【影响范围】【永久持续】【主动生效】【消耗MP】</t>
  </si>
  <si>
    <t>【容貌欺诈】</t>
  </si>
  <si>
    <t>\n调查员能够改变外貌</t>
  </si>
  <si>
    <t>\n消耗MP改变自身容貌，持续1d3小时，但可能留下魔法痕迹。【增益特质】【影响自己】【永久持续】【主动生效】【消耗MP】</t>
  </si>
  <si>
    <t>【死亡欺诈】</t>
  </si>
  <si>
    <t>\n调查员能够伪造死亡状态</t>
  </si>
  <si>
    <t>\n消耗MP进入假死状态，持续1d3小时，期间无法行动。【增益特质】【影响自己】【永久持续】【主动生效】【消耗MP】</t>
  </si>
  <si>
    <t>【魂器分离】</t>
  </si>
  <si>
    <t>\n调查员能够制造魂器避免死亡</t>
  </si>
  <si>
    <t>\n制作魂器后，死亡时可在魂器处复活，但损失1d20SAN。【增益特质】【影响自己】【永久持续】【主动生效】</t>
  </si>
  <si>
    <t>【地图解析】</t>
  </si>
  <si>
    <t>\n调查员能够从地图获得灵感</t>
  </si>
  <si>
    <t>\n使用地图时，灵感检定获得奖励骰。【增益特质】【影响自己】【永久持续】【被动生效】</t>
  </si>
  <si>
    <t>【迷途指引】</t>
  </si>
  <si>
    <t>\n调查员在迷路时能够获得指引</t>
  </si>
  <si>
    <t>\n导航失败时，可获得一次幸运奖励骰重试。【增益特质】【影响自己】【永久持续】【被动生效】</t>
  </si>
  <si>
    <t>【升变车轮】</t>
  </si>
  <si>
    <t>\n调查员能够转化生命与理智</t>
  </si>
  <si>
    <t>\n消耗1点HP可恢复1点SAN，每日限三次。【增益特质】【影响自己】【每日限次】【主动生效】【消耗HP】</t>
  </si>
  <si>
    <t>【不朽阶梯】</t>
  </si>
  <si>
    <t>\n调查员能够转化意志与生命</t>
  </si>
  <si>
    <t>\n消耗1点POW可恢复2点HP，每日限三次。【增益特质】【影响自己】【每日限次】【主动生效】【消耗POW】</t>
  </si>
  <si>
    <t>【丰饶祝福】</t>
  </si>
  <si>
    <t>\n调查员能够获得丰收加持</t>
  </si>
  <si>
    <t>\n所有农业、采集相关检定获得奖励骰。【增益特质】【影响自己】【永久持续】【被动生效】</t>
  </si>
  <si>
    <t>【梦境祝福】</t>
  </si>
  <si>
    <t>\n调查员能够获得梦境庇护</t>
  </si>
  <si>
    <t>\n在梦境中所有检定获得一个奖励骰。【增益特质】【影响自己】【永久持续】【被动生效】</t>
  </si>
  <si>
    <t>【灵性预言】</t>
  </si>
  <si>
    <t>\n调查员能够获得模糊预言</t>
  </si>
  <si>
    <t>\n每日一次，可进行一次灵感检定获得关于未来的提示。【增益特质】【影响自己】【每日限次】【主动生效】</t>
  </si>
  <si>
    <t>【命运之轮】</t>
  </si>
  <si>
    <t>\n调查员能够改变命运走向</t>
  </si>
  <si>
    <t>\n每模组一次，可重投一次关键检定。【增益特质】【影响自己】【模组限次】【主动生效】</t>
  </si>
  <si>
    <t>【化身野兽】</t>
  </si>
  <si>
    <t>\n调查员能够变身为动物</t>
  </si>
  <si>
    <t>\n消耗MP变身为动物，获得相应能力，但可能难以恢复人形。【增益特质】【影响自己】【永久持续】【主动生效】【消耗MP】</t>
  </si>
  <si>
    <t>【兽化诅咒】</t>
  </si>
  <si>
    <t>\n调查员受到兽化诅咒</t>
  </si>
  <si>
    <t>\n每月满月时强制变身，期间CON+1d6但INT-1d6。【混合特质】【影响自己】【永久持续】【被动生效】</t>
  </si>
  <si>
    <t>【强化诅咒】</t>
  </si>
  <si>
    <t>\n调查员能够增强诅咒效果</t>
  </si>
  <si>
    <t>\n诅咒类法术效果+50%，但施法者SAN-1d3。【混合特质】【影响自己】【永久持续】【被动生效】</t>
  </si>
  <si>
    <t>【解除诅咒】</t>
  </si>
  <si>
    <t>\n调查员能够解除诅咒</t>
  </si>
  <si>
    <t>\n解除诅咒成功率+20%，但失败时可能转移至自身。【增益特质】【影响单目标】【永久持续】【主动生效】</t>
  </si>
  <si>
    <t>【活化地壳】</t>
  </si>
  <si>
    <t>\n调查员能够操控地形</t>
  </si>
  <si>
    <t>\n消耗MP改变地形，持续1场景，但可能造成地质不稳定。【增益特质】【影响范围】【永久持续】【主动生效】【消耗MP】</t>
  </si>
  <si>
    <t>【唤醒灵光】</t>
  </si>
  <si>
    <t>\n调查员能够唤醒物品灵性</t>
  </si>
  <si>
    <t>\n消耗MP使物品暂时获得灵性，持续1场景。【增益特质】【影响单目标】【永久持续】【主动生效】【消耗MP】</t>
  </si>
  <si>
    <t>【镇定魂魄】</t>
  </si>
  <si>
    <t>\n调查员能够安抚精神</t>
  </si>
  <si>
    <t>\n消耗MP使目标SAN恢复1d3，每日对同一目标限一次。【增益特质】【影响单目标】【每日限次】【主动生效】【消耗MP】</t>
  </si>
  <si>
    <t>【法术灵感】</t>
  </si>
  <si>
    <t>\n调查员能够更快理解法术</t>
  </si>
  <si>
    <t>\n学习法术时，智力检定获得奖励骰。【增益特质】【影响自己】【永久持续】【被动生效】</t>
  </si>
  <si>
    <t>【法术驱散】</t>
  </si>
  <si>
    <t>\n调查员能够驱散魔法效果</t>
  </si>
  <si>
    <t>\n驱散魔法成功率+20%，但失败时可能受到魔法反冲。【增益特质】【影响单目标】【永久持续】【主动生效】</t>
  </si>
  <si>
    <t>【法术解析】</t>
  </si>
  <si>
    <t>\n调查员能够分析魔法效果</t>
  </si>
  <si>
    <t>\n分析魔法时，灵感检定获得奖励骰。【增益特质】【影响自己】【永久持续】【被动生效】</t>
  </si>
  <si>
    <t>【法术逆转】</t>
  </si>
  <si>
    <t>\n调查员能够逆转法术效果</t>
  </si>
  <si>
    <t>\n有10%几率逆转指向自身的法术，但失败时效果加倍。【增益特质】【影响自己】【永久持续】【被动生效】</t>
  </si>
  <si>
    <t>【魔力恢复】</t>
  </si>
  <si>
    <t>\n调查员能够快速恢复魔力</t>
  </si>
  <si>
    <t>\nMP自然恢复速度×2，但过度恢复可能导致魔力灼伤。【增益特质】【影响自己】【永久持续】【被动生效】</t>
  </si>
  <si>
    <t>【行动迟缓】</t>
  </si>
  <si>
    <t>\n调查员能够减缓目标行动</t>
  </si>
  <si>
    <t>\n成功POW对抗可使目标行动顺序延后3轮。【增益特质】【影响单目标】【永久持续】【主动生效】</t>
  </si>
  <si>
    <t>【技能冷却】</t>
  </si>
  <si>
    <t>\n调查员能够减少技能间隔</t>
  </si>
  <si>
    <t>\n所有技能使用间隔减半，但可能造成技能过热失效。【增益特质】【影响自己】【永久持续】【被动生效】</t>
  </si>
  <si>
    <t>【真实伤害】</t>
  </si>
  <si>
    <t>\n调查员能够造成无法减免伤害</t>
  </si>
  <si>
    <t>\n攻击有20%几率造成不可减免的1d4伤害。【增益特质】【影响单目标】【永久持续】【被动生效】</t>
  </si>
  <si>
    <t>\n调查员能够暂时增强属性</t>
  </si>
  <si>
    <t>\n消耗MP可使一个属性临时+1d4，持续3回合。【增益特质】【影响自己】【永久持续】【主动生效】【消耗MP】</t>
  </si>
  <si>
    <t>【状态恢复】</t>
  </si>
  <si>
    <t>\n调查员能够快速恢复状态</t>
  </si>
  <si>
    <t>\n从昏迷、麻痹等状态中恢复的检定获得奖励骰。【增益特质】【影响自己】【永久持续】【被动生效】</t>
  </si>
  <si>
    <t>【恒定护盾】</t>
  </si>
  <si>
    <t>\n调查员能够维持防护法术</t>
  </si>
  <si>
    <t>\n防护类法术持续时间×2，但消耗MP×2。【增益特质】【影响自己】【永久持续】【被动生效】</t>
  </si>
  <si>
    <t>【稳定增伤】</t>
  </si>
  <si>
    <t>\n调查员能够稳定输出伤害</t>
  </si>
  <si>
    <t>\n所有伤害掷骰取平均值（如1d6取3），但暴击几率减半。【增益特质】【影响自己】【永久持续】【被动生效】</t>
  </si>
  <si>
    <t>【状态免疫】</t>
  </si>
  <si>
    <t>\n调查员能够暂时免疫状态</t>
  </si>
  <si>
    <t>\n消耗5点POW，获得1d3回合的异常状态免疫。【增益特质】【影响自己】【永久持续】【主动生效】【消耗POW】</t>
  </si>
  <si>
    <t>【持续吟唱】</t>
  </si>
  <si>
    <t>\n调查员能够维持法术吟唱</t>
  </si>
  <si>
    <t>\n可维持一个法术效果持续吟唱，但期间不能进行其他行动。【增益特质】【影响自己】【永久持续】【主动生效】</t>
  </si>
  <si>
    <t>【霸王之体】</t>
  </si>
  <si>
    <t>\n调查员能够承受更多伤害</t>
  </si>
  <si>
    <t>\nHP上限+5，但所有敏捷相关检定增加一个惩罚骰。【混合特质】【影响自己】【永久持续】【被动生效】</t>
  </si>
  <si>
    <t>【无敌金身】</t>
  </si>
  <si>
    <t>\n调查员能够获得短暂无敌</t>
  </si>
  <si>
    <t>\n消耗10点POW，获得1回合完全伤害免疫，但之后陷入虚弱。【增益特质】【影响自己】【永久持续】【主动生效】【消耗POW】</t>
  </si>
  <si>
    <t>【天神下凡】</t>
  </si>
  <si>
    <t>\n调查员能够暂时神化</t>
  </si>
  <si>
    <t>\n所有属性临时+1d6，持续1场景，但结束后所有属性-1d3持续1天。【混合特质】【影响自己】【永久持续】【主动生效】</t>
  </si>
  <si>
    <t>【火焰点燃】</t>
  </si>
  <si>
    <t>\n调查员能够附加火焰伤害</t>
  </si>
  <si>
    <t>\n成功攻击可附加1d4火焰伤害，持续3回合。【增益特质】【影响单目标】【永久持续】【被动生效】</t>
  </si>
  <si>
    <t>【持续灼烧】</t>
  </si>
  <si>
    <t>\n调查员能够造成持续燃烧</t>
  </si>
  <si>
    <t>\n成功法术攻击可造成每回合1d3火焰伤害，持续1d3回合。【增益特质】【影响单目标】【永久持续】【主动生效】</t>
  </si>
  <si>
    <t>【猛毒效果】</t>
  </si>
  <si>
    <t>\n调查员能够施加剧毒</t>
  </si>
  <si>
    <t>\n成功攻击可施加中毒状态，每回合损失1d3HP，持续1d3回合。【增益特质】【影响单目标】【永久持续】【主动生效】</t>
  </si>
  <si>
    <t>【中毒抵抗】</t>
  </si>
  <si>
    <t>\n调查员能够耐受毒素</t>
  </si>
  <si>
    <t>\n对中毒效果的抵抗检定获得奖励骰。【增益特质】【影响自己】【永久持续】【被动生效】</t>
  </si>
  <si>
    <t>【麻痹躯体】</t>
  </si>
  <si>
    <t>\n调查员能够麻痹目标</t>
  </si>
  <si>
    <t>\n成功POW对抗可使目标麻痹1d3回合。【增益特质】【影响单目标】【永久持续】【主动生效】</t>
  </si>
  <si>
    <t>【催眠大师】</t>
  </si>
  <si>
    <t>\n调查员能够快速催眠目标</t>
  </si>
  <si>
    <t>\n催眠检定获得奖励骰，但失败时目标对催眠免疫1小时。【增益特质】【影响单目标】【永久持续】【主动生效】</t>
  </si>
  <si>
    <t>【死亡暗示】</t>
  </si>
  <si>
    <t>\n调查员能够植入死亡暗示</t>
  </si>
  <si>
    <t>\n成功POW对抗可使目标在特定条件下陷入假死状态。【增益特质】【影响单目标】【永久持续】【主动生效】</t>
  </si>
  <si>
    <t>【灭亡之歌】</t>
  </si>
  <si>
    <t>\n调查员能够吟唱毁灭之歌</t>
  </si>
  <si>
    <t>\n每回合消耗5点MP，对周围所有目标造成1点SAN损失。【增益特质】【影响范围】【永久持续】【主动生效】【消耗MP】</t>
  </si>
  <si>
    <t>【混乱思维】</t>
  </si>
  <si>
    <t>\n调查员能够扰乱目标思维</t>
  </si>
  <si>
    <t>\n成功POW对抗可使目标技能检定增加两个惩罚骰，持续3回合。【增益特质】【影响单目标】【永久持续】【主动生效】</t>
  </si>
  <si>
    <t>【冻结冰封】</t>
  </si>
  <si>
    <t>\n调查员能够冻结目标</t>
  </si>
  <si>
    <t>\n成功法术攻击可使目标冻结1回合，期间无法行动。【增益特质】【影响单目标】【永久持续】【主动生效】</t>
  </si>
  <si>
    <t>【冻伤减益】</t>
  </si>
  <si>
    <t>\n调查员能够造成冻伤</t>
  </si>
  <si>
    <t>\n成功攻击可附加冻伤效果，目标敏捷相关检定增加惩罚骰。【增益特质】【影响单目标】【永久持续】【主动生效】</t>
  </si>
  <si>
    <t>【激怒目标】</t>
  </si>
  <si>
    <t>\n调查员能够激怒目标</t>
  </si>
  <si>
    <t>\n话术检定成功可使目标进入愤怒状态，攻击力+1d4但防御力-1d4。【增益特质】【影响单目标】【永久持续】【主动生效】</t>
  </si>
  <si>
    <t>【痊愈甘霖】</t>
  </si>
  <si>
    <t>\n调查员能够范围治疗</t>
  </si>
  <si>
    <t>\n消耗MP对范围内所有友方恢复1d3HP，每日限一次。【增益特质】【影响友方】【每日限次】【主动生效】【消耗MP】</t>
  </si>
  <si>
    <t>【昏迷倒地】</t>
  </si>
  <si>
    <t>\n调查员能够假装昏迷</t>
  </si>
  <si>
    <t>\n表演检定成功可进入假装昏迷状态，欺骗观察者。【增益特质】【影响自己】【永久持续】【主动生效】</t>
  </si>
  <si>
    <t>【躯体感电】</t>
  </si>
  <si>
    <t>\n调查员能够释放电流通过身体</t>
  </si>
  <si>
    <t>\n接触攻击附加1d3电击伤害，目标需进行CON检定避免麻痹1回合。【增益特质】【影响单目标】【永久持续】【主动生效】</t>
  </si>
  <si>
    <t>【沉稳睡眠】</t>
  </si>
  <si>
    <t>\n调查员能够快速进入深度睡眠</t>
  </si>
  <si>
    <t>\n睡眠1小时恢复2点HP和1点MP，但被惊醒时所有检定增加惩罚骰。【增益特质】【影响自己】【永久持续】【被动生效】</t>
  </si>
  <si>
    <t>【年龄老化】</t>
  </si>
  <si>
    <t>\n调查员因魔法效应加速衰老</t>
  </si>
  <si>
    <t>\n每场景一次，可主动老化1d10年换取一次技能检定奖励骰。【混合特质】【影响自己】【场景限次】【主动生效】</t>
  </si>
  <si>
    <t>【破败之刃】</t>
  </si>
  <si>
    <t>\n调查员的武器附带腐朽效果</t>
  </si>
  <si>
    <t>\n命中目标后，目标装备耐久度-1d4，对魔法物品无效。【增益特质】【影响单目标】【永久持续】【被动生效】</t>
  </si>
  <si>
    <t>【腐朽衰败】</t>
  </si>
  <si>
    <t>\n调查员能够加速物体腐朽</t>
  </si>
  <si>
    <t>\n接触可使非魔法物品老化1d10年，每日限三次。【增益特质】【影响单目标】【每日限次】【主动生效】</t>
  </si>
  <si>
    <t>【魔力衰弱】</t>
  </si>
  <si>
    <t>\n调查员能够削弱目标魔力</t>
  </si>
  <si>
    <t>\n成功POW对抗使目标MP上限临时-1d6，持续1场景。【增益特质】【影响单目标】【永久持续】【主动生效】</t>
  </si>
  <si>
    <t>【魔力封印】</t>
  </si>
  <si>
    <t>\n调查员能够封印目标魔法能力</t>
  </si>
  <si>
    <t>\n成功POW对抗使目标无法使用魔法1d3回合，消耗10点MP。【增益特质】【影响单目标】【永久持续】【主动生效】【消耗MP】</t>
  </si>
  <si>
    <t>【沉默施法】</t>
  </si>
  <si>
    <t>\n调查员能够无声施法</t>
  </si>
  <si>
    <t>\n可在沉默状态下施法，但法术效果减半。【增益特质】【影响自己】【永久持续】【被动生效】</t>
  </si>
  <si>
    <t>【瞬间施法】</t>
  </si>
  <si>
    <t>\n调查员能够快速施法</t>
  </si>
  <si>
    <t>\n施法时间减半，但法术消耗MP×2。【增益特质】【影响自己】【永久持续】【被动生效】</t>
  </si>
  <si>
    <t>【石化之眼】</t>
  </si>
  <si>
    <t>\n调查员能够暂时石化目标</t>
  </si>
  <si>
    <t>\n每日一次，成功POW对抗可使目标石化1回合。【增益特质】【影响单目标】【每日限次】【主动生效】</t>
  </si>
  <si>
    <t>【飞龙探云】</t>
  </si>
  <si>
    <t>\n调查员能够巧妙窃取物品</t>
  </si>
  <si>
    <t>\n妙手检定获得两个奖励骰，但失败时被立即发现。【增益特质】【影响单目标】【永久持续】【主动生效】</t>
  </si>
  <si>
    <t>【隔空窃取】</t>
  </si>
  <si>
    <t>\n调查员能够远程取物</t>
  </si>
  <si>
    <t>\n可远程获取5米内小物品，消耗3点MP，每日限五次。【增益特质】【影响单目标】【每日限次】【主动生效】【消耗MP】</t>
  </si>
  <si>
    <t>【回天之余】</t>
  </si>
  <si>
    <t>\n调查员能够在濒死时自我救治</t>
  </si>
  <si>
    <t>\n生命值低于10%时，可立即恢复1d6HP，每日限一次。【增益特质】【影响自己】【每日限次】【触发生效】</t>
  </si>
  <si>
    <t>【无力回天】</t>
  </si>
  <si>
    <t>\n调查员无法接受常规治疗</t>
  </si>
  <si>
    <t>\n所有医疗检定对调查员效果减半，但魔法治疗效果×2。【混合特质】【影响自己】【永久持续】【被动生效】</t>
  </si>
  <si>
    <t>【决死绝灭】</t>
  </si>
  <si>
    <t>\n调查员在绝境中爆发</t>
  </si>
  <si>
    <t>\n生命值低于5%时，所有攻击伤害×2，但每次攻击损失1点SAN。【增益特质】【影响自己】【永久持续】【触发生效】</t>
  </si>
  <si>
    <t>【无法自愈】</t>
  </si>
  <si>
    <t>\n调查员失去自然愈合能力</t>
  </si>
  <si>
    <t>\n每日自动恢复的HP减半，但魔法愈合效果+50%。【混合特质】【影响自己】【永久持续】【被动生效】</t>
  </si>
  <si>
    <t>【凭空断肢】</t>
  </si>
  <si>
    <t>\n调查员能够远程造成肢体伤害</t>
  </si>
  <si>
    <t>\n成功POW对抗可使目标随机肢体失效1d3回合，消耗8点MP。【增益特质】【影响单目标】【永久持续】【主动生效】【消耗MP】</t>
  </si>
  <si>
    <t>【绝对贯穿】</t>
  </si>
  <si>
    <t>\n调查员的攻击无视部分防御</t>
  </si>
  <si>
    <t>\n攻击有25%几率无视目标最多3点护甲。【增益特质】【影响单目标】【永久持续】【被动生效】</t>
  </si>
  <si>
    <t>【宝物摧毁】</t>
  </si>
  <si>
    <t>\n调查员能够破坏魔法物品</t>
  </si>
  <si>
    <t>\n接触可使魔法物品暂时失效1d6回合，但可能遭受魔法反冲。【增益特质】【影响单目标】【永久持续】【主动生效】</t>
  </si>
  <si>
    <t>【爆炸艺术】</t>
  </si>
  <si>
    <t>\n调查员擅长制造爆炸效果</t>
  </si>
  <si>
    <t>\n爆破检定获得奖励骰，爆炸范围+20%。【增益特质】【影响自己】【永久持续】【被动生效】</t>
  </si>
  <si>
    <t>【传递伤害】</t>
  </si>
  <si>
    <t>\n调查员能够转移伤害</t>
  </si>
  <si>
    <t>\n可将自身受到伤害的50%转移至5米内其他目标，消耗5点MP。【增益特质】【影响单目标】【永久持续】【主动生效】【消耗MP】</t>
  </si>
  <si>
    <t>【分摊伤害】</t>
  </si>
  <si>
    <t>\n调查员能够分摊伤害</t>
  </si>
  <si>
    <t>\n可将伤害平均分摊给10米内所有友方，每目标消耗1点MP。【增益特质】【影响友方】【永久持续】【主动生效】【消耗MP】</t>
  </si>
  <si>
    <t>【群体伤害】</t>
  </si>
  <si>
    <t>\n调查员能够同时攻击多个目标</t>
  </si>
  <si>
    <t>\n近战攻击可同时攻击相邻的2个目标，但伤害各-1d4。【增益特质】【影响多目标】【永久持续】【主动生效】</t>
  </si>
  <si>
    <t>【堆叠伤害】</t>
  </si>
  <si>
    <t>\n调查员的连续攻击不断增强</t>
  </si>
  <si>
    <t>\n同一目标每次连续攻击伤害+1，最高+5，失手后重置。【增益特质】【影响自己】【永久持续】【被动生效】</t>
  </si>
  <si>
    <t>【死线击败】</t>
  </si>
  <si>
    <t>\n调查员能够看见死亡之线</t>
  </si>
  <si>
    <t>\n每日一次，可进行一次感知检定，成功则下次攻击必中并造成双倍伤害。【增益特质】【影响自己】【每日限次】【主动生效】</t>
  </si>
  <si>
    <t>【死亡视线】</t>
  </si>
  <si>
    <t>\n调查员能够释放致命目光</t>
  </si>
  <si>
    <t>\n成功POW对抗可使目标SAN-1d6，消耗10点MP，每日限一次。【增益特质】【影响单目标】【每日限次】【主动生效】【消耗MP】</t>
  </si>
  <si>
    <t>【作弊代码】</t>
  </si>
  <si>
    <t>\n调查员能够重写现实碎片</t>
  </si>
  <si>
    <t>\n每模组一次，可改变一次骰子结果，但之后幸运值临时-20。【增益特质】【影响自己】【模组限次】【主动生效】</t>
  </si>
  <si>
    <t>【伤害强化】</t>
  </si>
  <si>
    <t>\n调查员能够强化武器伤害</t>
  </si>
  <si>
    <t>\n消耗3点MP使武器伤害+1d4，持续3回合。【增益特质】【影响自己】【永久持续】【主动生效】【消耗MP】</t>
  </si>
  <si>
    <t>【迅捷增益】</t>
  </si>
  <si>
    <t>\n调查员能够暂时提升速度</t>
  </si>
  <si>
    <t>\n消耗5点MP，DEX临时+10，持续3回合。【增益特质】【影响自己】【永久持续】【主动生效】【消耗MP】</t>
  </si>
  <si>
    <t>【忍耐增益】</t>
  </si>
  <si>
    <t>\n调查员能够提升伤害忍耐</t>
  </si>
  <si>
    <t>\n消耗5点MP，CON临时+10，持续3回合。【增益特质】【影响自己】【永久持续】【主动生效】【消耗MP】</t>
  </si>
  <si>
    <t>【武器钝化】</t>
  </si>
  <si>
    <t>\n调查员能够削弱敌人武器</t>
  </si>
  <si>
    <t>\n成功攻击可使目标武器伤害-1d3，持续1场景。【增益特质】【影响单目标】【永久持续】【主动生效】</t>
  </si>
  <si>
    <t>【黑魂祝福】</t>
  </si>
  <si>
    <t>\n调查员受到黑暗祝福</t>
  </si>
  <si>
    <t>\n在黑暗中所有检定获得奖励骰，但在光亮中所有检定增加惩罚骰。【混合特质】【影响自己】【永久持续】【被动生效】</t>
  </si>
  <si>
    <t>【恐惧真相】</t>
  </si>
  <si>
    <t>\n调查员能够揭示恐怖真相</t>
  </si>
  <si>
    <t>\n成功心理学检定可使目标SAN-1d4，但自身也受到1点SAN冲击。【混合特质】【影响单目标】【永久持续】【主动生效】</t>
  </si>
  <si>
    <t>【不可名状】</t>
  </si>
  <si>
    <t>\n调查员能够展现不可名状形态</t>
  </si>
  <si>
    <t>\n消耗1d20SAN，使所有目睹者进行SAN检定（0/1d6）。【增益特质】【影响范围】【永久持续】【主动生效】【消耗SAN】</t>
  </si>
  <si>
    <t>【舍身攻击】</t>
  </si>
  <si>
    <t>\n调查员能够以伤换伤</t>
  </si>
  <si>
    <t>\n可牺牲1d6HP使本次攻击伤害+1d6。【增益特质】【影响自己】【永久持续】【主动生效】【消耗HP】</t>
  </si>
  <si>
    <t>【舍身潜行】</t>
  </si>
  <si>
    <t>\n调查员能够以生命为代价潜行</t>
  </si>
  <si>
    <t>\n消耗1d4HP可使潜行检定获得两个奖励骰。【增益特质】【影响自己】【永久持续】【主动生效】【消耗HP】</t>
  </si>
  <si>
    <t>【血肉代偿】</t>
  </si>
  <si>
    <t>\n调查员能够用血肉施法</t>
  </si>
  <si>
    <t>\n可用HP代替MP施法，转化比例2:1。【增益特质】【影响自己】【永久持续】【主动生效】</t>
  </si>
  <si>
    <t>【双重枯萎】</t>
  </si>
  <si>
    <t>\n调查员能够同时削弱身心</t>
  </si>
  <si>
    <t>\n成功法术同时目标CON和POW各-1d3，持续3回合。【增益特质】【影响单目标】【永久持续】【主动生效】</t>
  </si>
  <si>
    <t>【精神侵蚀】</t>
  </si>
  <si>
    <t>\n调查员能够持续侵蚀理智</t>
  </si>
  <si>
    <t>\n每回合消耗2点MP，目标SAN-1，持续至目标逃脱或施法者停止。【增益特质】【影响单目标】【永久持续】【主动生效】【消耗MP】</t>
  </si>
  <si>
    <t>【蓄力充能】</t>
  </si>
  <si>
    <t>\n调查员能够蓄力攻击</t>
  </si>
  <si>
    <t>\n消耗一回合准备，下回合攻击伤害×2。【增益特质】【影响自己】【永久持续】【主动生效】</t>
  </si>
  <si>
    <t>【鲜血之触】</t>
  </si>
  <si>
    <t>\n调查员能够通过血液施法</t>
  </si>
  <si>
    <t>\n使用自身或他人血液施法，法术效果+20%，但每次损失1点HP。【增益特质】【影响自己】【永久持续】【主动生效】【消耗HP】</t>
  </si>
  <si>
    <t>【守护祝福】</t>
  </si>
  <si>
    <t>\n调查员能够施加防护祝福</t>
  </si>
  <si>
    <t>\n消耗5点MP，目标获得3点魔法护甲，持续1场景。【增益特质】【影响单目标】【永久持续】【主动生效】【消耗MP】</t>
  </si>
  <si>
    <t>【伤害祝福】</t>
  </si>
  <si>
    <t>\n调查员能够施加伤害祝福</t>
  </si>
  <si>
    <t>\n消耗5点MP，目标伤害+1d3，持续1场景。【增益特质】【影响单目标】【永久持续】【主动生效】【消耗MP】</t>
  </si>
  <si>
    <t>【护甲强化】</t>
  </si>
  <si>
    <t>\n调查员能够临时增强护甲</t>
  </si>
  <si>
    <t>\n消耗3点MP，穿戴护甲效果+3，持续3回合。【增益特质】【影响自己】【永久持续】【主动生效】【消耗MP】</t>
  </si>
  <si>
    <t>【幸运骰子】</t>
  </si>
  <si>
    <t>\n调查员携带幸运骰子</t>
  </si>
  <si>
    <t>\n每日一次，可重投一次技能检定。【增益特质】【影响自己】【每日限次】【主动生效】</t>
  </si>
  <si>
    <t>【厄运骰子】</t>
  </si>
  <si>
    <t>\n调查员携带厄运骰子</t>
  </si>
  <si>
    <t>\n可强制目标重投一次成功检定，但自身幸运值临时-10。【增益特质】【影响单目标】【永久持续】【主动生效】</t>
  </si>
  <si>
    <t>【额外骰子】</t>
  </si>
  <si>
    <t>\n调查员可获得额外投骰</t>
  </si>
  <si>
    <t>\n每日三次，可在检定前选择获得一个奖励骰。【增益特质】【影响自己】【每日限次】【主动生效】</t>
  </si>
  <si>
    <t>【命运骰子】</t>
  </si>
  <si>
    <t>\n调查员能够影响命运走向</t>
  </si>
  <si>
    <t>\n每模组一次，可指定一次检定结果为大成功或大失败。【增益特质】【影响自己】【模组限次】【主动生效】</t>
  </si>
  <si>
    <t>【作弊骰子】</t>
  </si>
  <si>
    <t>\n调查员能够作弊投骰</t>
  </si>
  <si>
    <t>\n每日一次，可直接投出指定点数（1-100），但之后所有检定增加惩罚骰。【增益特质】【影响自己】【每日限次】【主动生效】</t>
  </si>
  <si>
    <t>【痊愈金身】</t>
  </si>
  <si>
    <t>\n调查员能够快速恢复</t>
  </si>
  <si>
    <t>\n每小时自动恢复2点HP，但食物消耗×2。【增益特质】【影响自己】【永久持续】【被动生效】</t>
  </si>
  <si>
    <t>【痊愈之雨】</t>
  </si>
  <si>
    <t>\n消耗10点MP，10米内所有友方恢复1d6HP，每日限一次。【增益特质】【影响友方】【每日限次】【主动生效】【消耗MP】</t>
  </si>
  <si>
    <t>【重伤痊愈】</t>
  </si>
  <si>
    <t>\n调查员能够从重伤中恢复</t>
  </si>
  <si>
    <t>\n从重伤状态恢复时，恢复1d3HP而非1点HP。【增益特质】【影响自己】【永久持续】【被动生效】</t>
  </si>
  <si>
    <t>【二重衰减】</t>
  </si>
  <si>
    <t>\n调查员的削弱效果持续两轮</t>
  </si>
  <si>
    <t>\n所有针对他人的减益效果持续时间×2。【增益特质】【影响自己】【永久持续】【被动生效】</t>
  </si>
  <si>
    <t>【四重衰减】</t>
  </si>
  <si>
    <t>\n调查员的削弱效果持续四轮</t>
  </si>
  <si>
    <t>\n所有针对他人的减益效果持续时间×4，但消耗MP×2。【增益特质】【影响自己】【永久持续】【被动生效】</t>
  </si>
  <si>
    <t>【强制击退】</t>
  </si>
  <si>
    <t>\n调查员能够击退目标</t>
  </si>
  <si>
    <t>\n成功攻击可将目标击退1d3米，对体型大于自身的目标无效。【增益特质】【影响单目标】【永久持续】【被动生效】</t>
  </si>
  <si>
    <t>【恐惧逃亡】</t>
  </si>
  <si>
    <t>\n调查员能够诱发恐惧逃跑</t>
  </si>
  <si>
    <t>\n成功恐吓检定可使目标逃跑1d3回合。【增益特质】【影响单目标】【永久持续】【主动生效】</t>
  </si>
  <si>
    <t>【血流不止】</t>
  </si>
  <si>
    <t>\n调查员能够造成持续出血</t>
  </si>
  <si>
    <t>\n成功攻击可使目标每回合损失1点HP，持续1d3回合。【增益特质】【影响单目标】【永久持续】【被动生效】</t>
  </si>
  <si>
    <t>【倒地不起】</t>
  </si>
  <si>
    <t>\n调查员容易被击倒</t>
  </si>
  <si>
    <t>\n受到伤害时需进行CON检定，失败则倒地一回合。【减益特质】【影响自己】【永久持续】【被动生效】</t>
  </si>
  <si>
    <t>【重伤不愈】</t>
  </si>
  <si>
    <t>\n调查员伤口难以愈合</t>
  </si>
  <si>
    <t>\n所有医疗检定对调查员效果-20%。【减益特质】【影响自己】【永久持续】【被动生效】</t>
  </si>
  <si>
    <t>【伤口感染】</t>
  </si>
  <si>
    <t>\n调查员容易发生感染</t>
  </si>
  <si>
    <t>\n受伤后需进行CON检定，失败则获得感染状态，HP每回合-1。【减益特质】【影响自己】【永久持续】【被动生效】</t>
  </si>
  <si>
    <t>【多重感染】</t>
  </si>
  <si>
    <t>\n调查员易受多种感染</t>
  </si>
  <si>
    <t>\n可能同时遭受多种感染，每种感染独立造成HP损失。【减益特质】【影响自己】【永久持续】【被动生效】</t>
  </si>
  <si>
    <t>【致死癌变】</t>
  </si>
  <si>
    <t>\n调查员患有致命疾病</t>
  </si>
  <si>
    <t>\n每月需进行CON检定，失败则HP上限-1，不可逆转。【减益特质】【影响自己】【永久持续】【被动生效】</t>
  </si>
  <si>
    <t>【致死畸变】</t>
  </si>
  <si>
    <t>\n调查员身体发生恐怖变异</t>
  </si>
  <si>
    <t>\n每月需进行SAN检定，失败则获得一个随机变异，可能丧失人性。【减益特质】【影响自己】【永久持续】【被动生效】</t>
  </si>
  <si>
    <t>【断肢伤害】</t>
  </si>
  <si>
    <t>\n调查员能够造成肢体断裂</t>
  </si>
  <si>
    <t>\n暴击时可切断目标肢体，目标立即损失2d6HP。【增益特质】【影响单目标】【永久持续】【被动生效】</t>
  </si>
  <si>
    <t>【肢离破碎】</t>
  </si>
  <si>
    <t>\n调查员能够造成恐怖伤害</t>
  </si>
  <si>
    <t>\n暴击时目标需进行CON检定，失败则立即死亡。【增益特质】【影响单目标】【永久持续】【被动生效】</t>
  </si>
  <si>
    <t>【断肢重生】</t>
  </si>
  <si>
    <t>\n调查员能够再生肢体</t>
  </si>
  <si>
    <t>\n消耗20点MP可再生一个缺失肢体，但消耗1d10SAN。【增益特质】【影响自己】【永久持续】【主动生效】【消耗MP/SAN】</t>
  </si>
  <si>
    <t>【理智消亡】</t>
  </si>
  <si>
    <t>\n调查员理智持续流失</t>
  </si>
  <si>
    <t>\n每日损失1点SAN，但智力相关检定获得奖励骰。【混合特质】【影响自己】【永久持续】【被动生效】</t>
  </si>
  <si>
    <t>【日之呼吸】</t>
  </si>
  <si>
    <t>\n调查员能够吸收阳光能量</t>
  </si>
  <si>
    <t>\n在阳光下所有检定获得奖励骰，MP恢复速度×2。【增益特质】【影响自己】【永久持续】【被动生效】</t>
  </si>
  <si>
    <t>【月之呼吸】</t>
  </si>
  <si>
    <t>\n调查员能够吸收月光能量</t>
  </si>
  <si>
    <t>\n在月光下所有潜行检定获得奖励骰，SAN损失减半。【增益特质】【影响自己】【永久持续】【被动生效】</t>
  </si>
  <si>
    <t>【闪电强化】</t>
  </si>
  <si>
    <t>\n调查员攻击附带闪电</t>
  </si>
  <si>
    <t>\n消耗3点MP使攻击附加1d4电击伤害，持续3回合。【增益特质】【影响自己】【永久持续】【主动生效】【消耗MP】</t>
  </si>
  <si>
    <t>【液袋治疗】</t>
  </si>
  <si>
    <t>\n调查员携带急救液袋</t>
  </si>
  <si>
    <t>\n每日三次，可使用液袋立即恢复1d6HP。【增益特质】【影响自己】【每日限次】【主动生效】</t>
  </si>
  <si>
    <t>【一击脱离】</t>
  </si>
  <si>
    <t>\n调查员能够攻击后撤退</t>
  </si>
  <si>
    <t>\n攻击后可立即移动，不引发借机攻击。【增益特质】【影响自己】【永久持续】【被动生效】</t>
  </si>
  <si>
    <t>【牺牲躯壳】</t>
  </si>
  <si>
    <t>\n调查员能够牺牲身体部分</t>
  </si>
  <si>
    <t>\n可牺牲一个肢体或器官，换取一次自动成功的检定。【增益特质】【影响自己】【永久持续】【主动生效】</t>
  </si>
  <si>
    <t>【掌控躯壳】</t>
  </si>
  <si>
    <t>\n调查员能够控制身体机能</t>
  </si>
  <si>
    <t>\n可主动降低生命值换取临时属性加成，比例2:1。【增益特质】【影响自己】【永久持续】【主动生效】【消耗HP】</t>
  </si>
  <si>
    <t>【渴望杀戮】</t>
  </si>
  <si>
    <t>\n调查员渴望战斗</t>
  </si>
  <si>
    <t>\n每杀死一个敌人，下次攻击伤害+1，最高+5。【增益特质】【影响自己】【永久持续】【被动生效】</t>
  </si>
  <si>
    <t>【粉丝缎带】</t>
  </si>
  <si>
    <t>\n调查员拥有鼓舞人心的饰品</t>
  </si>
  <si>
    <t>\n佩戴时所有社交检定获得奖励骰。【增益特质】【影响自己】【永久持续】【被动生效】</t>
  </si>
  <si>
    <t>【以实玛利】</t>
  </si>
  <si>
    <t>\n调查员受到海洋祝福</t>
  </si>
  <si>
    <t>\n所有航海相关检定获得奖励骰，但在陆地上幸运值-10。【混合特质】【影响自己】【永久持续】【被动生效】</t>
  </si>
  <si>
    <t>【火焰反击】</t>
  </si>
  <si>
    <t>\n调查员能够火焰反击</t>
  </si>
  <si>
    <t>\n受到近战攻击时自动对攻击者造成1d4火焰伤害。【增益特质】【影响自己】【永久持续】【被动生效】</t>
  </si>
  <si>
    <t>【火焰防护】</t>
  </si>
  <si>
    <t>\n调查员能够抵抗火焰</t>
  </si>
  <si>
    <t>\n获得5点火焰抗性，持续1场景。【增益特质】【影响自己】【永久持续】【主动生效】</t>
  </si>
  <si>
    <t>【火焰护盾】</t>
  </si>
  <si>
    <t>\n调查员被火焰护盾保护</t>
  </si>
  <si>
    <t>\n近战攻击调查员的目标受到1d4火焰伤害。【增益特质】【影响自己】【永久持续】【被动生效】</t>
  </si>
  <si>
    <t>【持续引燃】</t>
  </si>
  <si>
    <t>\n调查员能够持续点燃目标</t>
  </si>
  <si>
    <t>\n成功法术使目标每回合受到1d3火焰伤害，持续1d3回合。【增益特质】【影响单目标】【永久持续】【主动生效】</t>
  </si>
  <si>
    <t>【猛烈灼烧】</t>
  </si>
  <si>
    <t>\n调查员能够造成严重灼伤</t>
  </si>
  <si>
    <t>\n火焰法术伤害+1d6，但消耗MP+3。【增益特质】【影响自己】【永久持续】【被动生效】</t>
  </si>
  <si>
    <t>【诅咒之火】</t>
  </si>
  <si>
    <t>\n调查员能够施放诅咒火焰</t>
  </si>
  <si>
    <t>\n火焰伤害同时造成1点SAN损失，但施法者SAN-1。【混合特质】【影响单目标】【永久持续】【主动生效】</t>
  </si>
  <si>
    <t>【穿透烈焰】</t>
  </si>
  <si>
    <t>\n调查员的火焰无视抗性</t>
  </si>
  <si>
    <t>\n火焰攻击有50%几率无视目标火焰抗性。【增益特质】【影响自己】【永久持续】【被动生效】</t>
  </si>
  <si>
    <t>【范围燃烧】</t>
  </si>
  <si>
    <t>\n调查员能够制造范围火焰</t>
  </si>
  <si>
    <t>\n消耗8点MP制造3×3米火焰区域，持续3回合。【增益特质】【影响范围】【永久持续】【主动生效】【消耗MP】</t>
  </si>
  <si>
    <t>【烈火长墙】</t>
  </si>
  <si>
    <t>\n调查员能够创造火焰墙壁</t>
  </si>
  <si>
    <t>\n消耗12点MP创造5米长火焰墙，持续2回合。【增益特质】【影响范围】【永久持续】【主动生效】【消耗MP】</t>
  </si>
  <si>
    <t>【跗骨之炎】</t>
  </si>
  <si>
    <t>\n调查员的火焰难以扑灭</t>
  </si>
  <si>
    <t>\n火焰效果持续时间×2，目标扑灭检定增加两个惩罚骰。【增益特质】【影响自己】【永久持续】【被动生效】</t>
  </si>
  <si>
    <t>【巨龙之息】</t>
  </si>
  <si>
    <t>\n调查员能够喷吐火焰</t>
  </si>
  <si>
    <t>\n消耗15点MP喷吐锥形火焰，造成2d6伤害，每日限一次。【增益特质】【影响范围】【每日限次】【主动生效】【消耗MP】</t>
  </si>
  <si>
    <t>【化水为燃】</t>
  </si>
  <si>
    <t>\n调查员能够点燃液体</t>
  </si>
  <si>
    <t>\n可点燃任何液体表面，创造燃烧区域。【增益特质】【影响范围】【永久持续】【主动生效】</t>
  </si>
  <si>
    <t>【无形之火】</t>
  </si>
  <si>
    <t>\n调查员能够创造魔法火焰</t>
  </si>
  <si>
    <t>\n火焰无法被普通方式扑灭，必须使用魔法或特殊手段。【增益特质】【影响自己】【永久持续】【被动生效】</t>
  </si>
  <si>
    <t>【地狱黑火】</t>
  </si>
  <si>
    <t>\n调查员能够召唤地狱之火</t>
  </si>
  <si>
    <t>\n造成2d8火焰伤害且无视抗性，但消耗1d6SAN。【增益特质】【影响范围】【永久持续】【主动生效】【消耗SAN】</t>
  </si>
  <si>
    <t>【斩击抗性】</t>
  </si>
  <si>
    <t>\n调查员抵抗斩击伤害</t>
  </si>
  <si>
    <t>\n受到斩击伤害时减免2点。【增益特质】【影响自己】【永久持续】【被动生效】</t>
  </si>
  <si>
    <t>【刀剑免疫】</t>
  </si>
  <si>
    <t>\n调查员免疫普通刀剑</t>
  </si>
  <si>
    <t>\n非魔法刀剑无法造成伤害。【增益特质】【影响自己】【永久持续】【被动生效】</t>
  </si>
  <si>
    <t>【穿刺抗性】</t>
  </si>
  <si>
    <t>\n调查员抵抗穿刺伤害</t>
  </si>
  <si>
    <t>\n受到穿刺伤害时减免2点。【增益特质】【影响自己】【永久持续】【被动生效】</t>
  </si>
  <si>
    <t>【穿透免疫】</t>
  </si>
  <si>
    <t>\n调查员免疫普通穿刺</t>
  </si>
  <si>
    <t>\n非魔法穿刺攻击无法造成伤害。【增益特质】【影响自己】【永久持续】【被动生效】</t>
  </si>
  <si>
    <t>【重击抗性】</t>
  </si>
  <si>
    <t>\n调查员抵抗重击伤害</t>
  </si>
  <si>
    <t>\n重击伤害减半。【增益特质】【影响自己】【永久持续】【被动生效】</t>
  </si>
  <si>
    <t>【眩晕免疫】</t>
  </si>
  <si>
    <t>\n调查员免疫眩晕效果</t>
  </si>
  <si>
    <t>\n不会因攻击而眩晕。【增益特质】【影响自己】【永久持续】【被动生效】</t>
  </si>
  <si>
    <t>【射击抗性】</t>
  </si>
  <si>
    <t>\n调查员抵抗射击伤害</t>
  </si>
  <si>
    <t>\n受到射击伤害时减免2点。【增益特质】【影响自己】【永久持续】【被动生效】</t>
  </si>
  <si>
    <t>【射击免疫】</t>
  </si>
  <si>
    <t>\n调查员免疫普通射击</t>
  </si>
  <si>
    <t>\n非魔法射击无法造成伤害。【增益特质】【影响自己】【永久持续】【被动生效】</t>
  </si>
  <si>
    <t>【武器缴械】</t>
  </si>
  <si>
    <t>\n调查员能够缴械对手</t>
  </si>
  <si>
    <t>\n成功战斗检定可缴械目标武器，但自身下一回合无法攻击。【增益特质】【影响单目标】【永久持续】【主动生效】</t>
  </si>
  <si>
    <t>【精准投掷】</t>
  </si>
  <si>
    <t>\n调查员经过长期训练，能够精准投掷物品击落敌人手中的武器</t>
  </si>
  <si>
    <t>\n成功投掷技能检定后，可击落5米内目标手中武器，目标需进行DEX检定（难度50）防止武器掉落，使用后本回合无法进行闪避。【增益特质】【影响单目标】【每场景1次】【主动生效】</t>
  </si>
  <si>
    <t>\n调查员掌握破坏武器结构的技巧，能够有效损坏敌方装备</t>
  </si>
  <si>
    <t>\n近战攻击命中后，可放弃造成伤害，目标武器耐久度减少1d6点（普通武器耐久5-8），对魔法武器无效。【增益特质】【影响单目标】【每战斗1次】【主动生效】</t>
  </si>
  <si>
    <t>【蓄力斩击】</t>
  </si>
  <si>
    <t>\n调查员擅长蓄力斩击，能够在攻击时爆发出更强的力量</t>
  </si>
  <si>
    <t>\n使用斩击武器时伤害+1d4，但攻击后本回合闪避和招架技能-20%，持续到下一回合开始。【增益特质】【影响自己】【永久持续】【被动生效】</t>
  </si>
  <si>
    <t>【擒拿大师】</t>
  </si>
  <si>
    <t>\n调查员精通擒拿格斗，能够有效控制对手</t>
  </si>
  <si>
    <t>\n斗殴技能+10%，进行擒拿检定时获得一个奖励骰，成功擒拿后目标逃脱难度+10。【增益特质】【影响单目标】【永久持续】【被动生效】</t>
  </si>
  <si>
    <t>【致命重击】</t>
  </si>
  <si>
    <t>\n调查员的攻击更加致命，能够造成严重的创伤</t>
  </si>
  <si>
    <t>\n重击伤害额外+1d8，但普通攻击命中率-15%，该效果在战斗开始时自动生效。【增益特质】【影响单目标】【永久持续】【被动生效】</t>
  </si>
  <si>
    <t>【破甲攻击】</t>
  </si>
  <si>
    <t>\n调查员掌握攻击弱点技巧，能够有效穿透护甲</t>
  </si>
  <si>
    <t>\n攻击有30%几率无视3点护甲，但对无护甲目标伤害-1d4，此效果对魔法护甲减半。【增益特质】【影响单目标】【永久持续】【被动生效】</t>
  </si>
  <si>
    <t>【绝境信号】</t>
  </si>
  <si>
    <t>\n调查员在生命垂危时本能地发出求救信号</t>
  </si>
  <si>
    <t>\n生命值低于10%时自动发送精确位置求救信号，信号有80%几率被接收，使用后24小时内幸运检定增加惩罚骰。【增益特质】【影响自己】【每模组1次】【触发生效】</t>
  </si>
  <si>
    <t>【爆发疾走】</t>
  </si>
  <si>
    <t>\n调查员能够在危急时刻爆发出惊人的速度</t>
  </si>
  <si>
    <t>\n消耗5点MP，本回合移动距离×2.5，但下回合移动速度减半，且无法进行闪避。【增益特质】【影响自己】【每场景2次】【主动消耗】</t>
  </si>
  <si>
    <t>【绝境潜能】</t>
  </si>
  <si>
    <t>\n调查员在生命危急时能够激发出潜在的能力</t>
  </si>
  <si>
    <t>\n生命值低于25%时，所有属性检定获得一个奖励骰，战斗技能+15%，但每回合结束时需进行CON检定（难度40）避免昏迷。【增益特质】【影响自己】【永久持续】【触发生效】</t>
  </si>
  <si>
    <t>【徒手专家】</t>
  </si>
  <si>
    <t>\n调查员经过严格训练，精通各种徒手格斗技巧</t>
  </si>
  <si>
    <t>\n徒手攻击伤害+1d4，对抗持武器对手时闪避获得奖励骰，擒拿成功率+20%。【增益特质】【影响单目标】【永久持续】【被动生效】</t>
  </si>
  <si>
    <t>【痛苦共感】</t>
  </si>
  <si>
    <t>\n调查员能够通过接触感知他人的痛苦和伤势</t>
  </si>
  <si>
    <t>\n接触目标可准确感知其生命值状态和伤势程度，但每次使用需进行SAN检定（难度50），失败则损失0/1d2 SAN。【增益特质】【影响单目标】【每场景3次】【主动消耗】</t>
  </si>
  <si>
    <t>【痛苦耐受】</t>
  </si>
  <si>
    <t>\n调查员拥有超乎常人的痛苦承受能力</t>
  </si>
  <si>
    <t>\n所有与痛苦相关的CON检定获得两个奖励骰，对流血和中毒效果的抵抗检定+25%。【增益特质】【影响自己】【永久持续】【被动生效】</t>
  </si>
  <si>
    <t>【磐石防御】</t>
  </si>
  <si>
    <t>\n调查员掌握特殊的防御姿态，能够稳如磐石</t>
  </si>
  <si>
    <t>\n进入防御姿态时，免疫击退和倒地效果，闪避和招架+15%，但本回合无法进行攻击。【增益特质】【影响自己】【每回合1次】【主动生效】</t>
  </si>
  <si>
    <t>【完胜姿态】</t>
  </si>
  <si>
    <t>\n调查员在完好状态下能够发挥出超常水平</t>
  </si>
  <si>
    <t>\n生命值全满时，所有技能检定获得一个奖励骰，先攻权+10，受到任何伤害后本场景效果消失。【增益特质】【影响自己】【永久持续】【触发生效】</t>
  </si>
  <si>
    <t>【坚韧意志】</t>
  </si>
  <si>
    <t>\n调查员在受伤状态下反而更加意志坚定</t>
  </si>
  <si>
    <t>\n受伤状态下（生命值低于最大值），意志检定获得两个奖励骰，对恐惧效果的抵抗+30%。【增益特质】【影响自己】【永久持续】【触发生效】</t>
  </si>
  <si>
    <t>【生命屏障】</t>
  </si>
  <si>
    <t>\n调查员能够通过意志力创造临时的生命屏障</t>
  </si>
  <si>
    <t>\n消耗8点MP获得1d8+POW/5的临时生命值，持续到场景结束或屏障被击破，使用后下一回合无法行动。【增益特质】【影响自己】【每场景1次】【主动消耗】</t>
  </si>
  <si>
    <t>\n调查员擅长在战斗开始时发动致命一击</t>
  </si>
  <si>
    <t>\n战斗开始后的首次攻击伤害+1d6，命中率+25%，此效果仅在第一回合有效。【增益特质】【影响单目标】【每战斗1次】【被动生效】</t>
  </si>
  <si>
    <t>【回光返照】</t>
  </si>
  <si>
    <t>\n调查员在濒死时能够爆发生命最后的力量</t>
  </si>
  <si>
    <t>\n生命值降至0时自动恢复1d4+CON/10点HP，但之后CON临时-15，持续时间24小时，效果结束后进入濒死状态。【增益特质】【影响自己】【每模组1次】【触发生效】</t>
  </si>
  <si>
    <t>【死亡感悟】</t>
  </si>
  <si>
    <t>\n调查员从濒死体验中获得深刻的精神感悟</t>
  </si>
  <si>
    <t>\n从濒死状态恢复后，SAN恢复1d8点，对恐惧的免疫+20%，持续48小时，但会获得1点克苏鲁神话技能。【增益特质】【影响自己】【每模组1次】【触发生效】</t>
  </si>
  <si>
    <t>【死亡诅咒】</t>
  </si>
  <si>
    <t>\n调查员掌握通过书写真名施加诅咒的禁忌知识</t>
  </si>
  <si>
    <t>\n书写目标真名进行诅咒，需进行POW对抗检定，成功则目标24小时内所有检定增加一个惩罚骰，消耗1d4 SAN，对同一目标重复使用无效。【减益特质】【影响单目标】【每日1次】【主动消耗】</t>
  </si>
  <si>
    <t>【死亡威压】</t>
  </si>
  <si>
    <t>\n调查员能够释放令人恐惧的死亡气息</t>
  </si>
  <si>
    <t>\n消耗10点MP和1d3 SAN，周围10米内所有目标需进行SAN检定（难度50），失败则SAN-1d3，成功减半，每日限一次。【减益特质】【影响范围】【每日1次】【主动消耗】</t>
  </si>
  <si>
    <t>【驱魔专家】</t>
  </si>
  <si>
    <t>\n调查员专门研究对抗超自然存在的方法</t>
  </si>
  <si>
    <t>\n对抗超自然存在时，所有检定获得一个奖励骰，驱魔仪式成功率+20%，但会更容易被超自然存在感知。【增益特质】【影响自己】【永久持续】【被动生效】</t>
  </si>
  <si>
    <t>【饱食之力】</t>
  </si>
  <si>
    <t>\n调查员能够通过进食储备更多能量</t>
  </si>
  <si>
    <t>\n饱食状态下，CON和STR相关检定获得一个奖励骰，体力恢复速度×1.5，但饥饿时所有检定增加惩罚骰。【增益特质】【影响自己】【永久持续】【触发生效】</t>
  </si>
  <si>
    <t>【百毒不侵】</t>
  </si>
  <si>
    <t>\n调查员拥有异常强大的免疫系统</t>
  </si>
  <si>
    <t>\n对抗疾病和毒素的CON检定获得两个奖励骰，普通毒素免疫，但对魔法毒素效果减半。【增益特质】【影响自己】【永久持续】【被动生效】</t>
  </si>
  <si>
    <t>【厄运预兆】</t>
  </si>
  <si>
    <t>\n调查员能够提前感知到致命危险的到来</t>
  </si>
  <si>
    <t>\n每日一次，KP必须提示即将到来的致命危险（如陷阱、伏击等），但具体细节需要调查员自行判断。【增益特质】【影响自己】【每日1次】【主动生效】</t>
  </si>
  <si>
    <t>\n调查员因各种原因被多方势力通缉</t>
  </si>
  <si>
    <t>\n所有潜行和伪装检定增加一个惩罚骰，但在战斗中获得+10先攻权，且被俘时赎金价值×2。【减益特质】【影响自己】【永久持续】【被动生效】</t>
  </si>
  <si>
    <t>【海洋之子】</t>
  </si>
  <si>
    <t>\n调查员与海洋有着神秘的联系</t>
  </si>
  <si>
    <t>\n所有航海相关技能+15%，游泳技能+25%，但在陆地上幸运值-15，且对深海恐惧症无抵抗。【增益特质】【影响自己】【永久持续】【被动生效】</t>
  </si>
  <si>
    <t>【传奇声望】</t>
  </si>
  <si>
    <t>\n调查员因过往事迹而声名显赫</t>
  </si>
  <si>
    <t>\n社交技能+15%，说服和信誉检定获得奖励骰，但会吸引嫉妒者和挑战者，遭遇随机事件的概率+20%。【增益特质】【影响自己】【永久持续】【被动生效】</t>
  </si>
  <si>
    <t>\n调查员掌握加速生物衰老的禁忌知识</t>
  </si>
  <si>
    <t>\n接触可使植物立即枯萎，对动物造成1d6+POW/10衰老伤害，消耗3点MP和0/1d2 SAN，每日限三次。【减益特质】【影响单目标】【每日3次】【主动消耗】</t>
  </si>
  <si>
    <t>【幽光召唤】</t>
  </si>
  <si>
    <t>\n调查员掌握召唤微弱幽光的法术</t>
  </si>
  <si>
    <t>\n消耗1点MP制造相当于火炬亮度的诡异光源，持续1小时，光源呈青绿色，施法时需进行法术检定（难度40）。【增益特质】【影响单目标】【每场景3次】【主动消耗】</t>
  </si>
  <si>
    <t>【火焰免疫】</t>
  </si>
  <si>
    <t>\n调查员对火焰有着特殊的亲和力</t>
  </si>
  <si>
    <t>\n完全免疫普通火焰伤害，火系法术效果+20%，但受到魔法火焰伤害×1.5，且对寒冷伤害无抗性。【增益特质】【影响自己】【永久持续】【被动生效】</t>
  </si>
  <si>
    <t>【水生亲和】</t>
  </si>
  <si>
    <t>\n调查员拥有超凡的水中运动能力</t>
  </si>
  <si>
    <t>\n游泳技能+30%，可在水中闭气CON×3秒，水中移动速度×1.5，但陆地上移动速度-10%。【增益特质】【影响自己】【永久持续】【被动生效】</t>
  </si>
  <si>
    <t>【黑暗笼罩】</t>
  </si>
  <si>
    <t>\n调查员掌握制造黑暗区域的法术</t>
  </si>
  <si>
    <t>\n消耗4点MP制造5×5米绝对黑暗区域，持续3回合，区域内所有视觉相关检定自动失败，需进行法术检定（难度50）。【增益特质】【影响范围】【每场景2次】【主动消耗】</t>
  </si>
  <si>
    <t>【缓落秘术】</t>
  </si>
  <si>
    <t>\n调查员掌握减缓下落冲击的秘术</t>
  </si>
  <si>
    <t>\n从高处坠落时伤害减少2d6，且总是以受身姿势落地，避免重伤，但对超过20米的坠落效果减半。【增益特质】【影响自己】【永久持续】【被动生效】</t>
  </si>
  <si>
    <t>【脆物破坏】</t>
  </si>
  <si>
    <t>\n调查员擅长攻击脆弱材料和结构</t>
  </si>
  <si>
    <t>\n对晶体、玻璃、陶瓷等易碎材料伤害×2，破坏建筑结构时力量检定获得奖励骰，但对韧性材料伤害-1d4。【增益特质】【影响单目标】【永久持续】【被动生效】</t>
  </si>
  <si>
    <t>【行动迟滞】</t>
  </si>
  <si>
    <t>\n调查员掌握减缓目标行动的法术</t>
  </si>
  <si>
    <t>\n成功POW对抗可使目标DEX临时-20，移动速度减半，持续3回合，消耗5点MP，需进行法术检定（难度60）。【减益特质】【影响单目标】【每场景2次】【主动消耗】</t>
  </si>
  <si>
    <t>【饥饿诅咒】</t>
  </si>
  <si>
    <t>\n调查员掌握施加饥饿感的诅咒</t>
  </si>
  <si>
    <t>\n成功POW对抗可使目标食物消耗×2，且总是处于饥饿状态，持续24小时，消耗3点MP和1点SAN，每日限一次。【减益特质】【影响单目标】【每日1次】【主动消耗】</t>
  </si>
  <si>
    <t>【快速装填】</t>
  </si>
  <si>
    <t>\n调查员掌握极速装填枪械的技巧</t>
  </si>
  <si>
    <t>\n枪械装填动作所需时间减半（如全回合动作变为半回合），但射击准确度-15%，且可能造成卡壳（大失败概率+5%）。【增益特质】【影响自己】【永久持续】【被动生效】</t>
  </si>
  <si>
    <t>【双重打击】</t>
  </si>
  <si>
    <t>\n调查员能够在一回合内进行两次攻击</t>
  </si>
  <si>
    <t>\n每回合可进行两次攻击，但每次攻击伤害-1d4，命中率-20%，且无法进行闪避。【增益特质】【影响多目标】【永久持续】【主动生效】</t>
  </si>
  <si>
    <t>【全抗提升】</t>
  </si>
  <si>
    <t>\n调查员全面提升对各种伤害的抗性</t>
  </si>
  <si>
    <t>\n所有物理伤害减免+2，但对魔法伤害和超自然伤害无效果，且移动速度-10%。【增益特质】【影响自己】【永久持续】【被动生效】</t>
  </si>
  <si>
    <t>【体魄强化】</t>
  </si>
  <si>
    <t>\n调查员通过训练获得更强健的体魄</t>
  </si>
  <si>
    <t>\nSIZ+5，HP上限+4，STR+5，但敏捷相关检定增加一个惩罚骰，潜行技能-15%。【增益特质】【影响自己】【永久持续】【被动生效】</t>
  </si>
  <si>
    <t>【厄运缠身】</t>
  </si>
  <si>
    <t>\n调查员被不幸的命运所缠绕</t>
  </si>
  <si>
    <t>\n所有幸运检定增加两个惩罚骰，但在生命值低于10%时可获得一次重投机会，每模组限一次。【减益特质】【影响自己】【永久持续】【被动生效】</t>
  </si>
  <si>
    <t>【幸运眷顾】</t>
  </si>
  <si>
    <t>\n调查员受到幸运女神的眷顾</t>
  </si>
  <si>
    <t>\n每日三次，可在任意检定前选择获得一个奖励骰，但每次使用后有10%概率触发随机不幸事件。【增益特质】【影响自己】【每日3次】【主动生效】</t>
  </si>
  <si>
    <t>【气流操控】</t>
  </si>
  <si>
    <t>\n调查员掌握操控气流的基本法术</t>
  </si>
  <si>
    <t>\n消耗3点MP制造上升气流，可使5kg以下物品漂浮，持续2回合，可用于改变投掷物轨迹。【增益特质】【影响范围】【每场景3次】【主动消耗】</t>
  </si>
  <si>
    <t>【短暂浮空】</t>
  </si>
  <si>
    <t>\n调查员能够短暂脱离地面引力</t>
  </si>
  <si>
    <t>\n消耗5点MP可浮空1回合，移动速度×2，高度不超过3米，使用后下一回合无法移动。【增益特质】【影响自己】【每场景2次】【主动消耗】</t>
  </si>
  <si>
    <t>【低空飞行】</t>
  </si>
  <si>
    <t>\n调查员掌握低空飞行的能力</t>
  </si>
  <si>
    <t>\n消耗8点MP可在离地5米内飞行，持续3回合，移动速度×3，但期间无法进行攻击。【增益特质】【影响自己】【每场景1次】【主动消耗】</t>
  </si>
  <si>
    <t>【空中技巧】</t>
  </si>
  <si>
    <t>\n调查员擅长在空中调整姿态</t>
  </si>
  <si>
    <t>\n在空中时所有敏捷检定获得一个奖励骰，坠落伤害-1d6，且可进行二次跳跃。【增益特质】【影响自己】【永久持续】【被动生效】</t>
  </si>
  <si>
    <t>【圣洁祝福】</t>
  </si>
  <si>
    <t>\n调查员获得神圣存在的祝福</t>
  </si>
  <si>
    <t>\n所有对抗邪恶存在的检定获得两个奖励骰，神圣法术效果+25%，但会被邪恶存在优先攻击。【增益特质】【影响自己】【永久持续】【被动生效】</t>
  </si>
  <si>
    <t>【伤害转化】</t>
  </si>
  <si>
    <t>\n调查员能够将伤害转化为能量</t>
  </si>
  <si>
    <t>\n可将受到物理伤害的30%转化为MP，但转化时SAN-1，且每日转化总量不超过POW×2。【增益特质】【影响自己】【永久持续】【被动生效】</t>
  </si>
  <si>
    <t>【不死图腾】</t>
  </si>
  <si>
    <t>\n调查员携带具有复活力量的图腾</t>
  </si>
  <si>
    <t>\n生命值降至0时自动激活，恢复1d6+CON/10点HP，但使用后图腾损坏，每模组限一次。【增益特质】【影响自己】【每模组1次】【触发生效】</t>
  </si>
  <si>
    <t>【快速愈合】</t>
  </si>
  <si>
    <t>\n调查员拥有超常的伤口愈合能力</t>
  </si>
  <si>
    <t>\n每小时自动恢复2点HP，自然愈合速度×2，但食物消耗×1.5，且更容易感染。【增益特质】【影响自己】【永久持续】【被动生效】</t>
  </si>
  <si>
    <t>【生命强化】</t>
  </si>
  <si>
    <t>\n调查员生命力量异常强大</t>
  </si>
  <si>
    <t>\nHP上限+6，对疾病抵抗力+30%，但体型相关检定增加惩罚骰，隐蔽难度+15。【增益特质】【影响自己】【永久持续】【被动生效】</t>
  </si>
  <si>
    <t>【致盲失明】</t>
  </si>
  <si>
    <t>\n调查员掌握使目标暂时失明的法术</t>
  </si>
  <si>
    <t>\n成功POW对抗可使目标失明1d3回合，期间所有视觉相关检定自动失败，消耗5点MP和1点SAN。【减益特质】【影响单目标】【每场景2次】【主动消耗】</t>
  </si>
  <si>
    <t>【视野扭曲】</t>
  </si>
  <si>
    <t>\n调查员能够扭曲目标的视觉感知</t>
  </si>
  <si>
    <t>\n成功法术检定（难度55）可使目标所有远程攻击增加两个惩罚骰，持续3回合，消耗4点MP。【减益特质】【影响单目标】【每场景3次】【主动消耗】</t>
  </si>
  <si>
    <t>\n调查员获得在水下呼吸的能力</t>
  </si>
  <si>
    <t>\n可在水下自由呼吸10分钟，每日限三次，使用后2小时内对干燥环境不适。【增益特质】【影响自己】【每日3次】【主动生效】</t>
  </si>
  <si>
    <t>【皮肤呼吸】</t>
  </si>
  <si>
    <t>\n调查员能够通过皮肤进行呼吸</t>
  </si>
  <si>
    <t>\n可在缺氧环境下生存CON×2秒，但水分消耗×2，且对空气污染更敏感。【增益特质】【影响自己】【永久持续】【被动生效】</t>
  </si>
  <si>
    <t>【假死龟息】</t>
  </si>
  <si>
    <t>\n调查员掌握进入假死状态的技巧</t>
  </si>
  <si>
    <t>\n可主动进入假死状态，新陈代谢减缓90%，持续1小时，期间无法感知外界，使用后需要1小时恢复。【增益特质】【影响自己】【每日1次】【主动生效】</t>
  </si>
  <si>
    <t>【真空适应】</t>
  </si>
  <si>
    <t>\n调查员能够短暂在真空中生存</t>
  </si>
  <si>
    <t>\n可在真空中生存1d6回合，但之后需要进行急救检定（难度70）避免永久性损伤。【增益特质】【影响自己】【每模组1次】【主动生效】</t>
  </si>
  <si>
    <t>【星界亲和】</t>
  </si>
  <si>
    <t>\n调查员能够适应太空环境</t>
  </si>
  <si>
    <t>\n在零重力环境中，所有DEX检定获得一个奖励骰，移动效率×1.5，但在地面环境中平衡感变差。【增益特质】【影响自己】【永久持续】【被动生效】</t>
  </si>
  <si>
    <t>【混沌汲取】</t>
  </si>
  <si>
    <t>\n调查员能够从混沌中汲取能量</t>
  </si>
  <si>
    <t>\n在混乱环境中每回合可恢复1d3 MP，但有10%概率获得随机负面效果，持续1d3回合。【增益特质】【影响自己】【永久持续】【触发生效】</t>
  </si>
  <si>
    <t>【混沌转化】</t>
  </si>
  <si>
    <t>\n调查员能够将混沌能量转化为生命或魔力</t>
  </si>
  <si>
    <t>\n可将1d3点混沌能量转化为等量HP或MP，每次转化损失0/1d3 SAN，每日限三次。【增益特质】【影响自己】【每日3次】【主动消耗】</t>
  </si>
  <si>
    <t>【伤害反冲】</t>
  </si>
  <si>
    <t>\n调查员掌握以自身为媒介释放伤害的法术</t>
  </si>
  <si>
    <t>\n消耗MP对5米内目标造成等值伤害，但自身受到一半伤害反冲，施法时需进行POW检定（难度60）。【减益特质】【影响单目标】【每场景2次】【主动消耗】</t>
  </si>
  <si>
    <t>【亡灵克星】</t>
  </si>
  <si>
    <t>\n调查员对亡灵生物具有特殊杀伤力</t>
  </si>
  <si>
    <t>\n对抗亡灵生物时所有伤害+1d6，驱散亡灵成功率+25%，但会被亡灵优先攻击。【增益特质】【影响单目标】【永久持续】【被动生效】</t>
  </si>
  <si>
    <t>\n调查员掌握快速治愈伤口的法术</t>
  </si>
  <si>
    <t>\n消耗5点MP恢复1d6点HP，只能在战斗外使用，每日限五次，过度使用可能导致肉体变异。【增益特质】【影响单目标】【每日5次】【主动消耗】</t>
  </si>
  <si>
    <t>【敏捷祝福】</t>
  </si>
  <si>
    <t>\n调查员能够暂时提升目标的敏捷性</t>
  </si>
  <si>
    <t>\n消耗3点MP使目标DEX临时+10，持续3回合，效果结束后目标会感到疲惫（DEX临时-5持续1回合）。【增益特质】【影响单目标】【每场景3次】【主动消耗】</t>
  </si>
  <si>
    <t>【跳跃增强】</t>
  </si>
  <si>
    <t>\n调查员拥有超越常人的跳跃能力</t>
  </si>
  <si>
    <t>\n跳跃距离和高度×1.5，且从5米以下高度落地不会受伤，但平衡感较差（相关检定增加惩罚骰）。【增益特质】【影响自己】【永久持续】【被动生效】</t>
  </si>
  <si>
    <t>【容易疲惫】</t>
  </si>
  <si>
    <t>\n调查员的体力恢复速度较慢</t>
  </si>
  <si>
    <t>\n连续行动3回合后，所有检定增加一个惩罚骰，需要休息整回合才能消除疲惫状态。【减益特质】【影响自己】【永久持续】【触发生效】</t>
  </si>
  <si>
    <t>【闪避强化】</t>
  </si>
  <si>
    <t>\n调查员能够暂时提升目标的闪避能力</t>
  </si>
  <si>
    <t>\n消耗4点MP使目标闪避检定获得一个奖励骰，持续3回合，但期间攻击检定增加惩罚骰。【增益特质】【影响单目标】【每场景2次】【主动消耗】</t>
  </si>
  <si>
    <t>【人形专家】</t>
  </si>
  <si>
    <t>\n调查员专门研究对抗人形生物的战术</t>
  </si>
  <si>
    <t>\n对抗人形生物时战斗技能+15%，命中率+10%，但对非人形生物伤害-1d4。【增益特质】【影响单目标】【永久持续】【被动生效】</t>
  </si>
  <si>
    <t>【人形抗性】</t>
  </si>
  <si>
    <t>\n调查员对人形生物的攻击具有特殊抗性</t>
  </si>
  <si>
    <t>\n受人形生物攻击时伤害减免2点，但对超自然生物伤害无减免效果。【增益特质】【影响自己】【永久持续】【被动生效】</t>
  </si>
  <si>
    <t>【施法精准】</t>
  </si>
  <si>
    <t>\n调查员施法时更加精准稳定</t>
  </si>
  <si>
    <t>\n所有法术检定获得一个奖励骰，但施法时间增加1回合，且MP消耗+1。【增益特质】【影响自己】【永久持续】【被动生效】</t>
  </si>
  <si>
    <t>【施法专注】</t>
  </si>
  <si>
    <t>\n调查员施法时具有极强的专注力</t>
  </si>
  <si>
    <t>\n施法时不会被普通环境干扰打断，但对精神攻击的抵抗-20%，且更容易被精神类法术影响。【增益特质】【影响自己】【永久持续】【被动生效】</t>
  </si>
  <si>
    <t>【尸鬼专家】</t>
  </si>
  <si>
    <t>\n调查员专门研究对抗尸鬼的方法</t>
  </si>
  <si>
    <t>\n对抗尸鬼时所有检定获得两个奖励骰，对尸鬼毒素免疫，但会被其他不死生物优先攻击。【增益特质】【影响单目标】【永久持续】【被动生效】</t>
  </si>
  <si>
    <t>【民俗学者】</t>
  </si>
  <si>
    <t>\n调查员精通各地民俗和传说</t>
  </si>
  <si>
    <t>\n所有民俗学、人类学相关检定获得一个奖励骰，知识技能+15%，但对现代科技了解较少。【增益特质】【影响自己】【永久持续】【被动生效】</t>
  </si>
  <si>
    <t>【梦境行者】</t>
  </si>
  <si>
    <t>\n调查员擅长在梦境中行动</t>
  </si>
  <si>
    <t>\n在梦境中所有检定获得一个奖励骰，可主动进入清醒梦状态，但可能无意中接触到危险存在。【增益特质】【影响自己】【永久持续】【被动生效】</t>
  </si>
  <si>
    <t>【机械专家】</t>
  </si>
  <si>
    <t>\n调查员精通各种机械操作和维修</t>
  </si>
  <si>
    <t>\n所有机械操作、维修相关技能+20%，电子设备使用+15%，但对超自然现象的理解较差。【增益特质】【影响自己】【永久持续】【被动生效】</t>
  </si>
  <si>
    <t>【触手克星】</t>
  </si>
  <si>
    <t>\n调查员擅长对抗触手类生物</t>
  </si>
  <si>
    <t>\n对抗触手生物时伤害+1d6，挣脱触手束缚的检定获得两个奖励骰，但SAN损失增加。【增益特质】【影响单目标】【永久持续】【被动生效】</t>
  </si>
  <si>
    <t>【召唤专家】</t>
  </si>
  <si>
    <t>\n调查员精通召唤类法术</t>
  </si>
  <si>
    <t>\n召唤类法术成功率+25%，召唤物控制力+20%，但召唤失败时后果更严重。【增益特质】【影响自己】【永久持续】【被动生效】</t>
  </si>
  <si>
    <t>【海战专家】</t>
  </si>
  <si>
    <t>\n调查员擅长在海上环境中作战</t>
  </si>
  <si>
    <t>\n在船舶或海上战斗时所有检定获得一个奖励骰，平衡感+25%，但在陆地上战斗技能-10%。【增益特质】【影响自己】【永久持续】【被动生效】</t>
  </si>
  <si>
    <t>【野兽专家】</t>
  </si>
  <si>
    <t>\n调查员擅长对抗野生动物</t>
  </si>
  <si>
    <t>\n对抗动物时所有战斗检定获得一个奖励骰，驯兽技能+20%，但对超自然野兽效果减半。【增益特质】【影响单目标】【永久持续】【被动生效】</t>
  </si>
  <si>
    <t>【昆虫克星】</t>
  </si>
  <si>
    <t>\n调查员擅长对抗昆虫类生物</t>
  </si>
  <si>
    <t>\n对抗昆虫类生物时伤害+1d4，对虫毒免疫，但可能引发昆虫群体的集中攻击。【增益特质】【影响单目标】【永久持续】【被动生效】</t>
  </si>
  <si>
    <t>【对空专家】</t>
  </si>
  <si>
    <t>\n调查员擅长对抗空中目标</t>
  </si>
  <si>
    <t>\n对抗飞行目标时远程命中+25%，可预估飞行轨迹，但对地面目标命中-10%。【增益特质】【影响单目标】【永久持续】【被动生效】</t>
  </si>
  <si>
    <t>【地面专家】</t>
  </si>
  <si>
    <t>\n调查员擅长地面战斗技巧</t>
  </si>
  <si>
    <t>\n在地面战斗时所有防御检定获得一个奖励骰，站位优势+15%，但在复杂地形中移动速度-20%。【增益特质】【影响自己】【永久持续】【被动生效】</t>
  </si>
  <si>
    <t>【隐身状态】</t>
  </si>
  <si>
    <t>\n调查员掌握使自身隐形的法术</t>
  </si>
  <si>
    <t>\n消耗8点MP获得隐身效果，持续1d3回合，移动或攻击后失效，每日限两次。【增益特质】【影响自己】【每日2次】【主动消耗】</t>
  </si>
  <si>
    <t>【潜行大师】</t>
  </si>
  <si>
    <t>\n调查员是潜行方面的大师</t>
  </si>
  <si>
    <t>\n所有潜行相关检定获得一个奖励骰，移动时不会发出声音，但在明亮环境中效果减半。【增益特质】【影响自己】【永久持续】【被动生效】</t>
  </si>
  <si>
    <t>【改变外貌】</t>
  </si>
  <si>
    <t>\n调查员掌握改变外貌的法术</t>
  </si>
  <si>
    <t>\n消耗5点MP改变外貌1小时，但声音不变，每日限三次，过度使用可能导致面部僵硬。【增益特质】【影响自己】【每日3次】【主动消耗】</t>
  </si>
  <si>
    <t>\n调查员是伪装方面的大师</t>
  </si>
  <si>
    <t>\n所有乔装和表演检定获得两个奖励骰，可模仿他人行为模式，但被识破后效果消失。【增益特质】【影响自己】【永久持续】【主动生效】</t>
  </si>
  <si>
    <t>【淬毒攻击】</t>
  </si>
  <si>
    <t>\n调查员擅长使用带毒武器</t>
  </si>
  <si>
    <t>\n成功攻击可使目标中毒，每回合损失1d3HP，持续3回合，需要提前准备毒素。【增益特质】【影响单目标】【每场景3次】【主动生效】</t>
  </si>
  <si>
    <t>\n调查员对普通状态异常免疫</t>
  </si>
  <si>
    <t>\n对中毒、疾病、麻痹等普通状态效果免疫，但对超自然状态效果无抵抗。【增益特质】【影响自己】【永久持续】【被动生效】</t>
  </si>
  <si>
    <t>【恐惧目标】</t>
  </si>
  <si>
    <t>\n调查员掌握引发目标恐惧的法术</t>
  </si>
  <si>
    <t>\n成功心理学检定可使目标陷入恐惧1d3回合，期间所有检定增加惩罚骰，消耗3点MP。【减益特质】【影响单目标】【每场景2次】【主动消耗】</t>
  </si>
  <si>
    <t>【眩晕打击】</t>
  </si>
  <si>
    <t>\n调查员掌握使目标眩晕的攻击技巧</t>
  </si>
  <si>
    <t>\n成功攻击（伤害至少1点）可使目标眩晕1回合，期间无法行动，但对大型生物无效。【增益特质】【影响单目标】【每回合1次】【被动生效】</t>
  </si>
  <si>
    <t>【嘲讽技巧】</t>
  </si>
  <si>
    <t>\n调查员掌握激怒目标的技巧</t>
  </si>
  <si>
    <t>\n成功话术检定可使目标优先攻击自己，持续1d3回合，但期间自身防御-20%。【增益特质】【影响单目标】【每场景3次】【主动生效】</t>
  </si>
  <si>
    <t>【扩容弹匣】</t>
  </si>
  <si>
    <t>\n调查员擅长改装枪械弹容量</t>
  </si>
  <si>
    <t>\n所有枪械弹容量+50%，重新装填时间+1回合，且卡壳概率+5%。【增益特质】【影响自己】【永久持续】【被动生效】</t>
  </si>
  <si>
    <t>【弹幕倾泻】</t>
  </si>
  <si>
    <t>\n调查员掌握火力压制技巧</t>
  </si>
  <si>
    <t>\n自动武器扫射时可多射击1d4发子弹，覆盖范围×1.5，但准确度-25%。【增益特质】【影响范围】【每场景2次】【主动生效】</t>
  </si>
  <si>
    <t>【枪械大师】</t>
  </si>
  <si>
    <t>\n调查员精通所有类型枪械</t>
  </si>
  <si>
    <t>\n所有枪械技能+20%，维护枪械成功率+30%，但对冷兵器技能-15%。【增益特质】【影响自己】【永久持续】【被动生效】</t>
  </si>
  <si>
    <t>【武器专家】</t>
  </si>
  <si>
    <t>\n调查员精通特定武器的使用</t>
  </si>
  <si>
    <t>\n使用擅长武器时暴击率+15%，伤害+1d4，但不擅长武器惩罚加倍。【增益特质】【影响自己】【永久持续】【被动生效】</t>
  </si>
  <si>
    <t>【精准射手】</t>
  </si>
  <si>
    <t>\n调查员是精准射击的专家</t>
  </si>
  <si>
    <t>\n远程攻击命中+25%，伤害+1，但需要额外1回合瞄准，无法进行快速射击。【增益特质】【影响单目标】【永久持续】【主动生效】</t>
  </si>
  <si>
    <t>【远程专家】</t>
  </si>
  <si>
    <t>\n调查员擅长超远程射击</t>
  </si>
  <si>
    <t>\n远程武器有效射程×1.5，极限射程×2，但近战攻击命中-20%。【增益特质】【影响自己】【永久持续】【被动生效】</t>
  </si>
  <si>
    <t>【穿甲射击】</t>
  </si>
  <si>
    <t>\n调查员掌握穿透护甲的射击技巧</t>
  </si>
  <si>
    <t>\n远程攻击有30%几率无视护甲，但对无护甲目标伤害-1d4。【增益特质】【影响单目标】【永久持续】【被动生效】</t>
  </si>
  <si>
    <t>【追踪子弹】</t>
  </si>
  <si>
    <t>\n调查员掌握使子弹追踪目标的法术</t>
  </si>
  <si>
    <t>\n消耗3点MP使下一次射击自动追踪目标，命中率+40%，但伤害减半，每日限五次。【增益特质】【影响单目标】【每日5次】【主动消耗】</t>
  </si>
  <si>
    <t>【连续扳机】</t>
  </si>
  <si>
    <t>\n调查员经过特殊训练，能够进行快速连续射击</t>
  </si>
  <si>
    <t>\n每回合可进行两次射击，每次射击命中率-15%，且第二次射击伤害-1d4。【增益特质】【影响单目标】【永久持续】【主动生效】</t>
  </si>
  <si>
    <t>【子弹时间】</t>
  </si>
  <si>
    <t>\n调查员在危急时刻能够进入特殊的感知状态</t>
  </si>
  <si>
    <t>\n每日一次，可在战斗开始时获得自动先攻权，且本回合所有闪避检定获得一个奖励骰。【增益特质】【影响自己】【每日1次】【触发生效】</t>
  </si>
  <si>
    <t>【掩体增益】</t>
  </si>
  <si>
    <t>\n调查员精通利用掩体进行防御的技巧</t>
  </si>
  <si>
    <t>\n在掩体后所有防御检定获得一个奖励骰，远程伤害减免+2，但移动时失去效果。【增益特质】【影响自己】【永久持续】【被动生效】</t>
  </si>
  <si>
    <t>【集火目标】</t>
  </si>
  <si>
    <t>\n调查员能够有效标记并指挥集火目标</t>
  </si>
  <si>
    <t>\n成功观察检定（难度60）可标记目标，所有队友对该目标远程命中+15%，持续3回合。【增益特质】【影响单目标】【每场景2次】【主动生效】</t>
  </si>
  <si>
    <t>【降低代价】</t>
  </si>
  <si>
    <t>\n调查员掌握减少法术代价的秘术</t>
  </si>
  <si>
    <t>\n所有法术的MP消耗减少2点（最低为1），SAN消耗减少1点（最低为0），但施法时间增加1回合。【增益特质】【影响自己】【永久持续】【被动生效】</t>
  </si>
  <si>
    <t>【直面恐惧】</t>
  </si>
  <si>
    <t>\n调查员能够将理智冲击转化为意志冲击</t>
  </si>
  <si>
    <t>\n当受到SAN损失时，可选择将损失值的50%转为POW临时损失（最低1点），持续1场景，结束后POW自动恢复。【增益特质】【影响自己】【永久持续】【触发生效】</t>
  </si>
  <si>
    <t>\n调查员能够暂时提升意志力至极限</t>
  </si>
  <si>
    <t>\n消耗10点MP，POW临时提升至90，持续3回合，效果结束后POW临时-10持续1场景。【增益特质】【影响自己】【每场景1次】【主动消耗】</t>
  </si>
  <si>
    <t>【超人意志】</t>
  </si>
  <si>
    <t>\n调查员能够爆发出超越常人的意志力</t>
  </si>
  <si>
    <t>\n消耗20点MP和1d4 SAN，POW临时提升至140，持续2回合，结束后陷入意志虚弱（POW临时-20持续1场景）。【增益特质】【影响自己】【每日1次】【主动消耗】</t>
  </si>
  <si>
    <t>【压倒意志】</t>
  </si>
  <si>
    <t>\n调查员能够压制目标的意志力量</t>
  </si>
  <si>
    <t>\n成功POW对抗可使目标无法施法1d6回合，消耗15点MP，对POW高于自己的目标效果减半。【减益特质】【影响单目标】【每场景1次】【主动消耗】</t>
  </si>
  <si>
    <t>【神明之志】</t>
  </si>
  <si>
    <t>\n调查员能够短暂触及神明的意志层次</t>
  </si>
  <si>
    <t>\n消耗1d20 SAN，POW临时提升至200，持续1回合，结束后POW临时-20持续24小时。【增益特质】【影响自己】【每模组1次】【主动消耗】</t>
  </si>
  <si>
    <t>【弱点抵抗】</t>
  </si>
  <si>
    <t>\n调查员经过特殊训练，能够抵抗要害攻击</t>
  </si>
  <si>
    <t>\n对要害攻击的伤害减半，且不会受到重伤效果，但对范围攻击无额外抵抗。【增益特质】【影响自己】【永久持续】【被动生效】</t>
  </si>
  <si>
    <t>【穿透抵抗】</t>
  </si>
  <si>
    <t>\n调查员对穿透性攻击具有特殊抗性</t>
  </si>
  <si>
    <t>\n对穿刺和穿透攻击获得3点额外伤害减免，但对钝击伤害无效果。【增益特质】【影响自己】【永久持续】【被动生效】</t>
  </si>
  <si>
    <t>【伤害减少】</t>
  </si>
  <si>
    <t>\n调查员能够减少受到的所有伤害</t>
  </si>
  <si>
    <t>\n所有伤害减免1点（最低为1点伤害），但对魔法伤害无效果。【增益特质】【影响自己】【永久持续】【被动生效】</t>
  </si>
  <si>
    <t>【持续回复】</t>
  </si>
  <si>
    <t>\n调查员能够持续恢复生命值</t>
  </si>
  <si>
    <t>\n每回合自动恢复1点HP，持续3回合，每日限一次，在战斗外使用时效果翻倍。【增益特质】【影响自己】【每日1次】【主动生效】</t>
  </si>
  <si>
    <t>【受击回复】</t>
  </si>
  <si>
    <t>\n调查员在受伤时能够激发恢复能力</t>
  </si>
  <si>
    <t>\n每次受到伤害时，有25%几率恢复1点HP，但对致命伤害无效。【增益特质】【影响自己】【永久持续】【被动生效】</t>
  </si>
  <si>
    <t>【能量汲取】</t>
  </si>
  <si>
    <t>\n调查员能够从周围环境中汲取能量</t>
  </si>
  <si>
    <t>\n在自然环境中每小时自动恢复1d3 MP，在城市环境中效果减半。【增益特质】【影响自己】【永久持续】【被动生效】</t>
  </si>
  <si>
    <t>【属性汲取】</t>
  </si>
  <si>
    <t>\n调查员能够暂时汲取目标的属性</t>
  </si>
  <si>
    <t>\n成功POW对抗可暂时获得目标1d3点随机属性，持续3回合，消耗5点MP。【减益特质】【影响单目标】【每场景2次】【主动消耗】</t>
  </si>
  <si>
    <t>\n调查员掌握汲取目标生命力的法术</t>
  </si>
  <si>
    <t>\n成功接触攻击可吸收1d6 HP，消耗3点MP，对不死生物无效。【增益特质】【影响单目标】【每场景3次】【主动消耗】</t>
  </si>
  <si>
    <t>\n调查员能够汲取目标的魔力</t>
  </si>
  <si>
    <t>\n成功POW对抗可吸收目标1d6 MP，消耗3点MP，对无魔力目标无效。【增益特质】【影响单目标】【每场景3次】【主动消耗】</t>
  </si>
  <si>
    <t>【愤怒战吼】</t>
  </si>
  <si>
    <t>\n调查员能够发出震慑敌人的战吼</t>
  </si>
  <si>
    <t>\n成功恐吓检定（难度50）可使目标所有检定增加一个惩罚骰，持续2回合。【减益特质】【影响单目标】【每场景2次】【主动生效】</t>
  </si>
  <si>
    <t>【绝望战嚎】</t>
  </si>
  <si>
    <t>\n调查员能够发出令人绝望的嚎叫</t>
  </si>
  <si>
    <t>\n消耗5点SAN，周围10米内所有目标需进行SAN检定（难度50），失败则SAN-1d3。【减益特质】【影响范围】【每场景1次】【主动消耗】</t>
  </si>
  <si>
    <t>【战争光环】</t>
  </si>
  <si>
    <t>\n调查员能够激发团队战意的光环</t>
  </si>
  <si>
    <t>\n10米内所有友方战斗技能+15%，伤害+1，持续3回合，消耗8点MP。【增益特质】【影响范围】【每场景1次】【主动消耗】</t>
  </si>
  <si>
    <t>【骸骨复苏】</t>
  </si>
  <si>
    <t>\n调查员掌握复苏骸骨作战的法术</t>
  </si>
  <si>
    <t>\n消耗8点MP和1点SAN复苏一具骸骨作战，属性为STR 40, CON 30, SIZ 40，持续1d6回合。【增益特质】【影响单目标】【每场景2次】【主动消耗】</t>
  </si>
  <si>
    <t>【亡灵光环】</t>
  </si>
  <si>
    <t>\n调查员能够强化范围内的亡灵生物</t>
  </si>
  <si>
    <t>\n10米内所有亡灵生物伤害+1d4，对驱散抵抗+25%，持续3回合，消耗6点MP。【增益特质】【影响范围】【每场景2次】【主动消耗】</t>
  </si>
  <si>
    <t>【亡灵复苏】</t>
  </si>
  <si>
    <t>\n调查员掌握复活亡灵仆从的法术</t>
  </si>
  <si>
    <t>\n消耗15点MP和1d4 SAN复活一个亡灵仆从，属性为基础值+10%，持续1场景。【增益特质】【影响单目标】【每日1次】【主动消耗】</t>
  </si>
  <si>
    <t>【增益链接】</t>
  </si>
  <si>
    <t>\n调查员能够与友方分享增益效果</t>
  </si>
  <si>
    <t>\n可将自身获得的一个增益效果分享给10米内一个友方，持续回合数减半，消耗5点MP。【增益特质】【影响单目标】【每场景3次】【主动消耗】</t>
  </si>
  <si>
    <t>【群体光环】</t>
  </si>
  <si>
    <t>\n调查员能够施展群体防护光环</t>
  </si>
  <si>
    <t>\n10米内所有友方获得2点伤害减免，持续3回合，消耗10点MP。【增益特质】【影响范围】【每场景1次】【主动消耗】</t>
  </si>
  <si>
    <t>【仆从激励】</t>
  </si>
  <si>
    <t>\n调查员能够激励所有仆从和召唤物</t>
  </si>
  <si>
    <t>\n所有仆从和召唤物伤害+1d3，对控制抵抗+20%，持续3回合，消耗5点MP。【增益特质】【影响多目标】【每场景2次】【主动消耗】</t>
  </si>
  <si>
    <t>【召唤进阶】</t>
  </si>
  <si>
    <t>\n调查员掌握强化召唤物的法术</t>
  </si>
  <si>
    <t>\n召唤生物所有属性+10%，持续时间×1.5，但MP消耗增加50%。【增益特质】【影响单目标】【永久持续】【被动生效】</t>
  </si>
  <si>
    <t>【战斗狂热】</t>
  </si>
  <si>
    <t>\n调查员在受伤时能够进入狂热状态</t>
  </si>
  <si>
    <t>\n生命值低于50%时，所有攻击伤害+1d4，命中率+10%，但防御-15%。【增益特质】【影响自己】【永久持续】【触发生效】</t>
  </si>
  <si>
    <t>【群体狂热】</t>
  </si>
  <si>
    <t>\n调查员能够激发团队的狂热战意</t>
  </si>
  <si>
    <t>\n10米内所有友方攻击伤害+1，命中率+5%，持续3回合，消耗8点MP。【增益特质】【影响范围】【每场景1次】【主动消耗】</t>
  </si>
  <si>
    <t>【深层感悟】</t>
  </si>
  <si>
    <t>\n调查员能够深度感悟各种知识</t>
  </si>
  <si>
    <t>\n所有知识类技能检定获得一个奖励骰，研究速度×1.5。【增益特质】【影响自己】【永久持续】【被动生效】</t>
  </si>
  <si>
    <t>【灵光启迪】</t>
  </si>
  <si>
    <t>\n调查员能够获得突然的灵感启迪</t>
  </si>
  <si>
    <t>\n每日一次，可自动成功一次智力或知识相关检定，但之后2小时内相关检定增加惩罚骰。【增益特质】【影响自己】【每日1次】【主动生效】</t>
  </si>
  <si>
    <t>【智慧传承】</t>
  </si>
  <si>
    <t>\n调查员继承了古老的智慧传承</t>
  </si>
  <si>
    <t>\n所有古老知识、历史、考古相关检定获得一个奖励骰，但会偶尔出现记忆混乱。【增益特质】【影响自己】【永久持续】【被动生效】</t>
  </si>
  <si>
    <t>【神代觉醒】</t>
  </si>
  <si>
    <t>\n调查员能够觉醒神代时期的记忆</t>
  </si>
  <si>
    <t>\n消耗1d10 SAN，所有技能临时+20%，持续1场景，效果结束后所有技能临时-10%持续6小时。【增益特质】【影响自己】【每模组1次】【主动消耗】</t>
  </si>
  <si>
    <t>【稳定输出】</t>
  </si>
  <si>
    <t>\n所有伤害掷骰取平均值（如1d6取3，1d8取4），但暴击几率减半。【增益特质】【影响自己】【永久持续】【被动生效】</t>
  </si>
  <si>
    <t>【浮动输出】</t>
  </si>
  <si>
    <t>\n调查员的伤害输出极不稳定</t>
  </si>
  <si>
    <t>\n伤害掷骰范围扩大（如1d6变为1d8），但最小伤害为1，暴击时伤害×3。【增益特质】【影响自己】【永久持续】【被动生效】</t>
  </si>
  <si>
    <t>【线性输出】</t>
  </si>
  <si>
    <t>\n调查员伤害输出稳定增长</t>
  </si>
  <si>
    <t>\n每次连续对同一目标攻击伤害+1，最高+5，切换目标后重置。【增益特质】【影响单目标】【永久持续】【被动生效】</t>
  </si>
  <si>
    <t>【弱化掩体】</t>
  </si>
  <si>
    <t>\n调查员能够有效弱化敌方掩体</t>
  </si>
  <si>
    <t>\n成功爆破检定（难度60）可使掩体防护效果减半，持续3回合。【减益特质】【影响单目标】【每场景2次】【主动生效】</t>
  </si>
  <si>
    <t>【危险改装】</t>
  </si>
  <si>
    <t>\n调查员能够进行危险的武器改装</t>
  </si>
  <si>
    <t>\n武器伤害+1d6，命中率+10%，但有15%几率故障（需要维修检定）。【增益特质】【影响自己】【永久持续】【主动生效】</t>
  </si>
  <si>
    <t>【机械故障】</t>
  </si>
  <si>
    <t>\n调查员使用的机械设备容易出故障</t>
  </si>
  <si>
    <t>\n所有机械使用检定增加一个惩罚骰，但维修检定时获得一个奖励骰。【减益特质】【影响自己】【永久持续】【被动生效】</t>
  </si>
  <si>
    <t>【格斗射击】</t>
  </si>
  <si>
    <t>\n调查员掌握在近战格斗中射击的技巧</t>
  </si>
  <si>
    <t>\n近战状态下可进行射击，但命中-25%，且无法进行瞄准。【增益特质】【影响单目标】【永久持续】【主动生效】</t>
  </si>
  <si>
    <t>【弱点洞悉】</t>
  </si>
  <si>
    <t>\n调查员能够洞察目标的致命弱点</t>
  </si>
  <si>
    <t>\n成功观察检定（难度70）可使下一次攻击必定暴击，消耗整回合行动。【增益特质】【影响单目标】【每场景1次】【主动生效】</t>
  </si>
  <si>
    <t>【治疗诅咒】</t>
  </si>
  <si>
    <t>\n调查员能够诅咒目标的治疗效果</t>
  </si>
  <si>
    <t>\n成功法术检定（难度60）可使目标受到的治疗效果减半，持续3回合，消耗4点MP。【减益特质】【影响单目标】【每场景2次】【主动消耗】</t>
  </si>
  <si>
    <t>【生命诅咒】</t>
  </si>
  <si>
    <t>\n调查员能够诅咒目标的生命力</t>
  </si>
  <si>
    <t>\n成功POW对抗可使目标HP上限-1d6，持续1场景，消耗6点MP和1点SAN。【减益特质】【影响单目标】【每场景1次】【主动消耗】</t>
  </si>
  <si>
    <t>【冰霜穿透】</t>
  </si>
  <si>
    <t>\n调查员的冰霜法术具有极强穿透力</t>
  </si>
  <si>
    <t>\n冰霜攻击有30%几率无视目标冰霜抗性，但对火焰抗性目标效果减半。【增益特质】【影响单目标】【永久持续】【被动生效】</t>
  </si>
  <si>
    <t>【冰霜溅射】</t>
  </si>
  <si>
    <t>\n调查员的冰霜法术能够产生溅射效果</t>
  </si>
  <si>
    <t>\n冰霜攻击对主要目标周围2米内造成一半伤害，消耗额外2点MP。【增益特质】【影响范围】【永久持续】【被动生效】</t>
  </si>
  <si>
    <t>【数值增益】</t>
  </si>
  <si>
    <t>\n调查员能够暂时增益目标属性</t>
  </si>
  <si>
    <t>\n消耗3点MP使目标一个属性临时+5，持续3回合，每日限五次。【增益特质】【影响单目标】【每日5次】【主动消耗】</t>
  </si>
  <si>
    <t>【检定增益】</t>
  </si>
  <si>
    <t>\n调查员能够增益目标的检定</t>
  </si>
  <si>
    <t>\n消耗5点MP使目标下一个检定获得一个奖励骰，每日限三次。【增益特质】【影响单目标】【每日3次】【主动消耗】</t>
  </si>
  <si>
    <t>【虚空之毒】</t>
  </si>
  <si>
    <t>\n调查员能够施放侵蚀魔力的虚空毒素</t>
  </si>
  <si>
    <t>\n成功攻击可使目标每回合损失1点MP，持续3回合，对无魔力的目标无效。【减益特质】【影响单目标】【每场景3次】【主动生效】</t>
  </si>
  <si>
    <t>【舍身底力】</t>
  </si>
  <si>
    <t>\n调查员能够通过消耗生命来激发潜在力量</t>
  </si>
  <si>
    <t>\n每消耗2点HP，所有属性临时+1，持续3回合，每日最多消耗10点HP。【增益特质】【影响自己】【每日5次】【主动消耗】</t>
  </si>
  <si>
    <t>【死战不退】</t>
  </si>
  <si>
    <t>\n调查员在濒死状态下仍能坚持战斗</t>
  </si>
  <si>
    <t>\n生命值低于10%时，所有防御检定获得两个奖励骰，对恐惧效果免疫。【增益特质】【影响自己】【永久持续】【触发生效】</t>
  </si>
  <si>
    <t>【石化盔甲】</t>
  </si>
  <si>
    <t>\n调查员掌握将护甲石化的法术</t>
  </si>
  <si>
    <t>\n消耗8点MP使护甲防护效果×2，但移动速度减半，持续3回合。【增益特质】【影响自己】【每场景2次】【主动消耗】</t>
  </si>
  <si>
    <t>【水晶盔甲】</t>
  </si>
  <si>
    <t>\n调查员掌握制造水晶护甲的法术</t>
  </si>
  <si>
    <t>\n消耗10点MP获得5点魔法护甲，对切割和穿刺伤害免疫，但对钝击伤害无防护。【增益特质】【影响自己】【每场景1次】【主动消耗】</t>
  </si>
  <si>
    <t>【石化雕像】</t>
  </si>
  <si>
    <t>\n调查员能够暂时进入石化状态</t>
  </si>
  <si>
    <t>\n进入完全石化状态，获得伤害免疫，但无法行动，持续1d3回合，消耗6点MP。【增益特质】【影响自己】【每场景1次】【主动消耗】</t>
  </si>
  <si>
    <t>【水晶雕像】</t>
  </si>
  <si>
    <t>\n调查员能够暂时水晶化</t>
  </si>
  <si>
    <t>\n进入水晶状态，法术抗性+50%，反射指向性法术，但物理伤害×2，持续2回合。【增益特质】【影响自己】【每场景1次】【主动消耗】</t>
  </si>
  <si>
    <t>【兴奋醉酒】</t>
  </si>
  <si>
    <t>\n调查员在兴奋状态下表现更佳</t>
  </si>
  <si>
    <t>\n处于兴奋状态时所有检定获得一个奖励骰，但效果结束后所有检定增加惩罚骰持续1小时。【增益特质】【影响自己】【永久持续】【触发生效】</t>
  </si>
  <si>
    <t>【镇静专注】</t>
  </si>
  <si>
    <t>\n调查员在镇静状态下极度专注</t>
  </si>
  <si>
    <t>\n处于镇静状态时所有智力相关检定获得两个奖励骰，研究效率×2。【增益特质】【影响自己】【永久持续】【触发生效】</t>
  </si>
  <si>
    <t>【增益反射】</t>
  </si>
  <si>
    <t>\n调查员能够反射增益效果</t>
  </si>
  <si>
    <t>\n可将指向自身的增益效果反射给施法者，消耗5点MP，每日限三次。【增益特质】【影响单目标】【每日3次】【主动消耗】</t>
  </si>
  <si>
    <t>【伤害反弹】</t>
  </si>
  <si>
    <t>\n调查员能够反弹所受伤害</t>
  </si>
  <si>
    <t>\n可将受到物理伤害的25%反弹给攻击者，但对范围伤害无效。【增益特质】【影响自己】【永久持续】【被动生效】</t>
  </si>
  <si>
    <t>【荆棘护甲】</t>
  </si>
  <si>
    <t>\n调查员掌握制造荆棘护甲的法术</t>
  </si>
  <si>
    <t>\n近战攻击者受到1d4反击伤害，持续3回合，消耗4点MP。【增益特质】【影响自己】【每场景2次】【主动消耗】</t>
  </si>
  <si>
    <t>【法术反弹】</t>
  </si>
  <si>
    <t>\n调查员掌握反弹法术的技巧</t>
  </si>
  <si>
    <t>\n有20%几率反弹指向自身的法术，反弹成功时消耗3点MP。【增益特质】【影响自己】【永久持续】【被动生效】</t>
  </si>
  <si>
    <t>【子弹偏转】</t>
  </si>
  <si>
    <t>\n调查员能够偏转子弹轨迹</t>
  </si>
  <si>
    <t>\n对射击伤害获得4点额外护甲，但对近战攻击无效果。【增益特质】【影响自己】【永久持续】【被动生效】</t>
  </si>
  <si>
    <t>【状态绝缘】</t>
  </si>
  <si>
    <t>\n调查员对普通状态效果免疫</t>
  </si>
  <si>
    <t>\n免疫中毒、疾病、麻痹等普通状态效果，但对超自然状态无抵抗。【增益特质】【影响自己】【永久持续】【被动生效】</t>
  </si>
  <si>
    <t>【诅咒转移】</t>
  </si>
  <si>
    <t>\n调查员能够转移自身诅咒</t>
  </si>
  <si>
    <t>\n可将自身的一个诅咒效果转移给其他目标，消耗1d6 SAN，每日限一次。【增益特质】【影响单目标】【每日1次】【主动消耗】</t>
  </si>
  <si>
    <t>【牺牲充能】</t>
  </si>
  <si>
    <t>\n调查员能够通过牺牲恢复魔力</t>
  </si>
  <si>
    <t>\n可永久降低1点随机属性换取10点MP恢复，每模组限一次。【增益特质】【影响自己】【每模组1次】【主动消耗】</t>
  </si>
  <si>
    <t>【牺牲增益】</t>
  </si>
  <si>
    <t>\n调查员能够通过牺牲获得增益</t>
  </si>
  <si>
    <t>\n消耗1d6 HP使下一个检定自动成功，每日限三次。【增益特质】【影响自己】【每日3次】【主动消耗】</t>
  </si>
  <si>
    <t>【魔力治愈】</t>
  </si>
  <si>
    <t>\n调查员掌握用魔力治疗伤口的法术</t>
  </si>
  <si>
    <t>\n每消耗2点MP恢复1点HP，每日限十次，过度使用可能导致魔力衰竭。【增益特质】【影响单目标】【每日10次】【主动消耗】</t>
  </si>
  <si>
    <t>【法术增幅】</t>
  </si>
  <si>
    <t>\n调查员掌握增幅法术效果的技巧</t>
  </si>
  <si>
    <t>\n消耗双倍MP，法术效果×1.5，但施法时间增加1回合。【增益特质】【影响自己】【永久持续】【主动生效】</t>
  </si>
  <si>
    <t>【反转效果】</t>
  </si>
  <si>
    <t>\n调查员能够反转魔法效果</t>
  </si>
  <si>
    <t>\n有15%几率将负面魔法效果转为正面效果，反转成功时消耗5点MP。【增益特质】【影响自己】【永久持续】【被动生效】</t>
  </si>
  <si>
    <t>【代替行动】</t>
  </si>
  <si>
    <t>\n调查员能够代替他人进行规避</t>
  </si>
  <si>
    <t>\n可代替3米内一个友方进行闪避检定，成功时代替承受伤害，每日限三次。【增益特质】【影响单目标】【每日3次】【主动生效】</t>
  </si>
  <si>
    <t>【代替施法】</t>
  </si>
  <si>
    <t>\n调查员能够代替他人施法</t>
  </si>
  <si>
    <t>\n可代替3米内一个友方进行施法检定，但承受双倍MP和SAN消耗。【增益特质】【影响单目标】【每场景2次】【主动消耗】</t>
  </si>
  <si>
    <t>【指定牺牲】</t>
  </si>
  <si>
    <t>\n调查员能够指定伤害转移目标</t>
  </si>
  <si>
    <t>\n可将自身受到的伤害转移给10米内指定目标，消耗1d10 SAN，每日限一次。【增益特质】【影响单目标】【每日1次】【主动消耗】</t>
  </si>
  <si>
    <t>\n调查员引起了邪神的注视</t>
  </si>
  <si>
    <t>\n所有幸运检定增加一个惩罚骰，但魔法效果+25%，施法成功率+15%。【减益特质】【影响自己】【永久持续】【被动生效】</t>
  </si>
  <si>
    <t>【邪神祝福】</t>
  </si>
  <si>
    <t>\n调查员获得邪神的黑暗祝福</t>
  </si>
  <si>
    <t>\n所有属性临时+10，但每日自动损失1d6 SAN，效果持续24小时。【增益特质】【影响自己】【每日1次】【主动生效】</t>
  </si>
  <si>
    <t>【邪神眷顾】</t>
  </si>
  <si>
    <t>\n调查员受到邪神的特殊眷顾</t>
  </si>
  <si>
    <t>\n生命值降至0时自动复活并恢复50%HP，但永久失去1d20 SAN，每模组限一次。【增益特质】【影响自己】【每模组1次】【触发生效】</t>
  </si>
  <si>
    <t>【邪神使徒】</t>
  </si>
  <si>
    <t>\n调查员成为邪神的使徒</t>
  </si>
  <si>
    <t>\n所有魔法检定获得两个奖励骰，法术效果+30%，但所有社交技能-20%。【增益特质】【影响自己】【永久持续】【被动生效】</t>
  </si>
  <si>
    <t>【积蓄伤害】</t>
  </si>
  <si>
    <t>\n调查员掌握积蓄力量一击的技巧</t>
  </si>
  <si>
    <t>\n可积蓄一回合行动，下回合攻击伤害×2，但期间无法进行防御。【增益特质】【影响自己】【每场景2次】【主动生效】</t>
  </si>
  <si>
    <t>【沉默爆发】</t>
  </si>
  <si>
    <t>\n调查员在沉寂后爆发出强大力量</t>
  </si>
  <si>
    <t>\n连续3回合未行动后，下次攻击伤害×2，命中率+25%。【增益特质】【影响自己】【永久持续】【触发生效】</t>
  </si>
  <si>
    <t>【次元隐身】</t>
  </si>
  <si>
    <t>\n调查员掌握进入次元间隙的法术</t>
  </si>
  <si>
    <t>\n消耗12点MP进入次元隐身，完全不可侦测，持续2回合，每日限两次。【增益特质】【影响自己】【每日2次】【主动消耗】</t>
  </si>
  <si>
    <t>【隔绝气息】</t>
  </si>
  <si>
    <t>\n调查员能够完全隔绝自身气息</t>
  </si>
  <si>
    <t>\n潜行检定自动成功，移动无声，但移动速度减半，持续时间10分钟。【增益特质】【影响自己】【每场景3次】【主动生效】</t>
  </si>
  <si>
    <t>\n调查员精通特定职业的伪装</t>
  </si>
  <si>
    <t>\n伪装成特定职业时，所有相关技能+25%，信誉检定获得奖励骰。【增益特质】【影响自己】【永久持续】【主动生效】</t>
  </si>
  <si>
    <t>【鲜血涂装】</t>
  </si>
  <si>
    <t>\n调查员掌握用鲜血强化武器的秘术</t>
  </si>
  <si>
    <t>\n用自身血液涂抹武器，伤害+1d4，持续3回合，但每次使用损失1d3 HP。【增益特质】【影响自己】【每场景3次】【主动消耗】</t>
  </si>
  <si>
    <t>【品质提升】</t>
  </si>
  <si>
    <t>\n调查员能够暂时提升物品品质</t>
  </si>
  <si>
    <t>\n消耗5点MP使一件物品品质提升一级，持续1场景，每日限五次。【增益特质】【影响单目标】【每日5次】【主动消耗】</t>
  </si>
  <si>
    <t>【扩展插槽】</t>
  </si>
  <si>
    <t>\n调查员能够扩展装备栏位</t>
  </si>
  <si>
    <t>\n可多装备一件道具，但所有检定增加一个惩罚骰，负重×1.5。【增益特质】【影响自己】【永久持续】【被动生效】</t>
  </si>
  <si>
    <t>【辐射光环】</t>
  </si>
  <si>
    <t>\n调查员能够散发有害辐射</t>
  </si>
  <si>
    <t>\n周围5米内所有生物每回合损失1点HP，对自身无效，持续整场战斗。【减益特质】【影响范围】【每场景1次】【主动生效】</t>
  </si>
  <si>
    <t>【独狼光环】</t>
  </si>
  <si>
    <t>\n调查员单独行动时更加高效</t>
  </si>
  <si>
    <t>\n10米内没有友方时，所有检定获得一个奖励骰，移动速度+10%。【增益特质】【影响自己】【永久持续】【触发生效】</t>
  </si>
  <si>
    <t>【统领光环】</t>
  </si>
  <si>
    <t>\n调查员具有出色的领导能力</t>
  </si>
  <si>
    <t>\n带领团队时所有队友检定获得一个奖励骰，团队协作效率+25%。【增益特质】【影响范围】【永久持续】【被动生效】</t>
  </si>
  <si>
    <t>【战场闪现】</t>
  </si>
  <si>
    <t>\n调查员掌握在战场上快速移动的技巧</t>
  </si>
  <si>
    <t>\n消耗8点MP瞬间移动5米，可穿越障碍，每日限三次。【增益特质】【影响自己】【每日3次】【主动消耗】</t>
  </si>
  <si>
    <t>【短途传送】</t>
  </si>
  <si>
    <t>\n调查员掌握短距离传送法术</t>
  </si>
  <si>
    <t>\n消耗10点MP传送至视线内地点，最大距离20米，需进行法术检定。【增益特质】【影响自己】【每场景2次】【主动消耗】</t>
  </si>
  <si>
    <t>【坐标移动】</t>
  </si>
  <si>
    <t>\n调查员掌握坐标传送法术</t>
  </si>
  <si>
    <t>\n消耗15点MP传送至已知坐标，需要精确坐标信息，最大距离100米。【增益特质】【影响自己】【每场景1次】【主动消耗】</t>
  </si>
  <si>
    <t>【跨界穿梭】</t>
  </si>
  <si>
    <t>\n调查员掌握维度穿越的法术</t>
  </si>
  <si>
    <t>\n消耗1d20 SAN传送至其他维度，但返回需要额外施法，成功率50%。【增益特质】【影响自己】【每模组1次】【主动消耗】</t>
  </si>
  <si>
    <t>【伤害转移】</t>
  </si>
  <si>
    <t>\n调查员能够转移所受伤害</t>
  </si>
  <si>
    <t>\n可将自身伤害的50%转移给10米内指定目标，消耗8点MP，每日限三次。【增益特质】【影响单目标】【每日3次】【主动消耗】</t>
  </si>
  <si>
    <t>【伤害代偿】</t>
  </si>
  <si>
    <t>\n调查员能够代为承受伤害</t>
  </si>
  <si>
    <t>\n可代替一个友方承受全部伤害，但自身受到伤害×1.5，每日限一次。【增益特质】【影响单目标】【每日1次】【主动生效】</t>
  </si>
  <si>
    <t>【矢量冲击】</t>
  </si>
  <si>
    <t>\n调查员掌握操纵矢量的法术</t>
  </si>
  <si>
    <t>\n成功POW对抗可改变投射物方向，消耗5点MP，每日限五次。【增益特质】【影响单目标】【每日5次】【主动消耗】</t>
  </si>
  <si>
    <t>【范围地震】</t>
  </si>
  <si>
    <t>\n调查员掌握引发局部地震的法术</t>
  </si>
  <si>
    <t>\n消耗15点MP造成3×3米区域震动，范围内目标需进行DEX检定避免倒地。【减益特质】【影响范围】【每场景1次】【主动消耗】</t>
  </si>
  <si>
    <t>【陨石碎片】</t>
  </si>
  <si>
    <t>\n调查员掌握召唤陨石碎片的法术</t>
  </si>
  <si>
    <t>\n消耗12点MP召唤陨石雨，对5×5米区域造成2d6范围伤害，可能误伤。【减益特质】【影响范围】【每场景1次】【主动消耗】</t>
  </si>
  <si>
    <t>【陨石撞击】</t>
  </si>
  <si>
    <t>\n调查员掌握召唤陨石撞击的法术</t>
  </si>
  <si>
    <t>\n消耗20点MP召唤陨石，对单点造成4d6伤害，范围3米，需精确引导。【减益特质】【影响范围】【每模组1次】【主动消耗】</t>
  </si>
  <si>
    <t>【天体运行】</t>
  </si>
  <si>
    <t>\n调查员的力量与天体运行相关</t>
  </si>
  <si>
    <t>\n夜晚所有魔法效果+25%，法术消耗-2MP，但白天效果减半。【增益特质】【影响自己】【永久持续】【被动生效】</t>
  </si>
  <si>
    <t>【重力潮汐】</t>
  </si>
  <si>
    <t>\n调查员掌握操纵重力的法术</t>
  </si>
  <si>
    <t>\n成功POW对抗可使目标重力×2，移动速度减半，持续3回合，消耗10点MP。【减益特质】【影响单目标】【每场景2次】【主动消耗】</t>
  </si>
  <si>
    <t>【地脉操纵】</t>
  </si>
  <si>
    <t>\n调查员掌握与地脉能量共鸣的法术</t>
  </si>
  <si>
    <t>\n站在自然地面上时MP恢复速度×2，但在城市环境中无效。【增益特质】【影响自己】【永久持续】【被动生效】</t>
  </si>
  <si>
    <t>【魔力共鸣】</t>
  </si>
  <si>
    <t>\n调查员能够与魔法源产生强烈共鸣</t>
  </si>
  <si>
    <t>\n站在魔法源10米内时，所有法术效果+25%，MP消耗-2，但可能被魔法源影响神智。【增益特质】【影响自己】【永久持续】【被动生效】</t>
  </si>
  <si>
    <t>【天气操控】</t>
  </si>
  <si>
    <t>\n调查员掌握改变局部天气的法术</t>
  </si>
  <si>
    <t>\n消耗15点MP改变100米内天气，持续1d6小时，但可能引发自然灾害反噬（10%概率）。【增益特质】【影响范围】【每日1次】【主动消耗】</t>
  </si>
  <si>
    <t>【灾厄强化】</t>
  </si>
  <si>
    <t>\n调查员在自然灾害中力量增强</t>
  </si>
  <si>
    <t>\n在自然灾害环境中，所有魔法效果×1.5，但SAN损失也×1.5。【增益特质】【影响自己】【永久持续】【触发生效】</t>
  </si>
  <si>
    <t>【力量波动】</t>
  </si>
  <si>
    <t>\n调查员的力量呈现周期性波动</t>
  </si>
  <si>
    <t>\n每场景开始时投1d6决定力量波动：1-2无效果，3-4力量临时+1d4，5-6力量临时+1d6。【增益特质】【影响自己】【每场景1次】【被动生效】</t>
  </si>
  <si>
    <t>【魔法射线】</t>
  </si>
  <si>
    <t>\n调查员掌握发射魔法射线的技巧</t>
  </si>
  <si>
    <t>\n消耗3点MP发射射线，造成1d6魔法伤害，射程20米，需进行法术检定（难度50）。【增益特质】【影响单目标】【每场景5次】【主动消耗】</t>
  </si>
  <si>
    <t>【投射加速】</t>
  </si>
  <si>
    <t>\n调查员掌握加速投射物的法术</t>
  </si>
  <si>
    <t>\n消耗5点MP使投射物速度×2，伤害+1d4，命中率+15%。【增益特质】【影响单目标】【每场景3次】【主动消耗】</t>
  </si>
  <si>
    <t>【血肉护盾】</t>
  </si>
  <si>
    <t>\n调查员掌握用血肉制造护盾的秘术</t>
  </si>
  <si>
    <t>\n消耗1d6 HP获得等值临时护甲，持续3回合，每日限五次。【增益特质】【影响自己】【每日5次】【主动消耗】</t>
  </si>
  <si>
    <t>【能量偏转】</t>
  </si>
  <si>
    <t>\n调查员掌握偏转能量攻击的法术</t>
  </si>
  <si>
    <t>\n消耗8点MP获得一轮能量伤害免疫，但对物理伤害无效果。【增益特质】【影响自己】【每场景2次】【主动消耗】</t>
  </si>
  <si>
    <t>【刚体防御】</t>
  </si>
  <si>
    <t>\n调查员身体经过特殊锻炼异常坚硬</t>
  </si>
  <si>
    <t>\n对抗钝击伤害时获得4点额外护甲，但对切割伤害无效果。【增益特质】【影响自己】【永久持续】【被动生效】</t>
  </si>
  <si>
    <t>【绝对防御】</t>
  </si>
  <si>
    <t>\n调查员掌握创造绝对防御的法术</t>
  </si>
  <si>
    <t>\n消耗20点MP获得一轮完全伤害免疫，但效果结束后所有属性临时-5持续1场景。【增益特质】【影响自己】【每模组1次】【主动消耗】</t>
  </si>
  <si>
    <t>【穿透叠加】</t>
  </si>
  <si>
    <t>\n调查员的攻击具有穿透叠加效果</t>
  </si>
  <si>
    <t>\n每次成功攻击使后续攻击穿透+1，最高+5，切换目标后重置。【增益特质】【影响单目标】【永久持续】【被动生效】</t>
  </si>
  <si>
    <t>【骸骨爆炸】</t>
  </si>
  <si>
    <t>\n调查员掌握制造骸骨爆炸物的秘术</t>
  </si>
  <si>
    <t>\n消耗一具完整骸骨制造爆炸物，造成2d6范围伤害，需要1回合准备时间。【增益特质】【影响范围】【每场景2次】【主动消耗】</t>
  </si>
  <si>
    <t>【血肉再生】</t>
  </si>
  <si>
    <t>\n调查员拥有超常的血肉再生能力</t>
  </si>
  <si>
    <t>\n每小时自动恢复3点HP，但对魔法和火焰伤害恢复减半。【增益特质】【影响自己】【永久持续】【被动生效】</t>
  </si>
  <si>
    <t>【雷电风暴】</t>
  </si>
  <si>
    <t>\n调查员掌握召唤雷电风暴的法术</t>
  </si>
  <si>
    <t>\n消耗12点MP召唤3×3米雷电区域，造成2d6电击伤害，持续2回合。【减益特质】【影响范围】【每场景1次】【主动消耗】</t>
  </si>
  <si>
    <t>【护甲祝福】</t>
  </si>
  <si>
    <t>\n调查员掌握祝福护甲的法术</t>
  </si>
  <si>
    <t>\n消耗6点MP使目标获得3点额外护甲，持续3回合，每日限五次。【增益特质】【影响单目标】【每日5次】【主动消耗】</t>
  </si>
  <si>
    <t>【穿刺抵抗】</t>
  </si>
  <si>
    <t>\n调查员对穿刺伤害具有特殊抗性</t>
  </si>
  <si>
    <t>\n对穿刺伤害减免50%，但对钝击伤害×1.5。【增益特质】【影响自己】【永久持续】【被动生效】</t>
  </si>
  <si>
    <t>【强力治疗】</t>
  </si>
  <si>
    <t>\n调查员掌握强力治疗法术</t>
  </si>
  <si>
    <t>\n消耗15点MP恢复2d6 HP，但每日限一次，过度使用可能导致肉体变异。【增益特质】【影响单目标】【每日1次】【主动消耗】</t>
  </si>
  <si>
    <t>【统领责任】</t>
  </si>
  <si>
    <t>\n调查员承担团队领导责任</t>
  </si>
  <si>
    <t>\n带领团队时所有队友检定获得一个奖励骰，但自身承受伤害×1.5。【增益特质】【影响范围】【永久持续】【被动生效】</t>
  </si>
  <si>
    <t>【应急智慧】</t>
  </si>
  <si>
    <t>\n调查员在紧急情况下思维敏捷</t>
  </si>
  <si>
    <t>\n所有应急情况下的智力检定获得两个奖励骰，反应速度×1.5。【增益特质】【影响自己】【永久持续】【被动生效】</t>
  </si>
  <si>
    <t>【绝境疾走】</t>
  </si>
  <si>
    <t>\n调查员在绝境中移动速度激增</t>
  </si>
  <si>
    <t>\n生命值低于25%时移动速度×1.5，闪避检定获得奖励骰。【增益特质】【影响自己】【永久持续】【触发生效】</t>
  </si>
  <si>
    <t>【天界祈愿】</t>
  </si>
  <si>
    <t>\n调查员掌握向天界祈愿的法术</t>
  </si>
  <si>
    <t>\n消耗1d20 SAN实现一个简单愿望，但有30%概率被曲解，每模组限一次。【增益特质】【影响自己】【每模组1次】【主动消耗】</t>
  </si>
  <si>
    <t>【退路准备】</t>
  </si>
  <si>
    <t>\n调查员总是提前准备退路</t>
  </si>
  <si>
    <t>\n逃脱和撤退相关检定自动成功，但每场景限一次，需要提前规划。【增益特质】【影响自己】【每场景1次】【主动生效】</t>
  </si>
  <si>
    <t>【自然赐福】</t>
  </si>
  <si>
    <t>\n调查员获得自然界的祝福</t>
  </si>
  <si>
    <t>\n在自然环境中所有检定获得一个奖励骰，对自然灾害感知敏锐。【增益特质】【影响自己】【永久持续】【被动生效】</t>
  </si>
  <si>
    <t>【魔法增效】</t>
  </si>
  <si>
    <t>\n调查员掌握增强魔法效果的技术</t>
  </si>
  <si>
    <t>\n消耗双倍MP，法术范围和效果×1.5，但施法时间增加1回合。【增益特质】【影响自己】【永久持续】【主动生效】</t>
  </si>
  <si>
    <t>【施法精通】</t>
  </si>
  <si>
    <t>\n调查员施法技巧极其熟练</t>
  </si>
  <si>
    <t>\n所有法术检定获得一个奖励骰，施法时间减半，MP消耗-1。【增益特质】【影响自己】【永久持续】【被动生效】</t>
  </si>
  <si>
    <t>【法术穿透】</t>
  </si>
  <si>
    <t>\n调查员的法术具有极强穿透力</t>
  </si>
  <si>
    <t>\n法术有30%几率无视目标魔法抗性，但对无抗性目标效果减半。【增益特质】【影响单目标】【永久持续】【被动生效】</t>
  </si>
  <si>
    <t>【野性呼唤】</t>
  </si>
  <si>
    <t>\n调查员掌握呼唤野生动物的能力</t>
  </si>
  <si>
    <t>\n成功驯兽检定（难度60）可召唤1d3只野生动物助战，持续1d6回合。【增益特质】【影响多目标】【每场景1次】【主动生效】</t>
  </si>
  <si>
    <t>【兽群领袖】</t>
  </si>
  <si>
    <t>\n调查员天生具有领导兽群的能力</t>
  </si>
  <si>
    <t>\n所有动物相关检定获得两个奖励骰，驯兽技能+25%。【增益特质】【影响自己】【永久持续】【被动生效】</t>
  </si>
  <si>
    <t>【生命领域】</t>
  </si>
  <si>
    <t>\n调查员掌握创造生命领域的法术</t>
  </si>
  <si>
    <t>\n消耗20点MP创造3×3米治疗区域，每秒恢复1点HP，持续10秒。【增益特质】【影响范围】【每场景1次】【主动消耗】</t>
  </si>
  <si>
    <t>【生命泉水】</t>
  </si>
  <si>
    <t>\n调查员掌握创造生命泉水的法术</t>
  </si>
  <si>
    <t>\n消耗15点MP创造可饮用的生命泉水，饮用可恢复1d6 HP，持续1小时。【增益特质】【影响多目标】【每场景2次】【主动消耗】</t>
  </si>
  <si>
    <t>【魔力泉水】</t>
  </si>
  <si>
    <t>\n调查员掌握创造魔力泉水的法术</t>
  </si>
  <si>
    <t>\n消耗15点MP创造可饮用的魔力泉水，饮用可恢复1d6 MP，持续1小时。【增益特质】【影响多目标】【每场景2次】【主动消耗】</t>
  </si>
  <si>
    <t>【理智泉水】</t>
  </si>
  <si>
    <t>\n调查员掌握创造理智泉水的法术</t>
  </si>
  <si>
    <t>\n消耗15点MP创造可饮用的理智泉水，饮用可恢复1d6 SAN，持续1小时。【增益特质】【影响多目标】【每场景2次】【主动消耗】</t>
  </si>
  <si>
    <t>【经验泉水】</t>
  </si>
  <si>
    <t>\n调查员掌握创造经验泉水的法术</t>
  </si>
  <si>
    <t>\n饮用泉水可使一个技能临时+15%，持续1场景，每日限一次。【增益特质】【影响单目标】【每日1次】【主动消耗】</t>
  </si>
  <si>
    <t>【自然守护】</t>
  </si>
  <si>
    <t>\n调查员获得自然界的守护</t>
  </si>
  <si>
    <t>\n在自然环境中，所有伤害减免3点，对毒素免疫。【增益特质】【影响自己】【永久持续】【被动生效】</t>
  </si>
  <si>
    <t>【自然灵感】</t>
  </si>
  <si>
    <t>\n调查员在自然中获得灵感</t>
  </si>
  <si>
    <t>\n在自然环境中，所有智力和知识检定获得一个奖励骰。【增益特质】【影响自己】【永久持续】【被动生效】</t>
  </si>
  <si>
    <t>【强击光环】</t>
  </si>
  <si>
    <t>\n调查员能够激发强化攻击的光环</t>
  </si>
  <si>
    <t>\n10米内所有友方伤害+1，命中率+10%，持续3回合，消耗8点MP。【增益特质】【影响范围】【每场景2次】【主动消耗】</t>
  </si>
  <si>
    <t>【奥术光辉】</t>
  </si>
  <si>
    <t>\n调查员掌握散发奥术光辉的法术</t>
  </si>
  <si>
    <t>\n消耗5点MP创造相当于火炬亮度的魔法光源，同时驱散低级黑暗魔法，持续1小时。【增益特质】【影响范围】【每场景3次】【主动消耗】</t>
  </si>
  <si>
    <t>【魔法抑制】</t>
  </si>
  <si>
    <t>\n调查员掌握抑制魔法效果的法术</t>
  </si>
  <si>
    <t>\n成功POW对抗可使目标法术效果减半，持续3回合，消耗6点MP。【减益特质】【影响单目标】【每场景2次】【主动消耗】</t>
  </si>
  <si>
    <t>【专注光环】</t>
  </si>
  <si>
    <t>\n调查员能够提升团队专注力</t>
  </si>
  <si>
    <t>\n10米内所有友方智力和知识检定获得一个奖励骰，研究效率×1.5。【增益特质】【影响范围】【永久持续】【被动生效】</t>
  </si>
  <si>
    <t>【智慧祝福】</t>
  </si>
  <si>
    <t>\n调查员掌握祝福智慧的法术</t>
  </si>
  <si>
    <t>\n消耗5点MP使目标INT临时+10，持续3回合，每日限五次。【增益特质】【影响单目标】【每日5次】【主动消耗】</t>
  </si>
  <si>
    <t>【力量祝福】</t>
  </si>
  <si>
    <t>\n调查员掌握祝福力量的法术</t>
  </si>
  <si>
    <t>\n消耗5点MP使目标STR临时+10，持续3回合，每日限五次。【增益特质】【影响单目标】【每日5次】【主动消耗】</t>
  </si>
  <si>
    <t>【体质祝福】</t>
  </si>
  <si>
    <t>\n调查员掌握祝福体质的法术</t>
  </si>
  <si>
    <t>\n消耗5点MP使目标CON临时+10，持续3回合，每日限五次。【增益特质】【影响单目标】【每日5次】【主动消耗】</t>
  </si>
  <si>
    <t>\n调查员掌握祝福敏捷的法术</t>
  </si>
  <si>
    <t>\n消耗5点MP使目标DEX临时+10，持续3回合，每日限五次。【增益特质】【影响单目标】【每日5次】【主动消耗】</t>
  </si>
  <si>
    <t>【意志祝福】</t>
  </si>
  <si>
    <t>\n调查员掌握祝福意志的法术</t>
  </si>
  <si>
    <t>\n消耗5点MP使目标POW临时+10，持续3回合，每日限五次。【增益特质】【影响单目标】【每日5次】【主动消耗】</t>
  </si>
  <si>
    <t>【精神祝福】</t>
  </si>
  <si>
    <t>\n调查员掌握祝福精神的法术</t>
  </si>
  <si>
    <t>\n消耗5点MP使目标SAN临时+1d6，持续3回合，每日限三次。【增益特质】【影响单目标】【每日3次】【主动消耗】</t>
  </si>
  <si>
    <t>【生命祝福】</t>
  </si>
  <si>
    <t>\n调查员掌握祝福生命的法术</t>
  </si>
  <si>
    <t>\n消耗8点MP使目标HP上限临时+5，持续1场景，每日限三次。【增益特质】【影响单目标】【每日3次】【主动消耗】</t>
  </si>
  <si>
    <t>【幸运祝福】</t>
  </si>
  <si>
    <t>\n调查员掌握祝福幸运的法术</t>
  </si>
  <si>
    <t>\n消耗5点MP使目标幸运临时+25，持续3回合，每日限五次。【增益特质】【影响单目标】【每日5次】【主动消耗】</t>
  </si>
  <si>
    <t>【耐力光环】</t>
  </si>
  <si>
    <t>\n调查员能够提升团队耐力</t>
  </si>
  <si>
    <t>\n10米内所有友方疲劳抗性+50%，负重能力×1.5。【增益特质】【影响范围】【永久持续】【被动生效】</t>
  </si>
  <si>
    <t>【虔诚光环】</t>
  </si>
  <si>
    <t>\n调查员能够激发团队的虔诚信念</t>
  </si>
  <si>
    <t>\n10米内所有友方对邪恶存在伤害+1d4，对恐惧抵抗+25%。【增益特质】【影响范围】【永久持续】【被动生效】</t>
  </si>
  <si>
    <t>【神圣治疗】</t>
  </si>
  <si>
    <t>\n调查员掌握神圣治疗法术</t>
  </si>
  <si>
    <t>\n消耗10点MP恢复2d6 HP，对亡灵造成等值神圣伤害。【增益特质】【影响单目标】【每场景3次】【主动消耗】</t>
  </si>
  <si>
    <t>【王者祝福】</t>
  </si>
  <si>
    <t>\n调查员掌握王者级别的祝福法术</t>
  </si>
  <si>
    <t>\n消耗15点MP使目标所有属性临时+5，持续3回合，每日限一次。【增益特质】【影响单目标】【每日1次】【主动消耗】</t>
  </si>
  <si>
    <t>\n调查员意志异常坚韧</t>
  </si>
  <si>
    <t>\n所有意志检定获得两个奖励骰，对精神控制免疫。【增益特质】【影响自己】【永久持续】【被动生效】</t>
  </si>
  <si>
    <t>【阴影防护】</t>
  </si>
  <si>
    <t>\n调查员掌握防护阴影伤害的法术</t>
  </si>
  <si>
    <t>\n消耗6点MP获得5点阴影伤害抗性，持续3回合，对物理伤害无效。【增益特质】【影响自己】【每场景2次】【主动消耗】</t>
  </si>
  <si>
    <t>【痛苦压制】</t>
  </si>
  <si>
    <t>\n调查员能够暂时压制痛苦</t>
  </si>
  <si>
    <t>\n所有痛苦相关CON检定自动成功，但效果结束后痛苦×2持续1小时。【增益特质】【影响自己】【每日3次】【主动生效】</t>
  </si>
  <si>
    <t>【生命契约】</t>
  </si>
  <si>
    <t>\n调查员掌握签订生命契约的秘术</t>
  </si>
  <si>
    <t>\n可与另一个生物共享生命值，伤害平均分配，持续1场景，消耗10点MP。【增益特质】【影响单目标】【每场景1次】【主动消耗】</t>
  </si>
  <si>
    <t>【大地之力】</t>
  </si>
  <si>
    <t>\n调查员获得大地的力量祝福</t>
  </si>
  <si>
    <t>\n站在自然地面上时，所有力量检定获得一个奖励骰，体力恢复速度×2。【增益特质】【影响自己】【永久持续】【被动生效】</t>
  </si>
  <si>
    <t>【风之祝福】</t>
  </si>
  <si>
    <t>\n调查员获得风的敏捷祝福</t>
  </si>
  <si>
    <t>\n在开阔地带所有敏捷检定获得一个奖励骰，移动速度+15%。【增益特质】【影响自己】【永久持续】【被动生效】</t>
  </si>
  <si>
    <t>【英勇勋章】</t>
  </si>
  <si>
    <t>\n调查员佩戴象征英勇的勋章</t>
  </si>
  <si>
    <t>\n所有领导力和威望相关检定获得两个奖励骰，被认可度+25%。【增益特质】【影响自己】【永久持续】【被动生效】</t>
  </si>
  <si>
    <t>【嗜血狂暴】</t>
  </si>
  <si>
    <t>\n调查员能够进入嗜血狂暴状态</t>
  </si>
  <si>
    <t>\n消耗5点SAN，所有伤害+1d6，命中率+15%，但防御-10，持续3回合。【增益特质】【影响自己】【每场景1次】【主动消耗】</t>
  </si>
  <si>
    <t>【真实守卫】</t>
  </si>
  <si>
    <t>\n调查员掌握召唤真实守卫的法术</t>
  </si>
  <si>
    <t>\n消耗12点MP召唤可看破幻象的守卫，持续1d6回合，每日限两次。【增益特质】【影响单目标】【每日2次】【主动消耗】</t>
  </si>
  <si>
    <t>【猎人标记】</t>
  </si>
  <si>
    <t>\n调查员掌握标记猎物的技巧</t>
  </si>
  <si>
    <t>\n成功观察检定（难度60）可标记目标，对其伤害+1d4，命中率+15%。【增益特质】【影响单目标】【每场景3次】【主动生效】</t>
  </si>
  <si>
    <t>【鲜血之拥】</t>
  </si>
  <si>
    <t>\n调查员能够从鲜血中获得力量</t>
  </si>
  <si>
    <t>\n每损失10%HP，所有伤害+5%，最高+50%，但防御相应降低。【增益特质】【影响自己】【永久持续】【被动生效】</t>
  </si>
  <si>
    <t>【鲜血施法】</t>
  </si>
  <si>
    <t>\n调查员掌握用血液增强法术的秘术</t>
  </si>
  <si>
    <t>\n使用自身血液施法时效果+25%，但每次损失1d3 HP。【增益特质】【影响自己】【永久持续】【主动消耗】</t>
  </si>
  <si>
    <t>【伤害传导】</t>
  </si>
  <si>
    <t>\n调查员掌握将伤害传导至大地的秘术</t>
  </si>
  <si>
    <t>\n可将自身伤害的30%传导给大地，但需要接触自然地面，每日限五次。【增益特质】【影响自己】【每日5次】【主动生效】</t>
  </si>
  <si>
    <t>【援护夹击】</t>
  </si>
  <si>
    <t>\n调查员精通配合友方进行夹击</t>
  </si>
  <si>
    <t>\n与友方夹击目标时，命中+30%，伤害+1d4。【增益特质】【影响自己】【永久持续】【被动生效】</t>
  </si>
  <si>
    <t>【真名隐匿】</t>
  </si>
  <si>
    <t>\n调查员掌握隐匿真名的秘术</t>
  </si>
  <si>
    <t>\n所有通过真名定位和诅咒的魔法对调查员无效，但每日消耗1点MP维持。【增益特质】【影响自己】【永久持续】【被动生效】</t>
  </si>
  <si>
    <t>【真名解析】</t>
  </si>
  <si>
    <t>\n调查员掌握解析真名的能力</t>
  </si>
  <si>
    <t>\n成功神秘学检定（难度70）可获知目标真名，获得对该目标的魔法优势。【增益特质】【影响单目标】【每场景2次】【主动生效】</t>
  </si>
  <si>
    <t>【真名掌控】</t>
  </si>
  <si>
    <t>\n调查员掌握通过真名掌控目标</t>
  </si>
  <si>
    <t>\n知晓真名时，对该目标所有魔法效果+35%，控制成功率+25%。【增益特质】【影响单目标】【永久持续】【被动生效】</t>
  </si>
  <si>
    <t>【人形驱逐】</t>
  </si>
  <si>
    <t>\n调查员掌握驱逐人形生物的法术</t>
  </si>
  <si>
    <t>\n消耗10点MP驱逐人形生物，成功率基于POW对抗，每日限三次。【减益特质】【影响单目标】【每日3次】【主动消耗】</t>
  </si>
  <si>
    <t>【恶魔驱逐】</t>
  </si>
  <si>
    <t>\n调查员掌握驱逐恶魔的法术</t>
  </si>
  <si>
    <t>\n消耗15点MP驱逐恶魔，成功率基于POW对抗，每日限两次。【减益特质】【影响单目标】【每日2次】【主动消耗】</t>
  </si>
  <si>
    <t>【灵体形态】</t>
  </si>
  <si>
    <t>\n调查员掌握化为灵体的秘术</t>
  </si>
  <si>
    <t>\n消耗12点MP进入灵体状态，可穿过实体障碍，持续3回合。【增益特质】【影响自己】【每场景2次】【主动消耗】</t>
  </si>
  <si>
    <t>【动物变形】</t>
  </si>
  <si>
    <t>\n调查员掌握变成动物的秘术</t>
  </si>
  <si>
    <t>\n消耗15点MP变成特定动物，获得相应能力，持续1场景，每日限一次。【增益特质】【影响自己】【每日1次】【主动消耗】</t>
  </si>
  <si>
    <t>【仁慈光环】</t>
  </si>
  <si>
    <t>\n调查员散发令人安心的仁慈气息</t>
  </si>
  <si>
    <t>\n所有社交检定获得一个奖励骰，敌对生物攻击检定增加一个惩罚骰。【增益特质】【影响自己】【永久持续】【被动生效】</t>
  </si>
  <si>
    <t>【虚空信使】</t>
  </si>
  <si>
    <t>\n调查员掌握召唤虚空信使的法术</t>
  </si>
  <si>
    <t>\n消耗8点MP召唤可穿越维度的信使传递信息，每日限三次。【增益特质】【影响特殊】【每日3次】【主动消耗】</t>
  </si>
  <si>
    <t>【真实视界】</t>
  </si>
  <si>
    <t>\n调查员能够短暂瞥见真实</t>
  </si>
  <si>
    <t>\n消耗1d10 SAN获得一次关于当前情况的真相启示，但可能陷入临时疯狂。【增益特质】【影响自己】【每模组2次】【主动消耗】</t>
  </si>
  <si>
    <t>【终末预言】</t>
  </si>
  <si>
    <t>\n调查员掌握预言终结的法术</t>
  </si>
  <si>
    <t>\n消耗1d20 SAN获得关于模组结局的模糊提示，准确性70%。【增益特质】【影响自己】【每模组1次】【主动消耗】</t>
  </si>
  <si>
    <t>【因果反弹】</t>
  </si>
  <si>
    <t>\n调查员承受因果业报的影响</t>
  </si>
  <si>
    <t>\n所有对调查员的伤害有25%几率反弹给攻击者，但幸运检定增加惩罚骰。【增益特质】【影响自己】【永久持续】【被动生效】</t>
  </si>
  <si>
    <t>【灵魂掠夺】</t>
  </si>
  <si>
    <t>\n调查员掌握掠夺灵魂的禁忌秘术</t>
  </si>
  <si>
    <t>\n杀死目标时可掠夺其1点POW，但SAN-1，每日限一次。【增益特质】【影响自己】【每日1次】【触发生效】</t>
  </si>
  <si>
    <t>【亲和祝福】</t>
  </si>
  <si>
    <t>\n调查员获得与普通人亲和的能力</t>
  </si>
  <si>
    <t>\n所有与普通人交流的社交检定获得两个奖励骰，信誉度+30%。【增益特质】【影响自己】【永久持续】【被动生效】</t>
  </si>
  <si>
    <t>【刀锋祝福】</t>
  </si>
  <si>
    <t>\n调查员获得使用刀剑的特殊祝福</t>
  </si>
  <si>
    <t>\n使用刀剑时伤害+1d4，暴击率+15%，命中率+10%。【增益特质】【影响自己】【永久持续】【被动生效】</t>
  </si>
  <si>
    <t>【精神极乐】</t>
  </si>
  <si>
    <t>\n调查员掌握引发精神极乐状态的法术</t>
  </si>
  <si>
    <t>\n消耗5点MP使目标SAN临时+1d6，但可能产生精神依赖，每日限三次。【增益特质】【影响单目标】【每日3次】【主动消耗】</t>
  </si>
  <si>
    <t>\n调查员掌握钝化敌人武器的特殊技巧</t>
  </si>
  <si>
    <t>\n成功攻击检定可使目标武器伤害-1d3，持续1场景，对魔法武器无效。【减益特质】【影响单目标】【每场景3次】【主动生效】</t>
  </si>
  <si>
    <t>【血肉大师】</t>
  </si>
  <si>
    <t>\n调查员精通各种血肉相关的禁忌魔法</t>
  </si>
  <si>
    <t>\n所有血肉相关魔法效果+30%，HP消耗-1（最低1），但每次使用SAN损失增加。【增益特质】【影响自己】【永久持续】【被动生效】</t>
  </si>
  <si>
    <t>【沼泽毒息】</t>
  </si>
  <si>
    <t>\n调查员掌握呼出致命毒雾的法术</t>
  </si>
  <si>
    <t>\n消耗8点MP创造3×3米毒雾区域，范围内目标需进行CON检定（难度60）避免中毒（每回合损失1d3 HP）。【减益特质】【影响范围】【每场景2次】【主动消耗】</t>
  </si>
  <si>
    <t>【深渊吐息】</t>
  </si>
  <si>
    <t>\n调查员掌握呼出深渊气息的法术</t>
  </si>
  <si>
    <t>\n消耗12点MP创造5×5米黑暗区域，范围内所有目标需进行SAN检定（难度50），失败则SAN-1d3。【减益特质】【影响范围】【每场景1次】【主动消耗】</t>
  </si>
  <si>
    <t>【鱼群召唤】</t>
  </si>
  <si>
    <t>\n调查员掌握召唤鱼群干扰敌人的法术</t>
  </si>
  <si>
    <t>\n消耗6点MP召唤鱼群干扰单个目标，目标所有检定增加一个惩罚骰，持续2回合。【减益特质】【影响单目标】【每场景3次】【主动消耗】</t>
  </si>
  <si>
    <t>【圣水创造】</t>
  </si>
  <si>
    <t>\n调查员掌握创造神圣之水的秘术</t>
  </si>
  <si>
    <t>\n消耗10点MP创造100ml圣水，可对邪恶存在造成1d6神圣伤害，或驱散低级邪恶。【增益特质】【影响单目标】【每场景2次】【主动消耗】</t>
  </si>
  <si>
    <t>【黄金蜜酒】</t>
  </si>
  <si>
    <t>\n调查员掌握酿造神奇蜜酒的秘方</t>
  </si>
  <si>
    <t>\n饮用自酿蜜酒可恢复1d6 HP和1d6 MP，但每日限一次，需要提前准备材料。【增益特质】【影响自己】【每日1次】【主动生效】</t>
  </si>
  <si>
    <t>【瘟疫诅咒】</t>
  </si>
  <si>
    <t>\n调查员掌握施放瘟疫诅咒的法术</t>
  </si>
  <si>
    <t>\n成功POW对抗可使目标感染瘟疫，每回合损失1点HP，持续5回合，消耗8点MP。【减益特质】【影响单目标】【每场景2次】【主动消耗】</t>
  </si>
  <si>
    <t>【时间停滞】</t>
  </si>
  <si>
    <t>\n调查员掌握局部时间停滞的法术</t>
  </si>
  <si>
    <t>\n消耗20点MP创造3×3米停滞领域，领域内时间流速减半，持续2回合。【减益特质】【影响范围】【每模组1次】【主动消耗】</t>
  </si>
  <si>
    <t>【元素掌控】</t>
  </si>
  <si>
    <t>\n调查员精通基础元素的操控</t>
  </si>
  <si>
    <t>\n所有元素法术效果+20%，MP消耗-2（最低1），但对复合元素法术无效。【增益特质】【影响自己】【永久持续】【被动生效】</t>
  </si>
  <si>
    <t>【时间加速】</t>
  </si>
  <si>
    <t>\n调查员掌握加速自身时间的法术</t>
  </si>
  <si>
    <t>\n消耗15点MP使自身时间流速×2，持续2回合，但效果结束后会衰老1d6小时。【增益特质】【影响自己】【每场景1次】【主动消耗】</t>
  </si>
  <si>
    <t>【雷电召唤】</t>
  </si>
  <si>
    <t>\n调查员掌握召唤雷电的法术</t>
  </si>
  <si>
    <t>\n消耗10点MP召唤雷电攻击单个目标，造成2d6电击伤害，需进行法术检定（难度60）。【减益特质】【影响单目标】【每场景3次】【主动消耗】</t>
  </si>
  <si>
    <t>【黑血诅咒】</t>
  </si>
  <si>
    <t>\n调查员掌握使血液变黑的诅咒</t>
  </si>
  <si>
    <t>\n成功法术检定（难度65）可使目标血液变黑，所有属性-1d3，持续3回合。【减益特质】【影响单目标】【每场景2次】【主动消耗】</t>
  </si>
  <si>
    <t>【异族屏障】</t>
  </si>
  <si>
    <t>\n调查员对异族生物具有天然抗性</t>
  </si>
  <si>
    <t>\n对所有异族生物（非人类）获得3点额外护甲，但对人类攻击无效果。【增益特质】【影响自己】【永久持续】【被动生效】</t>
  </si>
  <si>
    <t>【死亡回响】</t>
  </si>
  <si>
    <t>\n调查员能够从死亡中汲取能量</t>
  </si>
  <si>
    <t>\n每次10米内有生物死亡时，可选择恢复1点HP或MP，每日最多恢复10点。【增益特质】【影响自己】【永久持续】【被动生效】</t>
  </si>
  <si>
    <t>【盲目痴愚】</t>
  </si>
  <si>
    <t>\n调查员掌握使目标失明的法术</t>
  </si>
  <si>
    <t>\n成功POW对抗可使目标失明1d3回合，期间所有视觉相关检定自动失败，消耗6点MP。【减益特质】【影响单目标】【每场景2次】【主动消耗】</t>
  </si>
  <si>
    <t>【瘟疫传播】</t>
  </si>
  <si>
    <t>\n调查员掌握使目标生病的法术</t>
  </si>
  <si>
    <t>\n成功法术检定（难度60）可使目标感染疾病，所有检定增加一个惩罚骰，持续1场景。【减益特质】【影响单目标】【每场景2次】【主动消耗】</t>
  </si>
  <si>
    <t>【神性容器】</t>
  </si>
  <si>
    <t>\n调查员能够暂时容纳神性力量</t>
  </si>
  <si>
    <t>\n所有属性临时×2，持续1回合，但结束后有50%概率陷入濒死状态，每模组限一次。【增益特质】【影响自己】【每模组1次】【主动消耗】</t>
  </si>
  <si>
    <t>【知识咏唱】</t>
  </si>
  <si>
    <t>\n调查员掌握增强知识的咏唱法术</t>
  </si>
  <si>
    <t>\n消耗8点MP使所有知识相关检定获得两个奖励骰，持续3回合。【增益特质】【影响自己】【每场景2次】【主动消耗】</t>
  </si>
  <si>
    <t>【防御咏唱】</t>
  </si>
  <si>
    <t>\n调查员掌握增强防御的咏唱法术</t>
  </si>
  <si>
    <t>\n消耗6点MP使所有防御检定获得一个奖励骰，持续3回合。【增益特质】【影响自己】【每场景3次】【主动消耗】</t>
  </si>
  <si>
    <t>\n调查员天生与动物亲近</t>
  </si>
  <si>
    <t>\n所有动物对调查员初始态度为友好，驯兽技能+25%。【增益特质】【影响自己】【永久持续】【被动生效】</t>
  </si>
  <si>
    <t>【深渊召唤】</t>
  </si>
  <si>
    <t>\n调查员掌握召唤深渊存在的禁忌法术</t>
  </si>
  <si>
    <t>\n消耗1d20 SAN召唤随机深渊生物，有30%概率失控，每模组限一次。【减益特质】【影响特殊】【每模组1次】【主动消耗】</t>
  </si>
  <si>
    <t>【迷惑铃音】</t>
  </si>
  <si>
    <t>\n调查员掌握使用铃铛迷惑目标的法术</t>
  </si>
  <si>
    <t>\n消耗5点MP摇动铃铛，目标需进行POW检定（难度55）避免陷入迷惑状态1回合。【减益特质】【影响单目标】【每场景3次】【主动消耗】</t>
  </si>
  <si>
    <t>【防护法阵】</t>
  </si>
  <si>
    <t>\n调查员掌握绘制防护法阵的技巧</t>
  </si>
  <si>
    <t>\n消耗10点MP绘制法阵，获得5点魔法护甲，持续3回合，需要1回合准备。【增益特质】【影响自己】【每场景2次】【主动消耗】</t>
  </si>
  <si>
    <t>【圣焰召唤】</t>
  </si>
  <si>
    <t>\n调查员掌握召唤圣洁火焰的法术</t>
  </si>
  <si>
    <t>\n消耗12点MP召唤圣焰，对邪恶存在造成2d6神圣伤害，对普通生物伤害减半。【增益特质】【影响单目标】【每场景2次】【主动消耗】</t>
  </si>
  <si>
    <t>【血肉净化】</t>
  </si>
  <si>
    <t>\n调查员掌握净化血肉异常的法术</t>
  </si>
  <si>
    <t>\n消耗8点MP移除目标一个异常状态（中毒、疾病等），每日限五次。【增益特质】【影响单目标】【每日5次】【主动消耗】</t>
  </si>
  <si>
    <t>【区域净化】</t>
  </si>
  <si>
    <t>\n调查员掌握净化区域的仪式</t>
  </si>
  <si>
    <t>\n消耗15点MP净化5×5米区域，驱散邪恶气息，持续1小时。【增益特质】【影响范围】【每场景1次】【主动消耗】</t>
  </si>
  <si>
    <t>【火焰护体】</t>
  </si>
  <si>
    <t>\n调查员掌握用火焰防护自身的法术</t>
  </si>
  <si>
    <t>\n消耗10点MP被火焰环绕，近战攻击者受到1d6火焰伤害，持续3回合。【增益特质】【影响自己】【每场景2次】【主动消耗】</t>
  </si>
  <si>
    <t>【火触召唤】</t>
  </si>
  <si>
    <t>\n调查员掌握召唤火焰触手的法术</t>
  </si>
  <si>
    <t>\n消耗12点MP召唤火焰触手攻击，造成2d4火焰伤害，射程10米。【减益特质】【影响单目标】【每场景2次】【主动消耗】</t>
  </si>
  <si>
    <t>【记忆模糊】</t>
  </si>
  <si>
    <t>\n调查员掌握模糊目标记忆的法术</t>
  </si>
  <si>
    <t>\n消耗6点MP使目标短期记忆模糊，忘记最近1小时内的事件。【减益特质】【影响单目标】【每场景3次】【主动消耗】</t>
  </si>
  <si>
    <t>【心脏掌握】</t>
  </si>
  <si>
    <t>\n调查员掌握遥控心脏的禁忌法术</t>
  </si>
  <si>
    <t>\n成功POW对抗可使目标心脏停跳1回合，造成1d6伤害，消耗10点MP。【减益特质】【影响单目标】【每场景1次】【主动消耗】</t>
  </si>
  <si>
    <t>【强制召唤】</t>
  </si>
  <si>
    <t>\n调查员掌握强制召唤目标的法术</t>
  </si>
  <si>
    <t>\n消耗15点MP强制召唤一个已知目标至面前，最大距离100米，目标可抵抗。【减益特质】【影响单目标】【每模组1次】【主动消耗】</t>
  </si>
  <si>
    <t>【瞬发施法】</t>
  </si>
  <si>
    <t>\n调查员掌握瞬间施法的技巧</t>
  </si>
  <si>
    <t>\n消耗8点MP使一个准备中的法术立即生效，无需施法时间。【增益特质】【影响自己】【每场景2次】【主动消耗】</t>
  </si>
  <si>
    <t>【亡者低语】</t>
  </si>
  <si>
    <t>\n调查员能够理解并与死者交流</t>
  </si>
  <si>
    <t>\n可与死者进行交流，但每次使用损失0/1d2 SAN，每日限三次。【增益特质】【影响单目标】【每日3次】【主动消耗】</t>
  </si>
  <si>
    <t>【沉默羔羊】</t>
  </si>
  <si>
    <t>\n调查员掌握使目标沉默的法术</t>
  </si>
  <si>
    <t>\n成功POW对抗可使目标无法发声1d6回合，消耗7点MP。【减益特质】【影响单目标】【每场景2次】【主动消耗】</t>
  </si>
  <si>
    <t>【衔尾蛇符】</t>
  </si>
  <si>
    <t>\n调查员携带具有复活力量的衔尾蛇符号</t>
  </si>
  <si>
    <t>\n生命值降至0时自动激活，完全恢复生命值，但符号损坏，每模组限一次。【增益特质】【影响自己】【每模组1次】【触发生效】</t>
  </si>
  <si>
    <t>【幻象创造】</t>
  </si>
  <si>
    <t>\n调查员掌握创造逼真幻象的法术</t>
  </si>
  <si>
    <t>\n消耗10点MP创造可欺骗所有感官的幻象，持续3回合，需进行法术检定。【增益特质】【影响范围】【每场景2次】【主动消耗】</t>
  </si>
  <si>
    <t>【相貌窃取】</t>
  </si>
  <si>
    <t>\n调查员掌握窃取他人相貌的秘术</t>
  </si>
  <si>
    <t>\n消耗1d6 SAN可获得目标外貌1小时，但可能永久获得目标的某些特征。【增益特质】【影响自己】【每日1次】【主动消耗】</t>
  </si>
  <si>
    <t>【禁止移动】</t>
  </si>
  <si>
    <t>\n调查员掌握使目标无法移动的法术</t>
  </si>
  <si>
    <t>\n成功POW对抗可使目标无法移动1d3回合，消耗8点MP。【减益特质】【影响单目标】【每场景2次】【主动消耗】</t>
  </si>
  <si>
    <t>【记忆读取】</t>
  </si>
  <si>
    <t>\n调查员掌握读取目标记忆的能力</t>
  </si>
  <si>
    <t>\n接触可读取目标最近24小时的记忆，但有10%概率混淆自身记忆。【增益特质】【影响单目标】【每场景2次】【主动消耗】</t>
  </si>
  <si>
    <t>【神性交流】</t>
  </si>
  <si>
    <t>\n调查员能够与神性存在进行交流</t>
  </si>
  <si>
    <t>\n消耗1d20 SAN可与神性存在交流，可能获得珍贵知识或陷入疯狂。【增益特质】【影响特殊】【每模组1次】【主动消耗】</t>
  </si>
  <si>
    <t>【血肉重塑】</t>
  </si>
  <si>
    <t>\n调查员掌握重塑血肉的禁忌秘术</t>
  </si>
  <si>
    <t>\n接触可改变目标外貌，需要医学检定（难度70），消耗1d4 SAN。【增益特质】【影响单目标】【每场景1次】【主动消耗】</t>
  </si>
  <si>
    <t>【玩偶诅咒】</t>
  </si>
  <si>
    <t>\n调查员掌握通过玩偶施加诅咒的法术</t>
  </si>
  <si>
    <t>\n使用玩偶进行诅咒，成功率基于POW对抗，成功则目标受到各种负面效果。【减益特质】【影响单目标】【每场景2次】【主动消耗】</t>
  </si>
  <si>
    <t>【睡眠粉末】</t>
  </si>
  <si>
    <t>\n调查员掌握制造睡眠粉末的法术</t>
  </si>
  <si>
    <t>\n消耗5点MP制造睡眠粉末，可使单个目标陷入睡眠1d3回合。【减益特质】【影响单目标】【每场景3次】【主动消耗】</t>
  </si>
  <si>
    <t>【辟邪符石】</t>
  </si>
  <si>
    <t>\n调查员能够制作具有驱邪力量的符石</t>
  </si>
  <si>
    <t>\n佩戴时对邪恶存在伤害+1d4，对邪恶攻击的防御+2。【增益特质】【影响自己】【永久持续】【被动生效】</t>
  </si>
  <si>
    <t>【无形障壁】</t>
  </si>
  <si>
    <t>\n调查员掌握创造无形墙壁的法术</t>
  </si>
  <si>
    <t>\n消耗8点MP创造3×3米透明墙壁，可阻挡物理攻击，持续3回合。【增益特质】【影响范围】【每场景2次】【主动消耗】</t>
  </si>
  <si>
    <t>【符咒制作】</t>
  </si>
  <si>
    <t>\n调查员掌握制作储存法术的符咒</t>
  </si>
  <si>
    <t>\n消耗3点MP制作符咒，可储存一个法术供后续使用，每日限五次。【增益特质】【影响特殊】【每日5次】【主动消耗】</t>
  </si>
  <si>
    <t>【石板诅咒】</t>
  </si>
  <si>
    <t>\n调查员掌握在石板上刻写诅咒的法术</t>
  </si>
  <si>
    <t>\n在石板上刻写诅咒，可对特定目标远程生效，最大距离1公里。【减益特质】【影响单目标】【每场景1次】【主动消耗】</t>
  </si>
  <si>
    <t>【血肉造物】</t>
  </si>
  <si>
    <t>\n调查员掌握创造血肉使魔的禁忌秘术</t>
  </si>
  <si>
    <t>\n消耗1d6 HP和1d6 SAN创造小型使魔，持续1场景，使魔具有基础智能。【增益特质】【影响单目标】【每场景1次】【主动消耗】</t>
  </si>
  <si>
    <t>【诅咒笛音】</t>
  </si>
  <si>
    <t>\n调查员掌握吹奏诅咒之笛的技巧</t>
  </si>
  <si>
    <t>\n消耗10点MP吹奏笛子，周围10米内目标需进行SAN检定（难度50），失败则SAN-1。【减益特质】【影响范围】【每场景2次】【主动消耗】</t>
  </si>
  <si>
    <t>【时空传送】</t>
  </si>
  <si>
    <t>\n调查员掌握打开时空传送门的法术</t>
  </si>
  <si>
    <t>\n消耗1d20 SAN打开传送门，可通往已知地点，但有20%概率出现偏差。【增益特质】【影响特殊】【每模组1次】【主动消耗】</t>
  </si>
  <si>
    <t>【魔像创造】</t>
  </si>
  <si>
    <t>\n调查员掌握创造泥土魔像的法术</t>
  </si>
  <si>
    <t>\n消耗20点MP创造泥土魔像，属性为STR 60, CON 50, SIZ 70，持续1场景。【增益特质】【影响单目标】【每模组1次】【主动消耗】</t>
  </si>
  <si>
    <t>【浓雾召唤】</t>
  </si>
  <si>
    <t>\n调查员掌握召唤浓雾的法术</t>
  </si>
  <si>
    <t>\n消耗6点MP召唤5×5米浓雾，视野减至1米，持续3回合。【增益特质】【影响范围】【每场景3次】【主动消耗】</t>
  </si>
  <si>
    <t>【未来视界】</t>
  </si>
  <si>
    <t>\n调查员掌握窥视未来的法术</t>
  </si>
  <si>
    <t>\n消耗8点MP获得关于未来1小时的模糊景象，准确性70%。【增益特质】【影响自己】【每场景2次】【主动消耗】</t>
  </si>
  <si>
    <t>【青春永驻】</t>
  </si>
  <si>
    <t>\n调查员获得停止衰老的能力</t>
  </si>
  <si>
    <t>\n年龄不再增长，但每月需进行POW检定（难度50）避免出现副作用。【增益特质】【影响自己】【永久持续】【被动生效】</t>
  </si>
  <si>
    <t>【永恒封印】</t>
  </si>
  <si>
    <t>\n调查员掌握使用徽章封印目标的秘术</t>
  </si>
  <si>
    <t>\n消耗10点POW激活徽章，可封印POW&lt;105的目标，目标仅能呼吸和思考，直到徽章被破坏。【减益特质】【影响单目标】【每模组1次】【主动消耗】</t>
  </si>
  <si>
    <t>【元素召唤】</t>
  </si>
  <si>
    <t>\n调查员掌握召唤元素生物的法术</t>
  </si>
  <si>
    <t>\n消耗12点MP召唤随机元素生物，持续3回合，每日限三次。【增益特质】【影响单目标】【每日3次】【主动消耗】</t>
  </si>
  <si>
    <t>【厄运灰烬】</t>
  </si>
  <si>
    <t>\n调查员掌握撒播厄运灰烬的法术</t>
  </si>
  <si>
    <t>\n消耗10点MP创造3×3米灰烬区域，范围内目标所有检定增加一个惩罚骰。【减益特质】【影响范围】【每场景2次】【主动消耗】</t>
  </si>
  <si>
    <t>【记忆吞噬】</t>
  </si>
  <si>
    <t>\n调查员掌握通过食用获得记忆的秘术</t>
  </si>
  <si>
    <t>\n食用特定组织后可获得目标部分记忆，但损失1d3 SAN，有伦理风险。【增益特质】【影响自己】【每日1次】【主动消耗】</t>
  </si>
  <si>
    <t>【厄运诅咒】</t>
  </si>
  <si>
    <t>\n调查员掌握施放厄运诅咒的法术</t>
  </si>
  <si>
    <t>\n成功POW对抗可使目标遭受厄运，所有检定增加一个惩罚骰，持续1场景。【减益特质】【影响单目标】【每场景2次】【主动消耗】</t>
  </si>
  <si>
    <t>【绝望阴云】</t>
  </si>
  <si>
    <t>\n调查员掌握召唤绝望阴云的法术</t>
  </si>
  <si>
    <t>\n消耗12点MP创造5×5米乌云，范围内目标每回合损失0/1d2 SAN。【减益特质】【影响范围】【每场景1次】【主动消耗】</t>
  </si>
  <si>
    <t>【腐坏幻象】</t>
  </si>
  <si>
    <t>\n调查员制造事物腐烂的恐怖幻象</t>
  </si>
  <si>
    <t>\n消耗8点MP使目标看见周围事物腐烂，损失1d3 SAN，持续2回合。【减益特质】【影响单目标】【每场景2次】【主动消耗】</t>
  </si>
  <si>
    <t>【腐朽诅咒】</t>
  </si>
  <si>
    <t>\n调查员掌握加速物品腐烂的诅咒</t>
  </si>
  <si>
    <t>\n成功法术检定（难度55）可使物品加速腐烂，效果基于物品材质。【减益特质】【影响单目标】【每场景3次】【主动消耗】</t>
  </si>
  <si>
    <t>【定时变形】</t>
  </si>
  <si>
    <t>\n调查员掌握在特定时间变形的能力</t>
  </si>
  <si>
    <t>\n每日可在2点或4点变形一次，持续1小时，变形后获得相应生物能力。【增益特质】【影响自己】【每日2次】【主动生效】</t>
  </si>
  <si>
    <t>【燃烧诅咒】</t>
  </si>
  <si>
    <t>\n调查员掌握使目标自燃的诅咒</t>
  </si>
  <si>
    <t>\n成功法术检定（难度65）可使目标自燃，每回合损失1d6 HP，持续3回合。【减益特质】【影响单目标】【每场景1次】【主动消耗】</t>
  </si>
  <si>
    <t>【死亡气息】</t>
  </si>
  <si>
    <t>\n调查员自然散发令人恐惧的死亡气息</t>
  </si>
  <si>
    <t>\n所有生物对调查员初始态度为恐惧，社交检定增加惩罚骰，但威慑检定获得奖励骰。【减益特质】【影响自己】【永久持续】【被动生效】</t>
  </si>
  <si>
    <t>【伤害偏转】</t>
  </si>
  <si>
    <t>\n调查员掌握偏转物理伤害的能力</t>
  </si>
  <si>
    <t>\n有25%几率偏转物理攻击至3米内其他目标，每日限五次。【增益特质】【影响自己】【每日5次】【被动生效】</t>
  </si>
  <si>
    <t>【重力操控】</t>
  </si>
  <si>
    <t>\n调查员掌握解析和操控重力的法术</t>
  </si>
  <si>
    <t>\n成功物理学检定（难度70）可操纵5×5米区域内重力，效果持续2回合。【增益特质】【影响范围】【每场景2次】【主动消耗】</t>
  </si>
  <si>
    <t>【恶魔感知】</t>
  </si>
  <si>
    <t>\n调查员对恶魔存在具有特殊的感知能力</t>
  </si>
  <si>
    <t>\n可自动感知100米内的恶魔存在，并能大致判断方向，但每次使用损失0/1 SAN。【增益特质】【影响自己】【永久持续】【主动生效】</t>
  </si>
  <si>
    <t>【附魔侦测】</t>
  </si>
  <si>
    <t>\n调查员掌握侦测魔法附魔的法术</t>
  </si>
  <si>
    <t>\n可自动识别10米内的魔法物品和附魔效果，需进行法术检定（难度50）。【增益特质】【影响范围】【每场景3次】【主动消耗】</t>
  </si>
  <si>
    <t>【野兽诅咒】</t>
  </si>
  <si>
    <t>\n调查员掌握专门针对野兽的诅咒</t>
  </si>
  <si>
    <t>\n成功法术检定（难度55）可使野兽所有属性-1d6，持续3回合，消耗7点MP。【减益特质】【影响单目标】【每场景2次】【主动消耗】</t>
  </si>
  <si>
    <t>【多尔公式】</t>
  </si>
  <si>
    <t>\n调查员掌握运用多尔公式计算最优解</t>
  </si>
  <si>
    <t>\n消耗15点MP进行复杂计算，使下一个智力相关检定自动成功，每日限一次。【增益特质】【影响自己】【每日1次】【主动消耗】</t>
  </si>
  <si>
    <t>【酒神狂欢】</t>
  </si>
  <si>
    <t>\n调查员掌握引发疯狂狂欢的秘术</t>
  </si>
  <si>
    <t>\n消耗8点MP使目标进入狂欢状态，失去理智判断力，持续2回合，目标可进行POW抵抗。【减益特质】【影响单目标】【每场景2次】【主动消耗】</t>
  </si>
  <si>
    <t>【灵魂出窍】</t>
  </si>
  <si>
    <t>\n调查员掌握灵魂离体的禁忌秘术</t>
  </si>
  <si>
    <t>\n消耗12点MP使灵魂脱离身体，可穿墙侦查，持续3回合，但身体处于无防备状态。【增益特质】【影响自己】【每场景1次】【主动消耗】</t>
  </si>
  <si>
    <t>【恶魂驱逐】</t>
  </si>
  <si>
    <t>\n调查员掌握驱逐恶灵的法术</t>
  </si>
  <si>
    <t>\n消耗10点MP驱逐恶灵，成功率基于POW对抗，对强大恶灵效果减半。【增益特质】【影响单目标】【每场景2次】【主动消耗】</t>
  </si>
  <si>
    <t>【骨骼弱化】</t>
  </si>
  <si>
    <t>\n调查员掌握弱化目标骨骼的法术</t>
  </si>
  <si>
    <t>\n成功法术检定（难度60）可使目标骨骼变脆，CON-1d6，持续3回合。【减益特质】【影响单目标】【每场景2次】【主动消耗】</t>
  </si>
  <si>
    <t>【命运窥视】</t>
  </si>
  <si>
    <t>\n调查员掌握窥视目标命运的法术</t>
  </si>
  <si>
    <t>\n消耗1d6 SAN获得关于目标命运的模糊提示，准确性60%。【增益特质】【影响单目标】【每场景1次】【主动消耗】</t>
  </si>
  <si>
    <t>【恶意操控】</t>
  </si>
  <si>
    <t>\n调查员掌握操控恶意情绪的法术</t>
  </si>
  <si>
    <t>\n成功POW对抗可暂时控制目标的恶意情绪，使其攻击指定目标，消耗8点MP。【减益特质】【影响单目标】【每场景2次】【主动消耗】</t>
  </si>
  <si>
    <t>【风水寻龙】</t>
  </si>
  <si>
    <t>\n调查员精通古老的风水寻龙之术</t>
  </si>
  <si>
    <t>\n所有寻找隐藏物品和秘密空间的检定获得两个奖励骰。【增益特质】【影响自己】【永久持续】【被动生效】</t>
  </si>
  <si>
    <t>【衰老诅咒】</t>
  </si>
  <si>
    <t>\n调查员掌握加速衰老的诅咒</t>
  </si>
  <si>
    <t>\n成功法术检定（难度65）可使目标加速衰老1d10年，消耗10点MP。【减益特质】【影响单目标】【每场景1次】【主动消耗】</t>
  </si>
  <si>
    <t>【混沌愉悦】</t>
  </si>
  <si>
    <t>\n调查员从混沌中获得异常愉悦</t>
  </si>
  <si>
    <t>\n在混乱环境中SAN恢复速度×2，但对秩序环境不适。【增益特质】【影响自己】【永久持续】【被动生效】</t>
  </si>
  <si>
    <t>【真名诵唱】</t>
  </si>
  <si>
    <t>\n调查员掌握通过真名攻击的法术</t>
  </si>
  <si>
    <t>\n知晓目标真名时诵唱，可造成1d10精神伤害，消耗6点MP。【减益特质】【影响单目标】【每场景3次】【主动消耗】</t>
  </si>
  <si>
    <t>【毁灭音节】</t>
  </si>
  <si>
    <t>\n调查员掌握发出毁灭音节的禁忌法术</t>
  </si>
  <si>
    <t>\n消耗1d20 SAN发出毁灭性音节，对5×5米区域造成3d6精神伤害。【减益特质】【影响范围】【每模组1次】【主动消耗】</t>
  </si>
  <si>
    <t>【梦境编织】</t>
  </si>
  <si>
    <t>\n调查员掌握在目标梦中制造幻象</t>
  </si>
  <si>
    <t>\n消耗8点MP在目标梦中制造特定幻象，可传递信息或制造恐惧。【减益特质】【影响单目标】【每场景2次】【主动消耗】</t>
  </si>
  <si>
    <t>【噩梦诅咒】</t>
  </si>
  <si>
    <t>\n调查员掌握制造精神噩梦的法术</t>
  </si>
  <si>
    <t>\n成功法术检定（难度60）可使目标遭受噩梦，SAN-1d4，消耗7点MP。【减益特质】【影响单目标】【每场景2次】【主动消耗】</t>
  </si>
  <si>
    <t>【沉睡粉尘】</t>
  </si>
  <si>
    <t>\n调查员掌握使用埃及沉睡粉尘</t>
  </si>
  <si>
    <t>\n撒播粉尘可使目标陷入沉睡1d3回合，目标需进行CON检定（难度55）抵抗。【减益特质】【影响单目标】【每场景3次】【主动消耗】</t>
  </si>
  <si>
    <t>【仇恨雕像】</t>
  </si>
  <si>
    <t>\n调查员掌握制作仇恨雕像的诅咒</t>
  </si>
  <si>
    <t>\n使用雕像可远程诅咒目标，需进行POW对抗，成功则目标遭受各种厄运。【减益特质】【影响单目标】【每场景1次】【主动消耗】</t>
  </si>
  <si>
    <t>【宁静真言】</t>
  </si>
  <si>
    <t>\n调查员掌握念诵宁静真言的技巧</t>
  </si>
  <si>
    <t>\n消耗6点MP使目标情绪恢复平静，移除一个恐惧效果。【增益特质】【影响单目标】【每场景3次】【主动消耗】</t>
  </si>
  <si>
    <t>【欺诈迷雾】</t>
  </si>
  <si>
    <t>\n调查员掌握制造欺诈迷雾的法术</t>
  </si>
  <si>
    <t>\n消耗10点MP制造5×5米迷雾，范围内所有检定增加一个惩罚骰。【减益特质】【影响范围】【每场景2次】【主动消耗】</t>
  </si>
  <si>
    <t>【神圣几何】</t>
  </si>
  <si>
    <t>\n调查员掌握运用神圣几何增强法术</t>
  </si>
  <si>
    <t>\n消耗12点MP绘制几何图案，使下一个法术效果提升25%。【增益特质】【影响自己】【每场景2次】【主动消耗】</t>
  </si>
  <si>
    <t>【旧印激活】</t>
  </si>
  <si>
    <t>\n调查员掌握为旧印开光的秘术</t>
  </si>
  <si>
    <t>\n消耗5点MP激活旧印，对神话生物伤害+1d6，持续3回合。【增益特质】【影响自己】【每场景3次】【主动消耗】</t>
  </si>
  <si>
    <t>【假死药水】</t>
  </si>
  <si>
    <t>\n调查员掌握制作假死药水的配方</t>
  </si>
  <si>
    <t>\n饮用后可进入假死状态24小时，期间生命体征几乎无法检测。【增益特质】【影响自己】【每日1次】【主动生效】</t>
  </si>
  <si>
    <t>【时光侵蚀】</t>
  </si>
  <si>
    <t>\n调查员掌握加速时光侵蚀的法术</t>
  </si>
  <si>
    <t>\n成功法术检定（难度70）可使目标物品老化100年，对生物无效。【减益特质】【影响单目标】【每场景2次】【主动消耗】</t>
  </si>
  <si>
    <t>【翡翠飞镖】</t>
  </si>
  <si>
    <t>\n调查员掌握发射魔法翡翠飞镖</t>
  </si>
  <si>
    <t>\n消耗4点MP发射魔法飞镖，造成1d4伤害，射程15米。【减益特质】【影响单目标】【每场景5次】【主动消耗】</t>
  </si>
  <si>
    <t>【空明境界】</t>
  </si>
  <si>
    <t>\n调查员精通空明境界的修行</t>
  </si>
  <si>
    <t>\n当负重低于最大值25%时，所有敏捷检定获得一个奖励骰。【增益特质】【影响自己】【永久持续】【被动生效】</t>
  </si>
  <si>
    <t>【物品附魔】</t>
  </si>
  <si>
    <t>\n调查员掌握为物品临时附魔</t>
  </si>
  <si>
    <t>\n消耗10点MP为一件物品附加魔法效果，持续1场景，每日限三次。【增益特质】【影响单目标】【每日3次】【主动消耗】</t>
  </si>
  <si>
    <t>【古魂召唤】</t>
  </si>
  <si>
    <t>\n调查员掌握召唤古代守卫的法术</t>
  </si>
  <si>
    <t>\n消耗15点MP召唤古代魂灵守卫，持续3回合，每日限两次。【增益特质】【影响单目标】【每日2次】【主动消耗】</t>
  </si>
  <si>
    <t>【忍耐颂歌】</t>
  </si>
  <si>
    <t>\n调查员掌握吟唱忍耐颂歌的法术</t>
  </si>
  <si>
    <t>\n消耗8点MP使目标疼痛忍耐力×2，持续3回合。【增益特质】【影响单目标】【每场景2次】【主动消耗】</t>
  </si>
  <si>
    <t>【意外收获】</t>
  </si>
  <si>
    <t>\n调查员总是能够找到意外之财</t>
  </si>
  <si>
    <t>\n每日一次，可自动找到价值1d10美元的物品或等值财物。【增益特质】【影响自己】【每日1次】【主动生效】</t>
  </si>
  <si>
    <t>【深海印记】</t>
  </si>
  <si>
    <t>\n调查员拥有神秘的深海印记</t>
  </si>
  <si>
    <t>\n佩戴时对深海生物伤害+1d6，但会被深海存在优先感知。【增益特质】【影响自己】【永久持续】【被动生效】</t>
  </si>
  <si>
    <t>【麻木诅咒】</t>
  </si>
  <si>
    <t>\n调查员掌握使目标麻木的法术</t>
  </si>
  <si>
    <t>\n成功POW对抗可使目标无法移动1d3回合，消耗7点MP。【减益特质】【影响单目标】【每场景2次】【主动消耗】</t>
  </si>
  <si>
    <t>【厄运凝视】</t>
  </si>
  <si>
    <t>\n调查员拥有带来厄运的邪眼</t>
  </si>
  <si>
    <t>\n每日一次，可使目标幸运检定增加两个惩罚骰，持续1场景。【减益特质】【影响单目标】【每日1次】【主动生效】</t>
  </si>
  <si>
    <t>【精神杂音】</t>
  </si>
  <si>
    <t>\n调查员掌握发出精神杂音的法术</t>
  </si>
  <si>
    <t>\n消耗10点MP发出令人不安的杂音，范围内目标SAN-1。【减益特质】【影响范围】【每场景2次】【主动消耗】</t>
  </si>
  <si>
    <t>【精神提振】</t>
  </si>
  <si>
    <t>\n调查员掌握暂时提振精神的秘术</t>
  </si>
  <si>
    <t>\n消耗5点MP使目标SAN临时+1d4，持续3回合，每日限五次。【增益特质】【影响单目标】【每日5次】【主动消耗】</t>
  </si>
  <si>
    <t>【毁灭射线】</t>
  </si>
  <si>
    <t>\n调查员掌握发射毁灭射线的禁忌法术</t>
  </si>
  <si>
    <t>\n消耗1d20 SAN发射毁灭射线，造成3d6伤害，射程20米。【减益特质】【影响单目标】【每模组1次】【主动消耗】</t>
  </si>
  <si>
    <t>【远古契约】</t>
  </si>
  <si>
    <t>\n调查员与远古存在签订契约</t>
  </si>
  <si>
    <t>\n所有魔法效果+25%，但每月需进行SAN检定（难度60）避免陷入疯狂。【增益特质】【影响自己】【永久持续】【被动生效】</t>
  </si>
  <si>
    <t>【阴阳窥视】</t>
  </si>
  <si>
    <t>\n调查员天生拥有看见灵体的能力</t>
  </si>
  <si>
    <t>\n可看见灵体和超自然存在，但每日自动损失0/1 SAN。【增益特质】【影响自己】【永久持续】【被动生效】</t>
  </si>
  <si>
    <t>【视野掠夺】</t>
  </si>
  <si>
    <t>\n调查员掌握掠夺目标视野的法术</t>
  </si>
  <si>
    <t>\n成功法术检定（难度60）可使目标失明1d6回合，消耗9点MP。【减益特质】【影响单目标】【每场景2次】【主动消耗】</t>
  </si>
  <si>
    <t>【死亡预视】</t>
  </si>
  <si>
    <t>\n调查员能够看见将死之人的死亡气息</t>
  </si>
  <si>
    <t>\n可看见将死之人身上的死亡气息，但每次使用损失0/1 SAN。【增益特质】【影响自己】【永久持续】【主动生效】</t>
  </si>
  <si>
    <t>【精神盛宴】</t>
  </si>
  <si>
    <t>\n调查员掌握举办精神盛宴的秘术</t>
  </si>
  <si>
    <t>\n消耗10点MP举办精神盛宴，参与者SAN恢复1d6，但可能吸引不速之客。【增益特质】【影响范围】【每场景1次】【主动消耗】</t>
  </si>
  <si>
    <t>【寻人法术】</t>
  </si>
  <si>
    <t>\n调查员掌握定位目标的法术</t>
  </si>
  <si>
    <t>\n消耗8点MP定位一个已知目标的大致方向，最大距离1公里。【增益特质】【影响单目标】【每场景2次】【主动消耗】</t>
  </si>
  <si>
    <t>【门扉揭示】</t>
  </si>
  <si>
    <t>\n调查员掌握揭示隐藏门扉的法术</t>
  </si>
  <si>
    <t>\n消耗6点MP自动发现10米内所有隐藏门和秘密通道。【增益特质】【影响范围】【每场景3次】【主动消耗】</t>
  </si>
  <si>
    <t>【火灵召唤】</t>
  </si>
  <si>
    <t>\n调查员掌握召唤火焰精灵的法术</t>
  </si>
  <si>
    <t>\n消耗10点MP召唤小型火焰精灵，每回合造成1d4火焰伤害，持续3回合。【增益特质】【影响单目标】【每场景2次】【主动消耗】</t>
  </si>
  <si>
    <t>【破灭之拳】</t>
  </si>
  <si>
    <t>\n调查员掌握为拳头附加魔法伤害</t>
  </si>
  <si>
    <t>\n消耗12点MP使拳头附加3d6魔法伤害，持续2回合。【增益特质】【影响自己】【每场景2次】【主动消耗】</t>
  </si>
  <si>
    <t>【火焰护罩】</t>
  </si>
  <si>
    <t>\n调查员掌握召唤火焰护罩的法术</t>
  </si>
  <si>
    <t>\n消耗8点MP被火焰环绕，获得3点火焰护甲，持续3回合。【增益特质】【影响自己】【每场景2次】【主动消耗】</t>
  </si>
  <si>
    <t>【致盲闪光】</t>
  </si>
  <si>
    <t>\n调查员掌握发出致盲闪光的法术</t>
  </si>
  <si>
    <t>\n消耗5点MP发出强光，目标需进行CON检定（难度50）避免失明1回合。【减益特质】【影响单目标】【每场景3次】【主动消耗】</t>
  </si>
  <si>
    <t>【血肉强化】</t>
  </si>
  <si>
    <t>\n调查员掌握暂时强化血肉的秘术</t>
  </si>
  <si>
    <t>\n消耗3点HP获得2点临时护甲，持续3回合，每日限五次。【增益特质】【影响自己】【每日5次】【主动消耗】</t>
  </si>
  <si>
    <t>【巫舞增强】</t>
  </si>
  <si>
    <t>\n调查员掌握通过舞蹈增强法术</t>
  </si>
  <si>
    <t>\n消耗10点MP跳巫术之舞，所有法术效果+20%，持续3回合。【增益特质】【影响自己】【每场景1次】【主动消耗】</t>
  </si>
  <si>
    <t>【生命盛宴】</t>
  </si>
  <si>
    <t>\n调查员掌握举办生命盛宴的法术</t>
  </si>
  <si>
    <t>\n消耗15点MP举办盛宴，所有参与者恢复2d6 HP，但有15%概率吸引危险存在。【增益特质】【影响范围】【每场景1次】【主动消耗】</t>
  </si>
  <si>
    <t>【天界召唤】</t>
  </si>
  <si>
    <t>\n调查员掌握召唤天界存在的法术</t>
  </si>
  <si>
    <t>\n消耗1d20 SAN召唤天界生物，可能带来启示或疯狂，每模组限一次。【增益特质】【影响特殊】【每模组1次】【主动消耗】</t>
  </si>
  <si>
    <t>【狂暴真言】</t>
  </si>
  <si>
    <t>\n调查员掌握念诵狂暴真言的技巧</t>
  </si>
  <si>
    <t>\n消耗10点MP使目标进入狂暴状态，伤害+1d6但防御-10，持续3回合。【增益特质】【影响单目标】【每场景2次】【主动消耗】</t>
  </si>
  <si>
    <t>【梦境穿梭】</t>
  </si>
  <si>
    <t>\n调查员掌握打开梦境之门的法术</t>
  </si>
  <si>
    <t>\n消耗12点MP进入梦境维度，可与其他梦境行者交流，持续1小时。【增益特质】【影响自己】【每场景1次】【主动消耗】</t>
  </si>
  <si>
    <t>【时空存储】</t>
  </si>
  <si>
    <t>\n调查员掌握创造临时储物空间</t>
  </si>
  <si>
    <t>\n消耗8点MP创造1立方米临时储物空间，持续24小时。【增益特质】【影响特殊】【每日2次】【主动消耗】</t>
  </si>
  <si>
    <t>【梦境学习】</t>
  </si>
  <si>
    <t>\n调查员掌握在梦中学习的技巧</t>
  </si>
  <si>
    <t>\n在梦境中学习技能，技能成长值×2，但需进行INT检定（难度60）保留记忆。【增益特质】【影响自己】【永久持续】【被动生效】</t>
  </si>
  <si>
    <t>【恐惧吸收】</t>
  </si>
  <si>
    <t>\n调查员掌握吸收恐惧情绪的秘术</t>
  </si>
  <si>
    <t>\n可从恐惧目标处吸收1点SAN，但每日限三次，有成瘾风险。【增益特质】【影响单目标】【每日3次】【主动消耗】</t>
  </si>
  <si>
    <t>【情绪感知】</t>
  </si>
  <si>
    <t>\n调查员能够感知他人的嫉妒情绪</t>
  </si>
  <si>
    <t>\n可感知他人的嫉妒情绪，社交检定获得一个奖励骰。【增益特质】【影响自己】【永久持续】【被动生效】</t>
  </si>
  <si>
    <t>【欲望囚笼】</t>
  </si>
  <si>
    <t>\n调查员掌握制造欲望牢笼的法术</t>
  </si>
  <si>
    <t>\n成功POW对抗可困住目标，直到其特定欲望得到满足，消耗12点MP。【减益特质】【影响单目标】【每场景1次】【主动消耗】</t>
  </si>
  <si>
    <t>【盗贼克星】</t>
  </si>
  <si>
    <t>\n调查员对盗贼具有天然威慑</t>
  </si>
  <si>
    <t>\n所有针对调查员的盗窃和潜行检定增加两个惩罚骰。【增益特质】【影响自己】【永久持续】【被动生效】</t>
  </si>
  <si>
    <t>【血肉转移】</t>
  </si>
  <si>
    <t>\n调查员掌握转移血肉治愈的秘术</t>
  </si>
  <si>
    <t>\n消耗1d6 HP可修复目标1d6 HP，需要医学检定（难度65）。【增益特质】【影响单目标】【每场景2次】【主动消耗】</t>
  </si>
  <si>
    <t>【窒息之触】</t>
  </si>
  <si>
    <t>\n调查员掌握召唤窒息触手的法术</t>
  </si>
  <si>
    <t>\n消耗12点MP召唤触手，目标需进行STR检定（难度60）避免窒息，每回合损失1d4 HP。【减益特质】【影响单目标】【每场景1次】【主动消耗】</t>
  </si>
  <si>
    <t>【死亡之触】</t>
  </si>
  <si>
    <t>\n调查员掌握施放死亡之触的秘术</t>
  </si>
  <si>
    <t>\n接触攻击可造成1d6坏死伤害，但每次使用损失0/1 SAN。【减益特质】【影响单目标】【每场景3次】【主动消耗】</t>
  </si>
  <si>
    <t>【活体献祭】</t>
  </si>
  <si>
    <t>\n调查员掌握活体献祭的禁忌仪式</t>
  </si>
  <si>
    <t>\n消耗一个活体祭品，恢复2d6 HP和2d6 MP，但损失1d10 SAN。【增益特质】【影响自己】【每模组1次】【主动消耗】</t>
  </si>
  <si>
    <t>【腐化诅咒】</t>
  </si>
  <si>
    <t>\n调查员掌握使肉体腐化的诅咒</t>
  </si>
  <si>
    <t>\n成功法术检定（难度65）可使目标肉体腐烂，CON-1d6，持续3回合。【减益特质】【影响单目标】【每场景2次】【主动消耗】</t>
  </si>
  <si>
    <t>【迟缓诅咒】</t>
  </si>
  <si>
    <t>\n调查员掌握使目标行动迟缓的诅咒</t>
  </si>
  <si>
    <t>\n成功POW对抗可使目标DEX-20，移动速度减半，持续3回合。【减益特质】【影响单目标】【每场景2次】【主动消耗】</t>
  </si>
  <si>
    <t>【石化诅咒】</t>
  </si>
  <si>
    <t>\n调查员掌握逐渐石化目标的诅咒</t>
  </si>
  <si>
    <t>\n成功法术可使目标逐渐石化，每回合移动速度-50%，3回合后完全石化。【减益特质】【影响单目标】【每场景1次】【主动消耗】</t>
  </si>
  <si>
    <t>【蛇神之臂】</t>
  </si>
  <si>
    <t>\n调查员获得蛇神祝福的手臂</t>
  </si>
  <si>
    <t>\n手臂可伸缩5米进行攻击，造成1d4伤害，但有10%概率失控。【增益特质】【影响自己】【永久持续】【主动生效】</t>
  </si>
  <si>
    <t>【伤口治愈】</t>
  </si>
  <si>
    <t>\n消耗8点MP恢复2d6 HP，对撕裂伤害效果×1.5。【增益特质】【影响单目标】【每场景3次】【主动消耗】</t>
  </si>
  <si>
    <t>【精神治愈】</t>
  </si>
  <si>
    <t>\n调查员掌握治愈精神创伤的法术</t>
  </si>
  <si>
    <t>\n消耗8点MP恢复2d6 SAN，对临时疯狂效果×1.5。【增益特质】【影响单目标】【每场景3次】【主动消耗】</t>
  </si>
  <si>
    <t>【通路封锁】</t>
  </si>
  <si>
    <t>\n调查员掌握封锁通路的法术</t>
  </si>
  <si>
    <t>\n消耗6点MP封锁一个门或通道，持续1d6小时。【增益特质】【影响单目标】【每场景2次】【主动消耗】</t>
  </si>
  <si>
    <t>【远古休眠】</t>
  </si>
  <si>
    <t>\n调查员掌握进入远古休眠的秘术</t>
  </si>
  <si>
    <t>\n可主动进入休眠状态1d100年而不老化，但可能错过重要事件。【增益特质】【影响自己】【每模组1次】【主动生效】</t>
  </si>
  <si>
    <t>【植物狂潮】</t>
  </si>
  <si>
    <t>\n调查员掌握召唤植物狂潮的法术</t>
  </si>
  <si>
    <t>\n消耗1d20 SAN召唤植物狂潮，范围内目标每回合受到1d6伤害，持续3回合。【减益特质】【影响范围】【每模组1次】【主动消耗】</t>
  </si>
  <si>
    <t>【熔岩喷发】</t>
  </si>
  <si>
    <t>\n调查员掌握召唤熔岩喷发的法术</t>
  </si>
  <si>
    <t>\n消耗15点MP召唤熔岩喷发，造成3d6火焰伤害，范围3×3米。【减益特质】【影响范围】【每场景1次】【主动消耗】</t>
  </si>
  <si>
    <t>【真视粉尘】</t>
  </si>
  <si>
    <t>\n调查员掌握使用真视粉尘的法术</t>
  </si>
  <si>
    <t>\n消耗5点MP撒播粉尘，可看破幻象和隐身，持续3回合。【增益特质】【影响范围】【每场景3次】【主动消耗】</t>
  </si>
  <si>
    <t>【厄运转移】</t>
  </si>
  <si>
    <t>\n调查员掌握转移自身厄运的秘术</t>
  </si>
  <si>
    <t>\n可将自身的一个负面效果转移给其他目标，消耗1d6 SAN。【增益特质】【影响单目标】【每日1次】【主动消耗】</t>
  </si>
  <si>
    <t>【不朽诅咒】</t>
  </si>
  <si>
    <t>\n调查员受到不朽的诅咒</t>
  </si>
  <si>
    <t>\n不会自然死亡，但每月需进行SAN检定（难度55）避免陷入疯狂。【减益特质】【影响自己】【永久持续】【被动生效】</t>
  </si>
  <si>
    <t>【完美投掷】</t>
  </si>
  <si>
    <t>\n调查员掌握完美投掷的技巧</t>
  </si>
  <si>
    <t>\n投掷检定自动成功，但每日限三次，需要合适的投掷物。【增益特质】【影响自己】【每日3次】【主动生效】</t>
  </si>
  <si>
    <t>【恐怖视界】</t>
  </si>
  <si>
    <t>\n调查员掌握展示恐怖视界的法术</t>
  </si>
  <si>
    <t>\n成功POW对抗可使目标SAN-1d6，目睹不可名状的恐怖存在。【减益特质】【影响单目标】【每场景1次】【主动消耗】</t>
  </si>
  <si>
    <t>【灵魂囚禁】</t>
  </si>
  <si>
    <t>\n调查员掌握囚禁灵魂的法术</t>
  </si>
  <si>
    <t>\n消耗12点MP将灵魂囚禁在特定容器中，需进行POW对抗。【减益特质】【影响单目标】【每场景1次】【主动消耗】</t>
  </si>
  <si>
    <t>【焚化躯体】</t>
  </si>
  <si>
    <t>\n调查员掌握瞬间焚化目标的法术</t>
  </si>
  <si>
    <t>\n消耗20点MP造成4d6火焰伤害，但对火焰免疫目标无效。【减益特质】【影响单目标】【每模组1次】【主动消耗】</t>
  </si>
  <si>
    <t>\n调查员掌握直接精神沟通的法术</t>
  </si>
  <si>
    <t>\n消耗3点MP与目标进行心灵对话，无视语言障碍，最大距离50米。【增益特质】【影响单目标】【每场景5次】【主动消耗】</t>
  </si>
  <si>
    <t>【真实启蒙】</t>
  </si>
  <si>
    <t>\n调查员通过禁忌知识获得真实启蒙</t>
  </si>
  <si>
    <t>\n所有知识检定获得两个奖励骰，但SAN上限永久-10，且更容易接触危险知识。【增益特质】【影响自己】【永久持续】【被动生效】</t>
  </si>
  <si>
    <t>【精神传送】</t>
  </si>
  <si>
    <t>\n调查员掌握将精神传送到熟悉地点的法术</t>
  </si>
  <si>
    <t>\n消耗10点MP将精神传送到熟悉地点，持续1小时，身体处于无防备状态。【增益特质】【影响自己】【每场景1次】【主动消耗】</t>
  </si>
  <si>
    <t>\n调查员掌握建立精神防御壁垒的法术</t>
  </si>
  <si>
    <t>\n消耗8点MP获得5点精神护甲，专门对抗精神攻击，持续3回合。【增益特质】【影响自己】【每场景2次】【主动消耗】</t>
  </si>
  <si>
    <t>【精神连结】</t>
  </si>
  <si>
    <t>\n调查员掌握与目标建立精神连结的法术</t>
  </si>
  <si>
    <t>\n消耗6点MP与目标建立精神连结，可共享基础感官信息，持续1小时。【增益特质】【影响单目标】【每场景3次】【主动消耗】</t>
  </si>
  <si>
    <t>【筋骨弱化】</t>
  </si>
  <si>
    <t>\n调查员掌握弱化目标筋骨的法术</t>
  </si>
  <si>
    <t>\n成功法术检定（难度60）可使目标STR-1d6，持续3回合，消耗7点MP。【减益特质】【影响单目标】【每场景2次】【主动消耗】</t>
  </si>
  <si>
    <t>\n调查员掌握操控局部重力的法术</t>
  </si>
  <si>
    <t>\n消耗12点MP改变5×5米区域重力，目标移动速度减半，持续2回合。【减益特质】【影响范围】【每场景1次】【主动消耗】</t>
  </si>
  <si>
    <t>【灾厄气球】</t>
  </si>
  <si>
    <t>\n调查员掌握制造灾厄气球的法术</t>
  </si>
  <si>
    <t>\n消耗8点MP制造漂浮气球，可释放随机灾难效果（毒雾/闪电/寒冰），持续3回合。【减益特质】【影响范围】【每场景2次】【主动消耗】</t>
  </si>
  <si>
    <t>【面纱撕裂】</t>
  </si>
  <si>
    <t>\n调查员掌握撕裂现实面纱的禁忌法术</t>
  </si>
  <si>
    <t>\n消耗1d20 SAN短暂窥见真实，可能获得珍贵知识或陷入临时疯狂。【增益特质】【影响自己】【每模组1次】【主动消耗】</t>
  </si>
  <si>
    <t>【神圣光芒】</t>
  </si>
  <si>
    <t>\n调查员掌握召唤神圣光芒的法术</t>
  </si>
  <si>
    <t>\n消耗10点MP召唤神圣光芒，对邪恶存在造成2d6神圣伤害，对普通生物无效。【增益特质】【影响范围】【每场景2次】【主动消耗】</t>
  </si>
  <si>
    <t>【化脓诅咒】</t>
  </si>
  <si>
    <t>\n调查员掌握使伤口化脓的诅咒</t>
  </si>
  <si>
    <t>\n成功法术检定（难度55）可使目标伤口化脓，每回合损失1点HP，持续5回合。【减益特质】【影响单目标】【每场景2次】【主动消耗】</t>
  </si>
  <si>
    <t>【血肉护甲】</t>
  </si>
  <si>
    <t>\n调查员掌握用自身血肉制作护甲的秘术</t>
  </si>
  <si>
    <t>\n消耗2d6 HP制作生物护甲，获得3点临时护甲，持续3回合。【增益特质】【影响自己】【每场景2次】【主动消耗】</t>
  </si>
  <si>
    <t>【躯体束缚】</t>
  </si>
  <si>
    <t>\n调查员掌握束缚目标躯体的法术</t>
  </si>
  <si>
    <t>【缩小体型】</t>
  </si>
  <si>
    <t>\n调查员掌握缩小目标体型的仪式</t>
  </si>
  <si>
    <t>\n消耗10点MP使目标体型减半，所有属性-20%，持续1场景。【减益特质】【影响单目标】【每场景1次】【主动消耗】</t>
  </si>
  <si>
    <t>【预知钟摆】</t>
  </si>
  <si>
    <t>\n调查员拥有可预知危险的奈亚钟摆</t>
  </si>
  <si>
    <t>\n可使用钟摆预知即将到来的危险，但每次使用损失0/1 SAN。【增益特质】【影响自己】【每日3次】【主动消耗】</t>
  </si>
  <si>
    <t>【蛆虫寄生】</t>
  </si>
  <si>
    <t>\n调查员掌握施放蛆虫寄生的诅咒</t>
  </si>
  <si>
    <t>\n成功法术检定（难度65）可使目标被蛆虫寄生，每回合损失1点CON，持续3回合。【减益特质】【影响单目标】【每场景1次】【主动消耗】</t>
  </si>
  <si>
    <t>【亡者面具】</t>
  </si>
  <si>
    <t>\n调查员掌握制作死亡面具的技艺</t>
  </si>
  <si>
    <t>\n使用面具可完美伪装成特定死者，但可能被其亲属识破。【增益特质】【影响自己】【每场景1次】【主动生效】</t>
  </si>
  <si>
    <t>【分解仪式】</t>
  </si>
  <si>
    <t>\n调查员掌握分解物品的禁忌仪式</t>
  </si>
  <si>
    <t>\n消耗15点MP分解非魔法物品至分子级别，对魔法物品无效。【增益特质】【影响单目标】【每场景1次】【主动消耗】</t>
  </si>
  <si>
    <t>【真言吐露】</t>
  </si>
  <si>
    <t>\n调查员掌握强迫目标说出真相的法术</t>
  </si>
  <si>
    <t>\n成功POW对抗可使目标说出真相，持续1d6回合，消耗9点MP。【增益特质】【影响单目标】【每场景2次】【主动消耗】</t>
  </si>
  <si>
    <t>【心灵屏障】</t>
  </si>
  <si>
    <t>\n调查员天生拥有强大的心灵屏障</t>
  </si>
  <si>
    <t>\n所有针对调查员的读心和精神探测自动失败，但对物理探测无效。【增益特质】【影响自己】【永久持续】【被动生效】</t>
  </si>
  <si>
    <t>【精神支配】</t>
  </si>
  <si>
    <t>\n调查员掌握完全支配目标心灵的法术</t>
  </si>
  <si>
    <t>\n成功POW对抗可完全控制目标行动，持续1回合，消耗15点MP。【减益特质】【影响单目标】【每场景1次】【主动消耗】</t>
  </si>
  <si>
    <t>【理性剥夺】</t>
  </si>
  <si>
    <t>\n调查员掌握暂时剥夺目标理性的法术</t>
  </si>
  <si>
    <t>\n成功法术检定（难度70）可使目标暂时失去理智，行动完全随机，持续2回合。【减益特质】【影响单目标】【每场景1次】【主动消耗】</t>
  </si>
  <si>
    <t>【魔力抽取】</t>
  </si>
  <si>
    <t>\n调查员掌握从魔法物品中抽取魔力的技巧</t>
  </si>
  <si>
    <t>\n从魔法物品中抽取1d6 MP，但有30%概率损坏物品。【增益特质】【影响单目标】【每场景2次】【主动消耗】</t>
  </si>
  <si>
    <t>\n调查员掌握狂热净化区域的仪式</t>
  </si>
  <si>
    <t>\n消耗10点MP净化5×5米区域，驱除所有低级魔法效果，持续1小时。【增益特质】【影响范围】【每场景1次】【主动消耗】</t>
  </si>
  <si>
    <t>【身体交换】</t>
  </si>
  <si>
    <t>\n调查员掌握与目标交换身体的秘术</t>
  </si>
  <si>
    <t>\n需双方同意，与目标交换身体控制权，消耗2d6 SAN，持续1场景。【增益特质】【影响单目标】【每模组1次】【主动消耗】</t>
  </si>
  <si>
    <t>【精神转移】</t>
  </si>
  <si>
    <t>\n调查员掌握将精神转移到容器的秘术</t>
  </si>
  <si>
    <t>\n将精神转移到其他容器，原身体进入休眠状态，持续24小时。【增益特质】【影响自己】【每模组1次】【主动消耗】</t>
  </si>
  <si>
    <t>【精神冲击】</t>
  </si>
  <si>
    <t>\n调查员掌握发动精神冲击的法术</t>
  </si>
  <si>
    <t>\n消耗12点MP造成2d6精神伤害，无视物理护甲，射程10米。【减益特质】【影响单目标】【每场景2次】【主动消耗】</t>
  </si>
  <si>
    <t>【魔法反射】</t>
  </si>
  <si>
    <t>\n调查员拥有反射探测魔法的镜面之眼</t>
  </si>
  <si>
    <t>\n可自动反射指向自身的探测和侦查类魔法。【增益特质】【影响自己】【永久持续】【被动生效】</t>
  </si>
  <si>
    <t>【寻觅仪式】</t>
  </si>
  <si>
    <t>\n调查员掌握定位目标的寻觅仪式</t>
  </si>
  <si>
    <t>\n消耗8点MP定位寻找的物品或人物，最大距离1公里。【增益特质】【影响单目标】【每场景2次】【主动消耗】</t>
  </si>
  <si>
    <t>【石蛇召唤】</t>
  </si>
  <si>
    <t>\n调查员掌握召唤石化之蛇的秘术</t>
  </si>
  <si>
    <t>\n消耗10点MP召唤蛇类，咬击可使目标局部石化1回合，持续3回合。【减益特质】【影响单目标】【每场景2次】【主动消耗】</t>
  </si>
  <si>
    <t>【月光揭示】</t>
  </si>
  <si>
    <t>\n调查员掌握借助月光揭示隐藏痕迹的法术</t>
  </si>
  <si>
    <t>\n在月光下使用，可揭示隐藏的魔法痕迹和秘密，消耗6点MP。【增益特质】【影响范围】【每场景3次】【主动消耗】</t>
  </si>
  <si>
    <t>【门扉迁移】</t>
  </si>
  <si>
    <t>\n调查员掌握迁移魔法门的法术</t>
  </si>
  <si>
    <t>\n消耗12点MP将现有的魔法门转移到新位置，最大距离50米。【增益特质】【影响单目标】【每场景1次】【主动消耗】</t>
  </si>
  <si>
    <t>【忠诚护符】</t>
  </si>
  <si>
    <t>\n调查员拥有抵抗精神控制的忠诚项链</t>
  </si>
  <si>
    <t>\n佩戴时所有精神控制和支配效果自动失效。【增益特质】【影响自己】【永久持续】【被动生效】</t>
  </si>
  <si>
    <t>【坏疽诅咒】</t>
  </si>
  <si>
    <t>\n调查员掌握施放坏疽诅咒的法术</t>
  </si>
  <si>
    <t>\n成功法术可使目标伤口坏疽，治疗效果减半，持续1场景。【减益特质】【影响单目标】【每场景2次】【主动消耗】</t>
  </si>
  <si>
    <t>【网络穿梭】</t>
  </si>
  <si>
    <t>\n调查员掌握在电子网络中穿梭的能力</t>
  </si>
  <si>
    <t>\n可在电子网络中自由穿梭，但可能被防火墙阻挡，每日限三次。【增益特质】【影响特殊】【每日3次】【主动消耗】</t>
  </si>
  <si>
    <t>【恐惧梦魇】</t>
  </si>
  <si>
    <t>\n调查员掌握制造恐惧梦魇的法术</t>
  </si>
  <si>
    <t>\n成功法术检定（难度60）可使目标做噩梦，SAN-1d4，消耗8点MP。【减益特质】【影响单目标】【每场景2次】【主动消耗】</t>
  </si>
  <si>
    <t>【白日幻觉】</t>
  </si>
  <si>
    <t>\n调查员掌握在白天制造幻觉的法术</t>
  </si>
  <si>
    <t>\n消耗8点MP使目标产生逼真幻觉，所有检定增加一个惩罚骰，持续2回合。【减益特质】【影响单目标】【每场景2次】【主动消耗】</t>
  </si>
  <si>
    <t>【物品诅咒】</t>
  </si>
  <si>
    <t>\n调查员掌握诅咒物品的法术</t>
  </si>
  <si>
    <t>\n接触物品施加诅咒，下一个使用者遭受各种厄运，持续24小时。【减益特质】【影响单目标】【每场景2次】【主动消耗】</t>
  </si>
  <si>
    <t>【疯狂诅咒】</t>
  </si>
  <si>
    <t>\n调查员掌握施放疯狂诅咒的禁忌法术</t>
  </si>
  <si>
    <t>\n成功POW对抗可使目标SAN-1d10，消耗12点MP。【减益特质】【影响单目标】【每模组1次】【主动消耗】</t>
  </si>
  <si>
    <t>【归于尘土】</t>
  </si>
  <si>
    <t>\n调查员掌握使生物归于尘土的禁忌法术</t>
  </si>
  <si>
    <t>\n消耗20点MP将生物化为尘土，需进行POW对抗，对强大生物无效。【减益特质】【影响单目标】【每模组1次】【主动消耗】</t>
  </si>
  <si>
    <t>【枯竭法阵】</t>
  </si>
  <si>
    <t>\n调查员掌握绘制魔力枯竭法阵的技巧</t>
  </si>
  <si>
    <t>\n消耗15点MP绘制法阵，范围内所有魔法效果减半，持续3回合。【减益特质】【影响范围】【每场景1次】【主动消耗】</t>
  </si>
  <si>
    <t>【尘土亲和】</t>
  </si>
  <si>
    <t>\n调查员与尘土环境具有特殊亲和力</t>
  </si>
  <si>
    <t>\n在尘土环境中所有潜行和隐藏检定获得两个奖励骰。【增益特质】【影响自己】【永久持续】【被动生效】</t>
  </si>
  <si>
    <t>【穿墙凿壁】</t>
  </si>
  <si>
    <t>\n调查员掌握在障碍上开辟通道的法术</t>
  </si>
  <si>
    <t>\n消耗10点MP在墙壁或障碍上打开临时通道，持续1回合。【增益特质】【影响单目标】【每场景2次】【主动消耗】</t>
  </si>
  <si>
    <t>【感知残留】</t>
  </si>
  <si>
    <t>\n调查员掌握感知物品残留信息的法术</t>
  </si>
  <si>
    <t>\n接触物品可感知最后使用者的基本信息和情绪，消耗5点MP。【增益特质】【影响单目标】【每场景3次】【主动消耗】</t>
  </si>
  <si>
    <t>【躯体修复】</t>
  </si>
  <si>
    <t>\n调查员掌握暂时修复身体缺陷的秘术</t>
  </si>
  <si>
    <t>\n消耗5点MP暂时修复一个身体缺陷（如近视、耳背），持续1场景。【增益特质】【影响自己】【每场景2次】【主动消耗】</t>
  </si>
  <si>
    <t>【疯狂笛音】</t>
  </si>
  <si>
    <t>\n调查员拥有可引发疯狂的笛子</t>
  </si>
  <si>
    <t>\n吹奏时周围10米内目标需进行SAN检定（难度55），失败则陷入临时疯狂。【减益特质】【影响范围】【每场景1次】【主动消耗】</t>
  </si>
  <si>
    <t>【剧毒之血】</t>
  </si>
  <si>
    <t>\n调查员血液中含有致命毒素</t>
  </si>
  <si>
    <t>\n血液可作为接触性毒药使用，目标需进行CON检定（难度60）避免中毒。【增益特质】【影响单目标】【永久持续】【被动生效】</t>
  </si>
  <si>
    <t>【平凡无奇】</t>
  </si>
  <si>
    <t>\n调查员具有令人忽视的平凡气质</t>
  </si>
  <si>
    <t>\n所有针对调查员的注意和记忆检定增加两个惩罚骰。【增益特质】【影响自己】【永久持续】【被动生效】</t>
  </si>
  <si>
    <t>【身体强占】</t>
  </si>
  <si>
    <t>\n调查员掌握强占他人身体的禁忌秘术</t>
  </si>
  <si>
    <t>\n成功POW对抗可占据目标身体，但原身体陷入昏迷，持续1场景。【减益特质】【影响单目标】【每模组1次】【主动消耗】</t>
  </si>
  <si>
    <t>【尸体占据】</t>
  </si>
  <si>
    <t>\n调查员掌握占据尸体的禁忌秘术</t>
  </si>
  <si>
    <t>\n消耗1d10 SAN占据尸体行动，但尸体可能快速腐烂，持续1小时。【增益特质】【影响单目标】【每模组1次】【主动消耗】</t>
  </si>
  <si>
    <t>\n调查员掌握制造真视粉尘的法术</t>
  </si>
  <si>
    <t>\n撒播粉尘可揭示隐形单位和魔法陷阱，持续3回合，消耗6点MP。【增益特质】【影响范围】【每场景2次】【主动消耗】</t>
  </si>
  <si>
    <t>【生命转换】</t>
  </si>
  <si>
    <t>\n调查员掌握用生命能量替代魔力的技巧</t>
  </si>
  <si>
    <t>\n可消耗2点HP代替1点MP施法，每日最多转换20点HP。【增益特质】【影响自己】【永久持续】【主动生效】</t>
  </si>
  <si>
    <t>\n调查员掌握汲取他人魔力的法术</t>
  </si>
  <si>
    <t>\n成功POW对抗可吸收目标1d6 MP，消耗5点MP。【增益特质】【影响单目标】【每场景3次】【主动消耗】</t>
  </si>
  <si>
    <t>【神秘祈求】</t>
  </si>
  <si>
    <t>\n调查员掌握向未知存在祈求的法术</t>
  </si>
  <si>
    <t>\n消耗1d6 SAN随机获得一个魔法效果（可能正面或负面）。【增益特质】【影响自己】【每日1次】【主动消耗】</t>
  </si>
  <si>
    <t>【僵尸创造】</t>
  </si>
  <si>
    <t>\n调查员掌握将尸体转化为僵尸的秘术</t>
  </si>
  <si>
    <t>\n可将新鲜尸体转化为僵尸仆从，持续1场景，消耗1d4 SAN。【增益特质】【影响单目标】【每场景1次】【主动消耗】</t>
  </si>
  <si>
    <t>【放逐印记】</t>
  </si>
  <si>
    <t>\n调查员掌握绘制放逐十字的法术</t>
  </si>
  <si>
    <t>\n消耗10点MP绘制放逐印记，可放逐异界生物，需进行POW对抗。【减益特质】【影响单目标】【每场景2次】【主动消耗】</t>
  </si>
  <si>
    <t>【消除戒心】</t>
  </si>
  <si>
    <t>\n调查员掌握消除目标戒心的法术</t>
  </si>
  <si>
    <t>\n成功话术检定（难度65）可使目标完全信任调查员，持续1d6小时。【增益特质】【影响单目标】【每场景1次】【主动消耗】</t>
  </si>
  <si>
    <t>【野兽加速】</t>
  </si>
  <si>
    <t>\n调查员掌握加速野兽行动的法术</t>
  </si>
  <si>
    <t>\n消耗6点MP使野兽移动速度×2，持续3回合。【增益特质】【影响单目标】【每场景3次】【主动消耗】</t>
  </si>
  <si>
    <t>【尸体操纵】</t>
  </si>
  <si>
    <t>\n调查员掌握操纵尸体行动的法术</t>
  </si>
  <si>
    <t>\n消耗8点MP使尸体暂时活动，可执行简单命令，持续1d6回合。【增益特质】【影响单目标】【每场景2次】【主动消耗】</t>
  </si>
  <si>
    <t>【鬼魂召唤】</t>
  </si>
  <si>
    <t>\n调查员掌握召唤区域鬼魂的法术</t>
  </si>
  <si>
    <t>\n消耗12点MP召唤区域内的鬼魂，可能无法控制，持续3回合。【增益特质】【影响范围】【每场景1次】【主动消耗】</t>
  </si>
  <si>
    <t>【夜雾召唤】</t>
  </si>
  <si>
    <t>\n调查员掌握召唤夜雾的法术</t>
  </si>
  <si>
    <t>\n消耗7点MP召唤浓雾，范围内潜行检定获得一个奖励骰，持续3回合。【增益特质】【影响范围】【每场景2次】【主动消耗】</t>
  </si>
  <si>
    <t>【疯狂梦境】</t>
  </si>
  <si>
    <t>\n调查员掌握制造疯狂梦境的法术</t>
  </si>
  <si>
    <t>\n成功法术可使目标陷入疯狂梦境，SAN-1d6，消耗10点MP。【减益特质】【影响单目标】【每场景1次】【主动消耗】</t>
  </si>
  <si>
    <t>【魔法之手】</t>
  </si>
  <si>
    <t>\n调查员掌握召唤魔法之手的法术</t>
  </si>
  <si>
    <t>\n消耗4点MP召唤魔法手，可进行精细操作，射程10米。【增益特质】【影响特殊】【每场景5次】【主动消耗】</t>
  </si>
  <si>
    <t>【血肉活化】</t>
  </si>
  <si>
    <t>\n调查员掌握赋予血肉生命的禁忌秘术</t>
  </si>
  <si>
    <t>\n消耗1d6 HP和1d6 SAN使血肉组织获得基础生命，持续1小时。【增益特质】【影响单目标】【每场景1次】【主动消耗】</t>
  </si>
  <si>
    <t>【猩红领域】</t>
  </si>
  <si>
    <t>\n调查员掌握开启猩红咒印领域的禁忌法术</t>
  </si>
  <si>
    <t>\n消耗1d8 SAN开启领域，每轮献祭1HP和3MP，30码内目标每回合损失1d3/1d2/1HP（每10码衰减）。献祭5POW/轮则伤害变为1d6/1d4/2，一次性献祭10POW则50码内所有目标受2d8伤害。【减益特质】【影响范围】【每模组1次】【主动消耗】</t>
  </si>
  <si>
    <t>【记忆回溯】</t>
  </si>
  <si>
    <t>\n调查员掌握回溯过去记忆的能力</t>
  </si>
  <si>
    <t>\n可重温过去记忆，但有20%概率混淆现实与记忆。【增益特质】【影响自己】【每日3次】【主动消耗】</t>
  </si>
  <si>
    <t>【亡者执念】</t>
  </si>
  <si>
    <t>\n调查员能够感知死者未完成的愿望</t>
  </si>
  <si>
    <t>\n可感知死者未完成的愿望，但每次使用损失0/1 SAN。【增益特质】【影响单目标】【每场景2次】【主动消耗】</t>
  </si>
  <si>
    <t>【恩宠剥夺】</t>
  </si>
  <si>
    <t>\n调查员掌握剥夺神圣恩宠的法术</t>
  </si>
  <si>
    <t>\n成功法术可使目标失去所有神圣祝福效果，消耗12点MP。【减益特质】【影响单目标】【每场景1次】【主动消耗】</t>
  </si>
  <si>
    <t>【空间撕裂】</t>
  </si>
  <si>
    <t>\n调查员掌握撕裂空间结构的禁忌法术</t>
  </si>
  <si>
    <t>\n消耗1d20 SAN撕裂现实，创造临时空间裂缝，可能引发不可预知后果。【增益特质】【影响范围】【每模组1次】【主动消耗】</t>
  </si>
  <si>
    <t>【精神净化】</t>
  </si>
  <si>
    <t>\n调查员掌握净化精神污染的法术</t>
  </si>
  <si>
    <t>\n消耗8点MP移除目标一个临时疯狂状态，或恢复1d6 SAN，每日限五次。【增益特质】【影响单目标】【每日5次】【主动消耗】</t>
  </si>
  <si>
    <t>【冥想恢复】</t>
  </si>
  <si>
    <t>\n调查员通过深度冥想恢复身心状态</t>
  </si>
  <si>
    <t>\n进行10分钟冥想可恢复1d3 HP和1d3 MP，每日限三次，需要安静环境。【增益特质】【影响自己】【每日3次】【主动生效】</t>
  </si>
  <si>
    <t>【精盐复活】</t>
  </si>
  <si>
    <t>\n调查员掌握使用精盐进行复活仪式</t>
  </si>
  <si>
    <t>\n消耗20点MP和1d10 SAN尝试复活死者，需要完整尸体，成功率基于尸体状态。【增益特质】【影响单目标】【每模组1次】【主动消耗】</t>
  </si>
  <si>
    <t>【挚爱召唤】</t>
  </si>
  <si>
    <t>\n调查员掌握召唤已故挚爱的法术</t>
  </si>
  <si>
    <t>\n消耗15点MP召唤挚爱幻影，可进行简短交流，持续10分钟，损失1d6 SAN。【增益特质】【影响特殊】【每模组1次】【主动消耗】</t>
  </si>
  <si>
    <t>【仆从遣散】</t>
  </si>
  <si>
    <t>\n调查员掌握立即遣散召唤仆从</t>
  </si>
  <si>
    <t>\n消耗5点MP立即解散一个召唤生物，避免反噬风险。【增益特质】【影响单目标】【每场景3次】【主动消耗】</t>
  </si>
  <si>
    <t>【门扉封闭】</t>
  </si>
  <si>
    <t>\n调查员掌握永久关闭魔法门</t>
  </si>
  <si>
    <t>\n消耗18点MP永久关闭一个魔法传送门，需进行法术检定（难度70）。【增益特质】【影响单目标】【每模组1次】【主动消耗】</t>
  </si>
  <si>
    <t>【八印防护】</t>
  </si>
  <si>
    <t>\n调查员掌握绘制八重防护印记</t>
  </si>
  <si>
    <t>\n消耗15点MP绘制法印，提供全方位魔法防护，持续1小时。【增益特质】【影响范围】【每场景1次】【主动消耗】</t>
  </si>
  <si>
    <t>【神圣蜕皮】</t>
  </si>
  <si>
    <t>\n调查员掌握神圣蛇蜕的秘术</t>
  </si>
  <si>
    <t>\n消耗1d10 SAN蜕去旧躯，完全恢复HP和MP，但每月限一次。【增益特质】【影响自己】【每月1次】【主动消耗】</t>
  </si>
  <si>
    <t>【物品封印】</t>
  </si>
  <si>
    <t>\n调查员掌握施加保护封印</t>
  </si>
  <si>
    <t>\n消耗10点MP封印物品，防止未经授权使用，持续24小时。【增益特质】【影响单目标】【每场景2次】【主动消耗】</t>
  </si>
  <si>
    <t>【强力守卫】</t>
  </si>
  <si>
    <t>\n调查员掌握召唤强力守卫</t>
  </si>
  <si>
    <t>\n消耗20点MP召唤强力守卫，属性为STR 70, CON 60，持续1场景。【增益特质】【影响单目标】【每模组1次】【主动消耗】</t>
  </si>
  <si>
    <t>【否定领域】</t>
  </si>
  <si>
    <t>\n调查员建立否定魔法结界</t>
  </si>
  <si>
    <t>\n消耗15点MP创造5×5米结界，范围内所有魔法效果减半，持续3回合。【减益特质】【影响范围】【每场景1次】【主动消耗】</t>
  </si>
  <si>
    <t>【晶石囚禁】</t>
  </si>
  <si>
    <t>\n调查员掌握晶石封印术</t>
  </si>
  <si>
    <t>\n消耗12点MP将目标封印在晶石中，需进行POW对抗，持续1场景。【减益特质】【影响单目标】【每场景1次】【主动消耗】</t>
  </si>
  <si>
    <t>【梦境传讯】</t>
  </si>
  <si>
    <t>\n调查员掌握发送梦境信息</t>
  </si>
  <si>
    <t>\n消耗6点MP向睡眠中的目标发送简短信息，最大距离10公里。【增益特质】【影响单目标】【每场景3次】【主动消耗】</t>
  </si>
  <si>
    <t>【蛇神祝福】</t>
  </si>
  <si>
    <t>\n调查员获得蛇神的特殊祝福</t>
  </si>
  <si>
    <t>\n所有与蛇相关的检定获得两个奖励骰，对蛇毒免疫。【增益特质】【影响自己】【永久持续】【被动生效】</t>
  </si>
  <si>
    <t>【毒牙召唤】</t>
  </si>
  <si>
    <t>\n调查员掌握召唤圣蛇毒牙</t>
  </si>
  <si>
    <t>\n消耗10点MP召唤毒牙攻击，造成2d4伤害并使目标中毒，持续3回合。【减益特质】【影响单目标】【每场景2次】【主动消耗】</t>
  </si>
  <si>
    <t>【亡灵驱逐】</t>
  </si>
  <si>
    <t>\n调查员掌握驱逐亡灵的技巧</t>
  </si>
  <si>
    <t>\n成功法术可使亡灵无法接近10米内，持续1d6回合，消耗8点MP。【减益特质】【影响单目标】【每场景2次】【主动消耗】</t>
  </si>
  <si>
    <t>【生命探测】</t>
  </si>
  <si>
    <t>\n调查员掌握探测生命迹象</t>
  </si>
  <si>
    <t>\n消耗5点MP探测50米内所有生命体，可区分生物类型。【增益特质】【影响范围】【每场景3次】【主动消耗】</t>
  </si>
  <si>
    <t>【效果拆分】</t>
  </si>
  <si>
    <t>\n调查员掌握拆分负面效果</t>
  </si>
  <si>
    <t>\n消耗8点MP将一个负面效果拆分为两个较弱效果（效果减半）。【增益特质】【影响自己】【每场景2次】【主动消耗】</t>
  </si>
  <si>
    <t>【阴影召唤】</t>
  </si>
  <si>
    <t>\n调查员掌握召唤奈亚阴影</t>
  </si>
  <si>
    <t>\n消耗1d20 SAN召唤奈亚拉托提普的阴影，有40%概率失控。【减益特质】【影响特殊】【每模组1次】【主动消耗】</t>
  </si>
  <si>
    <t>【阴影操控】</t>
  </si>
  <si>
    <t>\n调查员掌握通过阴影接触</t>
  </si>
  <si>
    <t>\n消耗7点MP通过阴影进行远程接触，最大距离20米。【增益特质】【影响单目标】【每场景3次】【主动消耗】</t>
  </si>
  <si>
    <t>【生命流逝】</t>
  </si>
  <si>
    <t>\n调查员掌握加速生命流逝</t>
  </si>
  <si>
    <t>\n成功法术可使目标生命流逝，每回合损失1d3 HP，持续3回合。【减益特质】【影响单目标】【每场景2次】【主动消耗】</t>
  </si>
  <si>
    <t>【魅惑之歌】</t>
  </si>
  <si>
    <t>\n调查员掌握吟唱塞壬之歌</t>
  </si>
  <si>
    <t>\n消耗12点MP吟唱，目标需进行POW检定（难度60）避免被迷惑2回合。【减益特质】【影响单目标】【每场景1次】【主动消耗】</t>
  </si>
  <si>
    <t>【兽形伪装】</t>
  </si>
  <si>
    <t>\n调查员掌握使用兽皮伪装</t>
  </si>
  <si>
    <t>\n披上兽皮可获得该动物外形，但可能影响心智（每日SAN损失0/1）。【增益特质】【影响自己】【每日1次】【主动消耗】</t>
  </si>
  <si>
    <t>【灵魂捕获】</t>
  </si>
  <si>
    <t>\n调查员掌握设置灵魂陷阱</t>
  </si>
  <si>
    <t>\n消耗10点MP设置陷阱，可捕获经过的灵魂，持续1小时。【减益特质】【影响范围】【每场景1次】【主动消耗】</t>
  </si>
  <si>
    <t>【神性启示】</t>
  </si>
  <si>
    <t>\n调查员掌握直面太阳神</t>
  </si>
  <si>
    <t>\n消耗1d20 SAN获得神圣知识，但有30%概率暂时失明。【增益特质】【影响自己】【每模组1次】【主动消耗】</t>
  </si>
  <si>
    <t>【结构破坏】</t>
  </si>
  <si>
    <t>\n调查员掌握发出黄廷之音</t>
  </si>
  <si>
    <t>\n消耗10点MP发出特殊频率，可破坏魔法结构，对结界效果显著。【减益特质】【影响单目标】【每场景2次】【主动消耗】</t>
  </si>
  <si>
    <t>【灵魂隐匿】</t>
  </si>
  <si>
    <t>\n调查员掌握隐藏自身灵魂</t>
  </si>
  <si>
    <t>\n所有灵魂探测和定位魔法对调查员无效。【增益特质】【影响自己】【永久持续】【被动生效】</t>
  </si>
  <si>
    <t>【能量转移】</t>
  </si>
  <si>
    <t>\n调查员掌握分配灵魂能量</t>
  </si>
  <si>
    <t>\n可在HP、MP、SAN之间临时转移点数，比例2:1，每日限三次。【增益特质】【影响自己】【每日3次】【主动消耗】</t>
  </si>
  <si>
    <t>【灵魂抚慰】</t>
  </si>
  <si>
    <t>\n调查员掌握吟唱灵魂之歌</t>
  </si>
  <si>
    <t>\n消耗8点MP吟唱，恢复10米内友方1d3 SAN。【增益特质】【影响范围】【每场景2次】【主动消耗】</t>
  </si>
  <si>
    <t>【护命护符】</t>
  </si>
  <si>
    <t>\n调查员制作灵魂护符</t>
  </si>
  <si>
    <t>\n佩戴时可自动抵挡一次致命伤害，但护符会永久破碎。【增益特质】【影响自己】【每模组1次】【触发生效】</t>
  </si>
  <si>
    <t>【灵魂之刃】</t>
  </si>
  <si>
    <t>\n调查员掌握召唤灵魂之刃</t>
  </si>
  <si>
    <t>\n消耗12点MP召唤魔法刃，造成2d6精神伤害，持续3回合。【增益特质】【影响自己】【每场景2次】【主动消耗】</t>
  </si>
  <si>
    <t>【亡者对话】</t>
  </si>
  <si>
    <t>\n调查员掌握与死者交流</t>
  </si>
  <si>
    <t>\n消耗8点MP与尸体交流，可获得临终前1小时的记忆。【增益特质】【影响单目标】【每场景2次】【主动消耗】</t>
  </si>
  <si>
    <t>\n调查员掌握窃取目标生命</t>
  </si>
  <si>
    <t>\n成功接触攻击可窃取1d6 HP，但损失0/1 SAN。【增益特质】【影响单目标】【每场景3次】【主动消耗】</t>
  </si>
  <si>
    <t>【血肉傀儡】</t>
  </si>
  <si>
    <t>\n调查员掌握用血液创造生命</t>
  </si>
  <si>
    <t>\n消耗2d6 HP创造小型血傀儡，持续3回合，每日限两次。【增益特质】【影响单目标】【每日2次】【主动消耗】</t>
  </si>
  <si>
    <t>【死亡预言】</t>
  </si>
  <si>
    <t>\n调查员掌握进行死亡宣言</t>
  </si>
  <si>
    <t>\n成功POW对抗可预言目标死亡方式，目标SAN-1d6，消耗10点MP。【减益特质】【影响单目标】【每场景1次】【主动消耗】</t>
  </si>
  <si>
    <t>【眼球破坏】</t>
  </si>
  <si>
    <t>\n调查员掌握融化目标眼球</t>
  </si>
  <si>
    <t>\n成功法术可使目标永久失明，需要高级医疗或魔法恢复。【减益特质】【影响单目标】【每模组1次】【主动消耗】</t>
  </si>
  <si>
    <t>【物品召唤】</t>
  </si>
  <si>
    <t>\n调查员掌握召唤普通物品</t>
  </si>
  <si>
    <t>\n消耗6点MP召唤价值不超过50美元的普通物品。【增益特质】【影响特殊】【每场景3次】【主动消耗】</t>
  </si>
  <si>
    <t>【疫病之鞭】</t>
  </si>
  <si>
    <t>\n调查员掌握召唤瘟疫之鞭</t>
  </si>
  <si>
    <t>\n消耗10点MP召唤鞭子，击中可使目标感染疾病，持续3回合。【减益特质】【影响单目标】【每场景2次】【主动消耗】</t>
  </si>
  <si>
    <t>【肿胀诅咒】</t>
  </si>
  <si>
    <t>\n调查员掌握施放肿胀折磨</t>
  </si>
  <si>
    <t>\n成功法术可使目标身体肿胀，DEX-1d6，持续3回合。【减益特质】【影响单目标】【每场景2次】【主动消耗】</t>
  </si>
  <si>
    <t>【心灵感应】</t>
  </si>
  <si>
    <t>\n调查员掌握使用心灵感应</t>
  </si>
  <si>
    <t>\n消耗4点MP进行心灵沟通，范围100米，无视语言障碍。【增益特质】【影响单目标】【每场景5次】【主动消耗】</t>
  </si>
  <si>
    <t>【虚空束缚】</t>
  </si>
  <si>
    <t>\n调查员掌握召唤虚空锁链</t>
  </si>
  <si>
    <t>\n消耗9点MP召唤锁链束缚目标，需STR检定（难度60）挣脱。【减益特质】【影响单目标】【每场景2次】【主动消耗】</t>
  </si>
  <si>
    <t>【空间裂隙】</t>
  </si>
  <si>
    <t>\n调查员掌握打开现世裂隙</t>
  </si>
  <si>
    <t>\n消耗15点MP撕裂空间，可通往同维度其他地点，最大距离1公里。【增益特质】【影响特殊】【每场景1次】【主动消耗】</t>
  </si>
  <si>
    <t>【时间旅行】</t>
  </si>
  <si>
    <t>\n调查员掌握打开时光之门</t>
  </si>
  <si>
    <t>\n消耗1d20 SAN进行时间旅行，但可能无法返回，每模组限一次。【增益特质】【影响特殊】【每模组1次】【主动消耗】</t>
  </si>
  <si>
    <t>\n调查员掌握设置时光陷阱</t>
  </si>
  <si>
    <t>\n消耗12点MP设置陷阱，可使目标时间停滞1回合。【减益特质】【影响单目标】【每场景2次】【主动消耗】</t>
  </si>
  <si>
    <t>【腐朽触碰】</t>
  </si>
  <si>
    <t>\n调查员掌握施展腐朽之触</t>
  </si>
  <si>
    <t>\n接触可使物品迅速腐朽，对生物造成1d6伤害，持续3回合。【减益特质】【影响单目标】【每场景2次】【主动消耗】</t>
  </si>
  <si>
    <t>【僵直之歌】</t>
  </si>
  <si>
    <t>\n调查员掌握吟唱呆立之歌</t>
  </si>
  <si>
    <t>\n消耗7点MP吟唱，目标需进行POW检定（难度55）避免僵直1回合。【减益特质】【影响单目标】【每场景3次】【主动消耗】</t>
  </si>
  <si>
    <t>【血肉掌控】</t>
  </si>
  <si>
    <t>\n调查员精通血肉魔法</t>
  </si>
  <si>
    <t>\n所有血肉相关法术效果+30%，HP消耗-2（最低1）。【增益特质】【影响自己】【永久持续】【被动生效】</t>
  </si>
  <si>
    <t>【样本操控】</t>
  </si>
  <si>
    <t>\n调查员掌握通过血肉样本影响目标</t>
  </si>
  <si>
    <t>\n拥有目标血肉样本时可远程施加影响，需要POW对抗。【减益特质】【影响单目标】【每场景2次】【主动消耗】</t>
  </si>
  <si>
    <t>【血肉窃取】</t>
  </si>
  <si>
    <t>\n调查员掌握窃取目标血肉</t>
  </si>
  <si>
    <t>\n接触可窃取目标少量血肉，可用于后续法术，损失0/1 SAN。【增益特质】【影响单目标】【每场景3次】【主动消耗】</t>
  </si>
  <si>
    <t>【超越死亡】</t>
  </si>
  <si>
    <t>\n调查员掌握跨越死亡获得力量</t>
  </si>
  <si>
    <t>\n从死亡状态恢复时，所有属性临时+10，持续1场景。【增益特质】【影响自己】【每模组1次】【触发生效】</t>
  </si>
  <si>
    <t>【信使变形】</t>
  </si>
  <si>
    <t>\n调查员掌握变成信使形态</t>
  </si>
  <si>
    <t>\n消耗10点MP变成小型动物，移动速度×2，持续1小时。【增益特质】【影响自己】【每场景2次】【主动消耗】</t>
  </si>
  <si>
    <t>【真形显露】</t>
  </si>
  <si>
    <t>\n调查员掌握揭露目标原型</t>
  </si>
  <si>
    <t>\n成功法术可迫使目标显现真实形态，消耗12点MP。【增益特质】【影响单目标】【每场景1次】【主动消耗】</t>
  </si>
  <si>
    <t>【艺术天赋】</t>
  </si>
  <si>
    <t>\n调查员获得黄衣之王的艺术天赋</t>
  </si>
  <si>
    <t>\n所有艺术相关技能+25%，但SAN上限永久-15。【增益特质】【影响自己】【永久持续】【被动生效】</t>
  </si>
  <si>
    <t>【动物驯服】</t>
  </si>
  <si>
    <t>\n调查员掌握驯服动物的法术</t>
  </si>
  <si>
    <t>\n消耗6点MP使动物暂时驯服，持续1小时，对凶猛动物效果减半。【增益特质】【影响单目标】【每场景3次】【主动消耗】</t>
  </si>
  <si>
    <t>【箱间旅行】</t>
  </si>
  <si>
    <t>\n调查员掌握通过箱子旅行</t>
  </si>
  <si>
    <t>\n消耗12点MP通过连接的箱子进行传送，最大距离100米。【增益特质】【影响特殊】【每场景2次】【主动消耗】</t>
  </si>
  <si>
    <t>【命运预知】</t>
  </si>
  <si>
    <t>\n调查员能够看见命运之线</t>
  </si>
  <si>
    <t>\n每日一次，可预知一次重要选择的可能后果。【增益特质】【影响自己】【每日1次】【主动生效】</t>
  </si>
  <si>
    <t>【绝世容貌】</t>
  </si>
  <si>
    <t>\n调查员拥有令人惊艳的容貌</t>
  </si>
  <si>
    <t>\n所有基于外貌的社交检定获得两个奖励骰。【增益特质】【影响自己】【永久持续】【被动生效】</t>
  </si>
  <si>
    <t>【揭露真实】</t>
  </si>
  <si>
    <t>\n调查员掌握揭露真实想法</t>
  </si>
  <si>
    <t>\n成功心理学检定可获知目标真实意图，消耗5点MP。【增益特质】【影响单目标】【每场景3次】【主动消耗】</t>
  </si>
  <si>
    <t>【维瑞印记】</t>
  </si>
  <si>
    <t>\n调查员掌握绘制维瑞之印</t>
  </si>
  <si>
    <t>\n消耗10点MP绘制印记，可增强防护魔法效果25%。【增益特质】【影响自己】【每场景2次】【主动消耗】</t>
  </si>
  <si>
    <t>【梦境投影】</t>
  </si>
  <si>
    <t>\n调查员掌握显现梦境国度</t>
  </si>
  <si>
    <t>\n消耗15点MP将梦境投影到现实，持续3回合，可能引发混乱。【增益特质】【影响范围】【每场景1次】【主动消耗】</t>
  </si>
  <si>
    <t>\n调查员掌握进行灵魂漫游</t>
  </si>
  <si>
    <t>\n消耗8点MP使灵魂离体侦查，身体处于无防备状态。【增益特质】【影响自己】【每场景2次】【主动消耗】</t>
  </si>
  <si>
    <t>【守卫激活】</t>
  </si>
  <si>
    <t>\n调查员掌握激活守卫之石</t>
  </si>
  <si>
    <t>\n消耗8点MP激活石头，可自动攻击入侵者，持续1小时。【增益特质】【影响单目标】【每场景2次】【主动消耗】</t>
  </si>
  <si>
    <t>\n调查员拥有科什之印</t>
  </si>
  <si>
    <t>\n佩戴时对深海生物伤害+1d6，游泳技能+25%。【增益特质】【影响自己】【永久持续】【被动生效】</t>
  </si>
  <si>
    <t>【邪眼召唤】</t>
  </si>
  <si>
    <t>\n调查员掌握召唤邪眼守卫</t>
  </si>
  <si>
    <t>\n消耗10点MP召唤漂浮邪眼，可进行精神攻击，持续3回合。【增益特质】【影响单目标】【每场景2次】【主动消耗】</t>
  </si>
  <si>
    <t>【太阳光束】</t>
  </si>
  <si>
    <t>\n调查员掌握召唤拉神之触</t>
  </si>
  <si>
    <t>\n消耗12点MP召唤太阳光束，造成2d6光耀伤害，对黑暗生物伤害×2。【增益特质】【影响单目标】【每场景2次】【主动消耗】</t>
  </si>
  <si>
    <t>【水拳召唤】</t>
  </si>
  <si>
    <t>\n调查员掌握吟唱海拳之歌</t>
  </si>
  <si>
    <t>\n消耗9点MP吟唱，召唤水拳攻击，造成1d8伤害，射程15米。【减益特质】【影响单目标】【每场景2次】【主动消耗】</t>
  </si>
  <si>
    <t>【空中悬浮】</t>
  </si>
  <si>
    <t>\n调查员掌握螺旋升空</t>
  </si>
  <si>
    <t>\n消耗8点MP升空20米，持续3回合，移动速度×1.5。【增益特质】【影响自己】【每场景2次】【主动消耗】</t>
  </si>
  <si>
    <t>\n调查员掌握施放衰老诅咒</t>
  </si>
  <si>
    <t>\n成功法术可使目标老化1d20年，消耗10点MP。【减益特质】【影响单目标】【每场景1次】【主动消耗】</t>
  </si>
  <si>
    <t>【天人五衰】</t>
  </si>
  <si>
    <t>\n调查员掌握引发天人五衰</t>
  </si>
  <si>
    <t>\n消耗1d20 SAN使目标遭受五种衰败，复活和永生失效，所有属性-50%，持续1场景。【减益特质】【影响单目标】【每模组1次】【主动消耗】</t>
  </si>
  <si>
    <t>【荒芜召唤】</t>
  </si>
  <si>
    <t>\n调查员掌握召唤荒芜之风</t>
  </si>
  <si>
    <t>\n消耗12点MP召唤毁灭之风，范围内植物立即枯萎。【减益特质】【影响范围】【每场景1次】【主动消耗】</t>
  </si>
  <si>
    <t>【蚁行幻觉】</t>
  </si>
  <si>
    <t>\n调查员掌握引发蚁行躁狂</t>
  </si>
  <si>
    <t>\n成功法术可使目标感觉皮肤下有蚂蚁爬行，DEX-1d6，持续3回合。【减益特质】【影响单目标】【每场景2次】【主动消耗】</t>
  </si>
  <si>
    <t>【群众领导】</t>
  </si>
  <si>
    <t>\n调查员掌握掌控人群的技巧</t>
  </si>
  <si>
    <t>\n所有领导群众的话术检定获得两个奖励骰。【增益特质】【影响自己】【永久持续】【被动生效】</t>
  </si>
  <si>
    <t>【蠕虫召唤】</t>
  </si>
  <si>
    <t>\n调查员掌握召唤蠕虫集会</t>
  </si>
  <si>
    <t>\n消耗10点MP召唤蠕虫群，可吞噬血肉，持续3回合。【减益特质】【影响范围】【每场景2次】【主动消耗】</t>
  </si>
  <si>
    <t>【地狱幻象】</t>
  </si>
  <si>
    <t>\n调查员掌握召唤七重地狱幻象</t>
  </si>
  <si>
    <t>\n消耗1d20 SAN使目标目睹地狱景象，SAN-2d6。【减益特质】【影响单目标】【每模组1次】【主动消耗】</t>
  </si>
  <si>
    <t>【腐朽之血】</t>
  </si>
  <si>
    <t>\n调查员血液具有腐朽特性</t>
  </si>
  <si>
    <t>\n血液可使接触物品腐朽，对生物造成1点伤害/轮。【增益特质】【影响自己】【永久持续】【被动生效】</t>
  </si>
  <si>
    <t>【黄衣印记】</t>
  </si>
  <si>
    <t>\n调查员拥有黄衣之王印记</t>
  </si>
  <si>
    <t>\n佩戴时所有艺术创作自动成功，但会吸引危险注意。【增益特质】【影响自己】【永久持续】【被动生效】</t>
  </si>
  <si>
    <t>【圣地探测】</t>
  </si>
  <si>
    <t>\n调查员掌握确定神圣土地</t>
  </si>
  <si>
    <t>\n消耗8点MP探测范围内的神圣或邪恶区域，半径50米。【增益特质】【影响范围】【每场景2次】【主动消耗】</t>
  </si>
  <si>
    <t>【毒菌诅咒】</t>
  </si>
  <si>
    <t>\n调查员掌握施放毒菌诅咒</t>
  </si>
  <si>
    <t>\n成功法术可使目标生长毒菌，每回合损失1点CON，持续3回合。【减益特质】【影响单目标】【每场景2次】【主动消耗】</t>
  </si>
  <si>
    <t>【驱逐印记】</t>
  </si>
  <si>
    <t>\n调查员掌握使用驱逐十字</t>
  </si>
  <si>
    <t>\n消耗8点MP绘制十字，可驱逐低级邪恶存在。【增益特质】【影响单目标】【每场景3次】【主动消耗】</t>
  </si>
  <si>
    <t>【赤印标记】</t>
  </si>
  <si>
    <t>\n调查员掌握施加血腥赤印</t>
  </si>
  <si>
    <t>\n消耗1d6 SAN标记目标，可远程施加痛苦，持续1场景。【减益特质】【影响单目标】【每场景1次】【主动消耗】</t>
  </si>
  <si>
    <t>【毁灭吟唱】</t>
  </si>
  <si>
    <t>\n调查员掌握吟唱毁灭之歌</t>
  </si>
  <si>
    <t>\n消耗1d20 SAN吟唱，范围内所有生物受到2d8音波伤害。【减益特质】【影响范围】【每模组1次】【主动消耗】</t>
  </si>
  <si>
    <t>【烛光通讯】</t>
  </si>
  <si>
    <t>\n调查员掌握通过烛光进行魔法通讯的法术</t>
  </si>
  <si>
    <t>\n消耗5点MP和1点SAN，与另一支魔法蜡烛持有者进行心灵交流，持续10分钟。【增益特质】【影响特殊】【每场景3次】【主动消耗】</t>
  </si>
  <si>
    <t>【效果弱化】</t>
  </si>
  <si>
    <t>\n调查员掌握弱化负面效果的法术</t>
  </si>
  <si>
    <t>\n消耗6点MP将一个负面效果的数值或持续时间减半。【增益特质】【影响自己】【每场景3次】【主动消耗】</t>
  </si>
  <si>
    <t>【能量转化】</t>
  </si>
  <si>
    <t>\n调查员掌握转化负面能量的秘术</t>
  </si>
  <si>
    <t>\n当同时存在两个负面效果时，可选择互相抵消，消耗8点MP。【增益特质】【影响自己】【每场景2次】【主动消耗】</t>
  </si>
  <si>
    <t>【星尘污染】</t>
  </si>
  <si>
    <t>\n调查员掌握召唤外星污染的法术</t>
  </si>
  <si>
    <t>\n消耗10点MP召唤星尘毒素，造成1d10毒素伤害，目标需进行CON检定避免持续中毒。【减益特质】【影响单目标】【每场景2次】【主动消耗】</t>
  </si>
  <si>
    <t>【地面瓦解】</t>
  </si>
  <si>
    <t>\n调查员掌握瓦解地面的法术</t>
  </si>
  <si>
    <t>\n消耗12点MP融化3×3米地面，造成1d10伤害并创造难以通行的地形。【减益特质】【影响范围】【每场景2次】【主动消耗】</t>
  </si>
  <si>
    <t>【疾速移动】</t>
  </si>
  <si>
    <t>\n调查员掌握短暂爆发速度的技巧</t>
  </si>
  <si>
    <t>\n消耗3点MP，MOV临时+1d3，持续3回合，每日限五次。【增益特质】【影响自己】【每日5次】【主动消耗】</t>
  </si>
  <si>
    <t>【幻影步法】</t>
  </si>
  <si>
    <t>\n调查员掌握如幻影般移动的秘术</t>
  </si>
  <si>
    <t>\n消耗6点MP，MOV临时+2d3，持续3回合，但效果结束后移动速度减半1回合。【增益特质】【影响自己】【每场景2次】【主动消耗】</t>
  </si>
  <si>
    <t>【活力灌注】</t>
  </si>
  <si>
    <t>\n调查员掌握灌注活力提升移动力</t>
  </si>
  <si>
    <t>\n消耗5点POW，目标MOV+1，持续1场景，每日限三次。【增益特质】【影响单目标】【每日3次】【主动消耗】</t>
  </si>
  <si>
    <t>【变速移动】</t>
  </si>
  <si>
    <t>\n调查员移动速度呈现动态变化</t>
  </si>
  <si>
    <t>\n每回合开始时投1d10，结果除以3（向下取整）为MOV加成，持续整场战斗。【增益特质】【影响自己】【永久持续】【被动生效】</t>
  </si>
  <si>
    <t>【蓄力加速】</t>
  </si>
  <si>
    <t>\n调查员掌握通过蓄力线性加速</t>
  </si>
  <si>
    <t>\n每回合MOV+2，最高+10，受到伤害或停止移动后重置。【增益特质】【影响自己】【永久持续】【被动生效】</t>
  </si>
  <si>
    <t>\n调查员掌握完全控制目标精神的法术</t>
  </si>
  <si>
    <t>\n成功POW对抗可完全控制目标行动1回合，消耗15点MP。【减益特质】【影响单目标】【每场景1次】【主动消耗】</t>
  </si>
  <si>
    <t>【音波冲击】</t>
  </si>
  <si>
    <t>\n调查员掌握发出混乱音波的法术</t>
  </si>
  <si>
    <t>\n消耗7点MP发出音波，目标需进行CON检定（难度50）避免眩晕1回合。【减益特质】【影响范围】【每场景3次】【主动消耗】</t>
  </si>
  <si>
    <t>【枯萎之触】</t>
  </si>
  <si>
    <t>\n调查员掌握使血肉枯萎的接触法术</t>
  </si>
  <si>
    <t>\n成功接触攻击可使目标血肉枯萎，造成1d6伤害并降低治疗效果。【减益特质】【影响单目标】【每场景3次】【主动消耗】</t>
  </si>
  <si>
    <t>【空间传送】</t>
  </si>
  <si>
    <t>\n调查员掌握打开传送门的法术</t>
  </si>
  <si>
    <t>\n消耗15点MP创造传送门，可通往已知地点，最大距离1公里。【增益特质】【影响特殊】【每场景1次】【主动消耗】</t>
  </si>
  <si>
    <t>\n调查员掌握吟唱魅惑之歌的法术</t>
  </si>
  <si>
    <t>\n消耗8点MP吟唱，目标需进行POW检定（难度55）避免被迷惑2回合。【减益特质】【影响单目标】【每场景2次】【主动消耗】</t>
  </si>
  <si>
    <t>【形体扭曲】</t>
  </si>
  <si>
    <t>\n调查员掌握扭曲目标形体的法术</t>
  </si>
  <si>
    <t>\n成功POW对抗可使目标暂时变形，STR-1d6，持续3回合。【减益特质】【影响单目标】【每场景2次】【主动消耗】</t>
  </si>
  <si>
    <t>【灵能冲击】</t>
  </si>
  <si>
    <t>\n调查员掌握发动灵能冲击的法术</t>
  </si>
  <si>
    <t>\n消耗10点MP造成2d6精神伤害，无视物理护甲。【减益特质】【影响单目标】【每场景2次】【主动消耗】</t>
  </si>
  <si>
    <t>【维度隐匿】</t>
  </si>
  <si>
    <t>\n调查员掌握进入异界维度的法术</t>
  </si>
  <si>
    <t>\n消耗12点MP进入异界维度，在现实世界完全不可见，持续3回合。【增益特质】【影响自己】【每场景1次】【主动消耗】</t>
  </si>
  <si>
    <t>【穿墙术】</t>
  </si>
  <si>
    <t>\n调查员掌握穿透实体障碍的法术</t>
  </si>
  <si>
    <t>\n消耗8点MP获得穿墙能力，持续2回合，每日限三次。【增益特质】【影响自己】【每日3次】【主动消耗】</t>
  </si>
  <si>
    <t>【思维读取】</t>
  </si>
  <si>
    <t>\n调查员掌握读取目标思维的法术</t>
  </si>
  <si>
    <t>\n成功POW对抗可读取目标表层思想，持续1d3回合，消耗9点MP。【增益特质】【影响单目标】【每场景2次】【主动消耗】</t>
  </si>
  <si>
    <t>【胶质躯体】</t>
  </si>
  <si>
    <t>\n调查员身体具有特殊的胶质特性</t>
  </si>
  <si>
    <t>\n常规物理攻击只造成最小伤害（1点），但对火焰和冰冻伤害×2。【增益特质】【影响自己】【永久持续】【被动生效】</t>
  </si>
  <si>
    <t>【碾压擒抱】</t>
  </si>
  <si>
    <t>\n调查员掌握束缚并碾压目标的技巧</t>
  </si>
  <si>
    <t>\n成功擒拿检定后每回合造成1d10碾压伤害，目标需进行困难力量检定（难度70）挣脱。【增益特质】【影响单目标】【每场景2次】【主动生效】</t>
  </si>
  <si>
    <t>【超凡嗅觉】</t>
  </si>
  <si>
    <t>\n调查员拥有超越常人的嗅觉能力</t>
  </si>
  <si>
    <t>\n通过气味可确定50米内生物数量和方位，潜行和伪装对此无效。【增益特质】【影响自己】【永久持续】【被动生效】</t>
  </si>
  <si>
    <t>【记忆消除】</t>
  </si>
  <si>
    <t>\n调查员掌握施放遗忘尘埃的法术</t>
  </si>
  <si>
    <t>\n成功POW对抗可使目标短暂失忆1d6回合，消耗5点MP。【减益特质】【影响单目标】【每场景3次】【主动消耗】</t>
  </si>
  <si>
    <t>【尘暴漩涡】</t>
  </si>
  <si>
    <t>\n调查员掌握制造尘土旋涡的法术</t>
  </si>
  <si>
    <t>\n创造MOV10的漩涡，范围内目标每回合受到2d4伤害，持续3回合，消耗10点MP。【减益特质】【影响范围】【每场景1次】【主动消耗】</t>
  </si>
  <si>
    <t>【尘埃附身】</t>
  </si>
  <si>
    <t>\n调查员掌握用尘埃附身目标的法术</t>
  </si>
  <si>
    <t>\n成功POW对抗可操控目标行动1d3回合，消耗8点MP。【减益特质】【影响单目标】【每场景2次】【主动消耗】</t>
  </si>
  <si>
    <t>【灰烬治愈】</t>
  </si>
  <si>
    <t>\n调查员掌握使用生命灰烬治愈</t>
  </si>
  <si>
    <t>\n消耗5点MP和1d8 SAN，可恢复一个濒死目标的1d6 HP。【增益特质】【影响单目标】【每场景1次】【主动消耗】</t>
  </si>
  <si>
    <t>【生命之茧】</t>
  </si>
  <si>
    <t>\n调查员掌握包裹目标成茧的秘术</t>
  </si>
  <si>
    <t>\n将目标包裹在茧中，每回合恢复2 HP，最多恢复2d6 HP，但目标SAN-1d6。【增益特质】【影响单目标】【每场景1次】【主动消耗】</t>
  </si>
  <si>
    <t>【蛛网束缚】</t>
  </si>
  <si>
    <t>\n调查员掌握设置蛛网陷阱的技巧</t>
  </si>
  <si>
    <t>\n成功设置的陷阱每回合造成1d6伤害，目标需进行困难敏捷或力量检定（难度65）挣脱。【增益特质】【影响单目标】【每场景2次】【主动生效】</t>
  </si>
  <si>
    <t>【破甲毒击】</t>
  </si>
  <si>
    <t>\n调查员攻击附带穿透性毒素</t>
  </si>
  <si>
    <t>\n成功攻击无视护甲造成1d10伤害，并附加1d4毒素伤害，持续2回合。【增益特质】【影响单目标】【每场景3次】【主动生效】</t>
  </si>
  <si>
    <t>【麻痹撕咬】</t>
  </si>
  <si>
    <t>\n调查员撕咬具有麻痹效果</t>
  </si>
  <si>
    <t>\n成功攻击造成伤害并使目标麻痹1d6回合，目标需进行CON检定（难度60）抵抗。【增益特质】【影响单目标】【每场景2次】【主动生效】</t>
  </si>
  <si>
    <t>【智力汲取】</t>
  </si>
  <si>
    <t>\n调查员掌握吸食目标智力的秘术</t>
  </si>
  <si>
    <t>\n接触攻击每回合吸收目标5点INT，但自身SAN-1每回合。【减益特质】【影响单目标】【每场景1次】【主动消耗】</t>
  </si>
  <si>
    <t>【孢子传播】</t>
  </si>
  <si>
    <t>\n调查员掌握传播感染孢子的法术</t>
  </si>
  <si>
    <t>\n成功攻击造成1d4伤害并附加孢子感染，目标需进行CON检定（难度55）避免病变。【减益特质】【影响单目标】【每场景3次】【主动消耗】</t>
  </si>
  <si>
    <t>【腐化感染】</t>
  </si>
  <si>
    <t>\n调查员携带特殊的腐化感染</t>
  </si>
  <si>
    <t>\n目标CON检定失败则感染疾病，INT检定失败则被孢子控制大脑。【减益特质】【影响单目标】【永久持续】【被动生效】</t>
  </si>
  <si>
    <t>【解毒剂制作】</t>
  </si>
  <si>
    <t>\n调查员掌握制作特殊解毒剂的法术</t>
  </si>
  <si>
    <t>\n制作需消耗材料，使用造成1d6伤害，CON检定成功则解毒，消耗6点MP。【增益特质】【影响单目标】【每场景2次】【主动消耗】</t>
  </si>
  <si>
    <t>【毒蝶召唤】</t>
  </si>
  <si>
    <t>\n调查员掌握召唤枯败蝶群的法术</t>
  </si>
  <si>
    <t>\n召唤蝶群造成范围1d6伤害并中毒，毒性每小时翻倍，消耗10点MP。【减益特质】【影响范围】【每场景1次】【主动消耗】</t>
  </si>
  <si>
    <t>【太空生存】</t>
  </si>
  <si>
    <t>\n调查员掌握在太空中生存的能力</t>
  </si>
  <si>
    <t>\n免疫太空的寒冷和真空环境，可持续1d6小时，每日限一次。【增益特质】【影响自己】【每日1次】【主动生效】</t>
  </si>
  <si>
    <t>【瞬间移动】</t>
  </si>
  <si>
    <t>\n调查员掌握瞬间传送的法术</t>
  </si>
  <si>
    <t>\n消耗1d10 SAN和2d10 MP，可瞬间传送到视线内地点。【增益特质】【影响自己】【每模组1次】【主动消耗】</t>
  </si>
  <si>
    <t>【恐惧嚎叫】</t>
  </si>
  <si>
    <t>\n调查员掌握发出恐怖嚎叫的秘术</t>
  </si>
  <si>
    <t>\n每回合周围10米内目标损失1点SAN，最高损失1d8点，持续3回合。【减益特质】【影响范围】【每场景1次】【主动消耗】</t>
  </si>
  <si>
    <t>【精神诱导】</t>
  </si>
  <si>
    <t>\n调查员掌握进行精神诱导的法术</t>
  </si>
  <si>
    <t>\n消耗4点MP进行POW对抗，成功可诱导目标向自己移动，持续2回合。【减益特质】【影响单目标】【每场景3次】【主动消耗】</t>
  </si>
  <si>
    <t>\n调查员掌握建立精神连接的秘术</t>
  </si>
  <si>
    <t>\n可与友方分摊SAN损失，各承担50%，持续1场景。【增益特质】【影响单目标】【每场景2次】【主动消耗】</t>
  </si>
  <si>
    <t>【超凡听觉】</t>
  </si>
  <si>
    <t>\n调查员拥有超越常人的听觉</t>
  </si>
  <si>
    <t>\n聆听技能+50%，探测范围增加100码。【增益特质】【影响自己】【永久持续】【被动生效】</t>
  </si>
  <si>
    <t>【噩梦编织】</t>
  </si>
  <si>
    <t>\n消耗3点MP制造噩梦，4点MP可使目标梦游，持续1d3回合。【减益特质】【影响单目标】【每场景2次】【主动消耗】</t>
  </si>
  <si>
    <t>【血液汲取】</t>
  </si>
  <si>
    <t>\n调查员掌握吸食血液恢复的秘术</t>
  </si>
  <si>
    <t>\n接触攻击每回合吸收目标1点HP恢复自身，每日限十次。【增益特质】【影响单目标】【每日10次】【主动消耗】</t>
  </si>
  <si>
    <t>【石像形态】</t>
  </si>
  <si>
    <t>\n调查员掌握化为雕像的秘术</t>
  </si>
  <si>
    <t>\n消耗1d4 SAN进入雕像状态，每小时恢复1点HP，持续8小时。【增益特质】【影响自己】【每日1次】【主动消耗】</t>
  </si>
  <si>
    <t>【生命吸取】</t>
  </si>
  <si>
    <t>\n调查员掌握榨取目标生命的秘术</t>
  </si>
  <si>
    <t>\n接触攻击每回合造成目标3d10 CON损失，但自身SAN-1每回合。【减益特质】【影响单目标】【每场景1次】【主动消耗】</t>
  </si>
  <si>
    <t>【心灵操控】</t>
  </si>
  <si>
    <t>\n调查员掌握控制目标心灵的法术</t>
  </si>
  <si>
    <t>\n成功POW对抗可控制目标行动1回合，消耗10点MP。【减益特质】【影响单目标】【每场景2次】【主动消耗】</t>
  </si>
  <si>
    <t>【地震术】</t>
  </si>
  <si>
    <t>\n调查员掌握制造地震的法术</t>
  </si>
  <si>
    <t>\n每消耗10点MP造成1d6地震伤害，最高6d6，范围随MP增加。【减益特质】【影响范围】【每场景1次】【主动消耗】</t>
  </si>
  <si>
    <t>【强震术】</t>
  </si>
  <si>
    <t>\n调查员掌握制造特级地震的法术</t>
  </si>
  <si>
    <t>\n消耗40点MP造成4d10范围伤害，建筑物坍塌。【减益特质】【影响范围】【每模组1次】【主动消耗】</t>
  </si>
  <si>
    <t>【陨星撞击】</t>
  </si>
  <si>
    <t>\n调查员掌握召唤陨石地震的法术</t>
  </si>
  <si>
    <t>\n消耗60点MP造成1d100范围伤害，地形永久改变。【减益特质】【影响范围】【每模组1次】【主动消耗】</t>
  </si>
  <si>
    <t>【体质吸收】</t>
  </si>
  <si>
    <t>\n调查员掌握汲取目标体质的秘术</t>
  </si>
  <si>
    <t>\n成功攻击造成2d6伤害，之后每回合从伤口汲取3d10 CON。【减益特质】【影响单目标】【每场景1次】【主动消耗】</t>
  </si>
  <si>
    <t>【寒冰之触】</t>
  </si>
  <si>
    <t>\n调查员掌握施展冰冻触摸的法术</t>
  </si>
  <si>
    <t>\n接触每回合造成目标1d10 CON和1d2 HP损失，外貌和力量各-5。【减益特质】【影响单目标】【每场景2次】【主动消耗】</t>
  </si>
  <si>
    <t>【冻伤攻击】</t>
  </si>
  <si>
    <t>\n调查员攻击附带冻伤效果</t>
  </si>
  <si>
    <t>\n成功攻击造成冻伤，目标每回合损失1d2 HP，持续3回合。【减益特质】【影响单目标】【每场景3次】【主动消耗】</t>
  </si>
  <si>
    <t>【属性掠夺】</t>
  </si>
  <si>
    <t>\n调查员掌握吸收目标属性的秘术</t>
  </si>
  <si>
    <t>\n成功POW对抗可吸收目标1d10任意属性点，持续3回合。【减益特质】【影响单目标】【每场景1次】【主动消耗】</t>
  </si>
  <si>
    <t>【心灵腐化】</t>
  </si>
  <si>
    <t>\n调查员掌握腐化目标心灵的法术</t>
  </si>
  <si>
    <t>\n成功INT对抗可使目标每回合损失1d6 SAN和MP，持续3回合。【减益特质】【影响单目标】【每场景1次】【主动消耗】</t>
  </si>
  <si>
    <t>【虫群分化】</t>
  </si>
  <si>
    <t>\n调查员掌握分化为虫群的秘术</t>
  </si>
  <si>
    <t>\n化为虫群时任何一只虫子存活就不会死亡，持续3回合。【增益特质】【影响自己】【每场景1次】【主动消耗】</t>
  </si>
  <si>
    <t>【伤害分散】</t>
  </si>
  <si>
    <t>\n调查员掌握用虫群分担伤害的秘术</t>
  </si>
  <si>
    <t>\n分化虫群承担伤害，普通攻击只造成1点伤害，持续3回合。【增益特质】【影响自己】【每场景2次】【主动消耗】</t>
  </si>
  <si>
    <t>【无畏追猎】</t>
  </si>
  <si>
    <t>\n调查员追逐时不畏任何障碍</t>
  </si>
  <si>
    <t>\n追逐时免疫惩罚骰，可穿越一般障碍，移动速度+10%。【增益特质】【影响自己】【永久持续】【被动生效】</t>
  </si>
  <si>
    <t>【梦境入侵】</t>
  </si>
  <si>
    <t>\n调查员掌握进入他人梦境的能力</t>
  </si>
  <si>
    <t>\n可在他人梦中出现并发动攻击，但可能损失1d3 SAN。【增益特质】【影响单目标】【每场景1次】【主动消耗】</t>
  </si>
  <si>
    <t>【梦境囚禁】</t>
  </si>
  <si>
    <t>\n调查员掌握将目标拖入梦境的法术</t>
  </si>
  <si>
    <t>\n成功POW对抗可将目标拖入梦境，每回合造成1d4伤害，持续3回合。【减益特质】【影响单目标】【每场景1次】【主动消耗】</t>
  </si>
  <si>
    <t>【梦境交流】</t>
  </si>
  <si>
    <t>\n调查员掌握在梦中建立联系的能力</t>
  </si>
  <si>
    <t>\n可在梦中建立联系进行交流，但可能损失1d3 SAN。【增益特质】【影响单目标】【每场景2次】【主动消耗】</t>
  </si>
  <si>
    <t>【仆从强化】</t>
  </si>
  <si>
    <t>\n调查员掌握转化强化仆从的秘术</t>
  </si>
  <si>
    <t>\n仆从STR、SIZ、CON持续增加1d10，但SAN持续降低1d10，持续1场景。【增益特质】【影响单目标】【每场景1次】【主动消耗】</t>
  </si>
  <si>
    <t>【气化形态】</t>
  </si>
  <si>
    <t>\n调查员死亡后化为气体形态</t>
  </si>
  <si>
    <t>\n死亡后化为气体，1d8回合后复活，但SAN永久-1d10。【增益特质】【影响自己】【每模组1次】【触发生效】</t>
  </si>
  <si>
    <t>【心灵掠夺】</t>
  </si>
  <si>
    <t>\n调查员掌握掠夺目标知识的秘术</t>
  </si>
  <si>
    <t>\n精神沟通时可掠夺目标知识和记忆，需POW对抗，消耗1d6 SAN。【增益特质】【影响单目标】【每场景1次】【主动消耗】</t>
  </si>
  <si>
    <t>【能量吸收】</t>
  </si>
  <si>
    <t>\n调查员掌握虹吸目标能量的秘术</t>
  </si>
  <si>
    <t>\n接触攻击每回合吸收目标1d6 POW，持续3回合。【减益特质】【影响单目标】【每场景1次】【主动消耗】</t>
  </si>
  <si>
    <t>【岩石分解】</t>
  </si>
  <si>
    <t>\n调查员掌握分解岩石的法术</t>
  </si>
  <si>
    <t>\n消耗8点MP可分解3×3米岩石区域，创造通路或障碍。【增益特质】【影响范围】【每场景2次】【主动消耗】</t>
  </si>
  <si>
    <t>【珍宝抵命】</t>
  </si>
  <si>
    <t>\n调查员掌握用珍宝抵消伤害的秘术</t>
  </si>
  <si>
    <t>\n当受到致命伤害时，可用价值1000美元的珍宝抵消伤害。【增益特质】【影响自己】【每模组1次】【触发生效】</t>
  </si>
  <si>
    <t>【血脉誓言】</t>
  </si>
  <si>
    <t>\n调查员立下血脉传承的誓言</t>
  </si>
  <si>
    <t>\n奉献自我后可获得所有属性+10的强化，但必须繁衍子嗣延续血脉。【增益特质】【影响自己】【永久持续】【被动生效】</t>
  </si>
  <si>
    <t>【水下适应】</t>
  </si>
  <si>
    <t>\n调查员掌握水下呼吸的适应能力</t>
  </si>
  <si>
    <t>\n可在水下停留时间×2，每日限一次，持续1小时。【增益特质】【影响自己】【每日1次】【主动生效】</t>
  </si>
  <si>
    <t>【恶魔寄生】</t>
  </si>
  <si>
    <t>\n调查员掌握种植恶魔种子的禁忌秘术</t>
  </si>
  <si>
    <t>\n种子寄生目标每回合造成1d6伤害，目标死亡后孕育出小型恶魔，消耗1d6 SAN。【减益特质】【影响单目标】【每模组1次】【主动消耗】</t>
  </si>
  <si>
    <t>【藤蔓召唤】</t>
  </si>
  <si>
    <t>\n调查员掌握召唤藤蔓鞭笞敌人的法术</t>
  </si>
  <si>
    <t>\n消耗6点MP召唤2d4根荆棘藤蔓，每根造成1d4伤害，持续3回合。【减益特质】【影响多目标】【每场景2次】【主动消耗】</t>
  </si>
  <si>
    <t>【藤蔓束缚】</t>
  </si>
  <si>
    <t>\n调查员掌握用藤蔓缠绕目标的法术</t>
  </si>
  <si>
    <t>\n消耗6点MP召唤1d4根坚韧藤蔓，每根缠绕的藤蔓使目标检定增加一个惩罚骰，勒紧造成1d6伤害，需进行力量检定（难度60）挣脱。【减益特质】【影响单目标】【每场景3次】【主动消耗】</t>
  </si>
  <si>
    <t>\n调查员掌握利用体型优势进行碾压撞击</t>
  </si>
  <si>
    <t>\n当自身SIZ比目标大2点以上时，近战攻击额外造成2d6碾压伤害。【增益特质】【影响单目标】【永久持续】【被动生效】</t>
  </si>
  <si>
    <t>【粘液陷阱】</t>
  </si>
  <si>
    <t>\n调查员掌握创造粘液地狱的法术</t>
  </si>
  <si>
    <t>\n创造3×3米粘液区域，目标需进行DEX检定（难度55）避免陷入，陷入者1d4回合无法行动。【减益特质】【影响范围】【每场景2次】【主动消耗】</t>
  </si>
  <si>
    <t>【粘液束缚】</t>
  </si>
  <si>
    <t>\n调查员掌握用粘液束缚目标的法术</t>
  </si>
  <si>
    <t>\n成功攻击用粘液束缚目标，需进行困难力量检定（难度65）挣脱，持续2回合。【减益特质】【影响单目标】【每场景3次】【主动消耗】</t>
  </si>
  <si>
    <t>【维度跃迁】</t>
  </si>
  <si>
    <t>\n调查员掌握短距离维度传送的法术</t>
  </si>
  <si>
    <t>\n消耗4点MP进行10米内短距离传送或位面跃迁，需1回合施法。【增益特质】【影响自己】【每场景3次】【主动消耗】</t>
  </si>
  <si>
    <t>【蜘蛛分裂】</t>
  </si>
  <si>
    <t>\n调查员掌握分裂蜘蛛的秘术</t>
  </si>
  <si>
    <t>\n消耗1点MP分裂一只魔法蜘蛛，成功寄生造成1d4持续伤害，持续3回合。【减益特质】【影响单目标】【每场景5次】【主动消耗】</t>
  </si>
  <si>
    <t>【巢穴恢复】</t>
  </si>
  <si>
    <t>\n调查员在巢穴环境中恢复能力增强</t>
  </si>
  <si>
    <t>\n脱离战斗后每小时恢复2点HP，位于地下或巢穴环境中恢复4点HP。【增益特质】【影响自己】【永久持续】【被动生效】</t>
  </si>
  <si>
    <t>【蛛群复仇】</t>
  </si>
  <si>
    <t>\n调查员死亡后化为复仇蜘蛛群</t>
  </si>
  <si>
    <t>\n死亡时所有剩余MP转化为白色蜘蛛，每只造成1点不可减免伤害，持续1回合。【增益特质】【影响范围】【每模组1次】【触发生效】</t>
  </si>
  <si>
    <t>【科技解析】</t>
  </si>
  <si>
    <t>\n调查员拥有解析科技物品的特殊天赋</t>
  </si>
  <si>
    <t>\n对科技物品进行解析时，所有相关智力检定获得一个奖励骰。【增益特质】【影响自己】【永久持续】【被动生效】</t>
  </si>
  <si>
    <t>【神话能源】</t>
  </si>
  <si>
    <t>\n调查员拥有特殊的神话能源核心</t>
  </si>
  <si>
    <t>\n可作为各种神话科技设备的通用能源，每日提供10点额外MP。【增益特质】【影响自己】【永久持续】【被动生效】</t>
  </si>
  <si>
    <t>【次元存储】</t>
  </si>
  <si>
    <t>\n调查员拥有次元存储设备</t>
  </si>
  <si>
    <t>\n背包容量为普通背包10倍，重量只有10%，但价值超过1000美元的物品无法存放。【增益特质】【影响自己】【永久持续】【被动生效】</t>
  </si>
  <si>
    <t>【随机跃迁】</t>
  </si>
  <si>
    <t>\n调查员掌握短途随机跃迁的技术</t>
  </si>
  <si>
    <t>\n可使用设备进行50米内短距离传送，但目的地随机，每日限三次。【增益特质】【影响自己】【每日3次】【主动消耗】</t>
  </si>
  <si>
    <t>【火焰汲取】</t>
  </si>
  <si>
    <t>\n调查员掌握召唤火焰团簇的法术</t>
  </si>
  <si>
    <t>\n召唤团簇造成单体2d6燃烧伤害，每回合吸取目标1d10 MP，持续2回合。【减益特质】【影响单目标】【每场景2次】【主动消耗】</t>
  </si>
  <si>
    <t>【烈焰新星】</t>
  </si>
  <si>
    <t>\n调查员掌握召唤燃烧之星的禁忌法术</t>
  </si>
  <si>
    <t>\n消耗20点MP造成5×5米范围6d6燃烧伤害，点燃所有可燃物。【减益特质】【影响范围】【每模组1次】【主动消耗】</t>
  </si>
  <si>
    <t>【离子灼烧】</t>
  </si>
  <si>
    <t>\n调查员掌握产生离子火花的法术</t>
  </si>
  <si>
    <t>\n成功攻击点燃目标，每回合造成1d6燃烧伤害，持续3回合。【减益特质】【影响单目标】【每场景3次】【主动消耗】</t>
  </si>
  <si>
    <t>【催眠之舞】</t>
  </si>
  <si>
    <t>\n调查员掌握进行催眠舞动的法术</t>
  </si>
  <si>
    <t>\n成功POW对抗可使目标对危险失去感知，停留在原地，持续2回合。【减益特质】【影响单目标】【每场景2次】【主动消耗】</t>
  </si>
  <si>
    <t>【亵渎困扰】</t>
  </si>
  <si>
    <t>\n调查员持续遭受亵渎意象困扰</t>
  </si>
  <si>
    <t>\n每5日轮回，每晚损失1 SAN，随机1d10回合陷入沉思无法行动。【减益特质】【影响自己】【永久持续】【被动生效】</t>
  </si>
  <si>
    <t>【咒物凭依】</t>
  </si>
  <si>
    <t>\n调查员被诅咒物永久凭依</t>
  </si>
  <si>
    <t>\n除非摧毁咒物，否则每晚损失1点SAN，但对诅咒类法术抗性+25%。【减益特质】【影响自己】【永久持续】【被动生效】</t>
  </si>
  <si>
    <t>【静态隐形】</t>
  </si>
  <si>
    <t>\n调查员掌握静态隐形的法术</t>
  </si>
  <si>
    <t>\n每回合消耗1 MP，原地不动时变得透明，但声音和气味仍可被探测。【增益特质】【影响自己】【永久持续】【主动消耗】</t>
  </si>
  <si>
    <t>【风波冲击】</t>
  </si>
  <si>
    <t>\n调查员掌握发动风波冲击的法术</t>
  </si>
  <si>
    <t>\n消耗15点MP造成20码内5d6伤害，每5码伤害减1d6。【减益特质】【影响范围】【每场景1次】【主动消耗】</t>
  </si>
  <si>
    <t>【风波禁锢】</t>
  </si>
  <si>
    <t>\n调查员掌握用风波定身的法术</t>
  </si>
  <si>
    <t>\n成功力量对抗POW可使目标无法行动1d3回合，消耗10点MP。【减益特质】【影响单目标】【每场景2次】【主动消耗】</t>
  </si>
  <si>
    <t>【虚化形态】</t>
  </si>
  <si>
    <t>\n调查员掌握虚化身体的秘术</t>
  </si>
  <si>
    <t>\n可化为黑色粘液穿过任何缝隙，但移动速度减半，持续3回合。【增益特质】【影响自己】【每场景2次】【主动消耗】</t>
  </si>
  <si>
    <t>【风暴召唤】</t>
  </si>
  <si>
    <t>\n调查员掌握召唤风暴的法术</t>
  </si>
  <si>
    <t>\n每回合消耗5点MP造成2d4风暴伤害，持续整场战斗。【减益特质】【影响范围】【每模组1次】【主动消耗】</t>
  </si>
  <si>
    <t>【风雪侵袭】</t>
  </si>
  <si>
    <t>\n调查员掌握发动风雪袭击的法术</t>
  </si>
  <si>
    <t>\n目标需进行CON检定（难度50），失败则每回合损失1点HP，持续5回合。【减益特质】【影响范围】【每场景2次】【主动消耗】</t>
  </si>
  <si>
    <t>【寒潮降临】</t>
  </si>
  <si>
    <t>\n调查员掌握召唤寒潮的法术</t>
  </si>
  <si>
    <t>\n每点MP降低环境温度6℃，可造成冻伤、幻觉和昏迷，持续1小时。【减益特质】【影响范围】【每场景1次】【主动消耗】</t>
  </si>
  <si>
    <t>【地精诅咒】</t>
  </si>
  <si>
    <t>\n调查员被地精标记诅咒</t>
  </si>
  <si>
    <t>\n遭受地精报复，每晚做噩梦，SAN损失1d3，但对地精类生物伤害+1d4。【减益特质】【影响自己】【永久持续】【被动生效】</t>
  </si>
  <si>
    <t>【猩红之门】</t>
  </si>
  <si>
    <t>\n调查员掌握开启猩红之环的禁忌仪式</t>
  </si>
  <si>
    <t>\n献祭90点SIZ的祭品和5点POW，可短暂打开时空门，持续1回合。【增益特质】【影响特殊】【每模组1次】【主动消耗】</t>
  </si>
  <si>
    <t>【痛苦结界】</t>
  </si>
  <si>
    <t>\n调查员掌握创造痛苦领域的法术</t>
  </si>
  <si>
    <t>\n5×5米范围内所有目标检定增加一个惩罚骰，每回合受到1d4伤害。【减益特质】【影响范围】【每场景1次】【主动消耗】</t>
  </si>
  <si>
    <t>【疯狂低语】</t>
  </si>
  <si>
    <t>\n调查员持续遭受疯狂侵蚀</t>
  </si>
  <si>
    <t>\n每日损失1d6 SAN，接触克苏鲁相关时损失1d10 SAN，但克苏鲁神话技能成长+20%。【减益特质】【影响自己】【永久持续】【被动生效】</t>
  </si>
  <si>
    <t>【绝对服从】</t>
  </si>
  <si>
    <t>\n调查员掌握吟唱绝对服从之歌的法术</t>
  </si>
  <si>
    <t>\n成功POW对抗可使目标完全服从命令，持续1d6回合，消耗12点MP。【减益特质】【影响单目标】【每场景1次】【主动消耗】</t>
  </si>
  <si>
    <t>【气象操控】</t>
  </si>
  <si>
    <t>\n调查员掌握改变天气的法术</t>
  </si>
  <si>
    <t>\n每5点MP可增强一档天气强度，最高消耗25点MP，持续1小时。【增益特质】【影响范围】【每场景1次】【主动消耗】</t>
  </si>
  <si>
    <t>【死亡舞步】</t>
  </si>
  <si>
    <t>\n调查员掌握引导死亡之舞的法术</t>
  </si>
  <si>
    <t>\n目标需进行困难意志检定（难度70）脱离，否则每回合受到1d4伤害，持续3回合。【减益特质】【影响单目标】【每场景2次】【主动消耗】</t>
  </si>
  <si>
    <t>【物质虚化】</t>
  </si>
  <si>
    <t>\n调查员掌握使物体虚化的法术</t>
  </si>
  <si>
    <t>\n消耗1d8+2点MP和目标1d6 SAN，可使物体暂时虚化，持续2回合。【增益特质】【影响单目标】【每场景2次】【主动消耗】</t>
  </si>
  <si>
    <t>【裂解射线】</t>
  </si>
  <si>
    <t>\n调查员掌握发射裂解射线的法术</t>
  </si>
  <si>
    <t>\n造成1d10不可治愈伤害，目标损失等值APP，消耗10点MP。【减益特质】【影响单目标】【每场景2次】【主动消耗】</t>
  </si>
  <si>
    <t>【灵能震爆】</t>
  </si>
  <si>
    <t>\n成功POW对抗造成目标1d10 MP损失并眩晕1回合，消耗8点MP。【减益特质】【影响单目标】【每场景2次】【主动消耗】</t>
  </si>
  <si>
    <t>【死亡尖啸】</t>
  </si>
  <si>
    <t>\n调查员掌握发出死亡嚎叫的秘术</t>
  </si>
  <si>
    <t>\n听到嚎叫的目标需进行SAN检定（0/1d2），范围10米。【减益特质】【影响范围】【每场景1次】【主动消耗】</t>
  </si>
  <si>
    <t>【石化凝视】</t>
  </si>
  <si>
    <t>\n调查员拥有石化凝视的能力</t>
  </si>
  <si>
    <t>\n成功POW对抗可使目标原地无法行动1d3回合，消耗5点MP。【减益特质】【影响单目标】【每场景3次】【主动消耗】</t>
  </si>
  <si>
    <t>【异星武器】</t>
  </si>
  <si>
    <t>\n调查员使用外星科技打造的武器</t>
  </si>
  <si>
    <t>\n造成1d6伤害，无视护甲，但需要特殊能量充能。【增益特质】【影响单目标】【永久持续】【被动生效】</t>
  </si>
  <si>
    <t>【电击鞭笞】</t>
  </si>
  <si>
    <t>\n调查员使用外星电击鞭子</t>
  </si>
  <si>
    <t>\n造成1d6伤害+1d4电击伤害，有25%概率麻痹目标1回合。【增益特质】【影响单目标】【永久持续】【被动生效】</t>
  </si>
  <si>
    <t>【昏迷射线】</t>
  </si>
  <si>
    <t>\n调查员掌握发射昏迷射线的法术</t>
  </si>
  <si>
    <t>\n造成1d6伤害，目标需进行CON检定（难度55），失败则昏迷1d3回合。【减益特质】【影响单目标】【每场景3次】【主动消耗】</t>
  </si>
  <si>
    <t>【念力操控】</t>
  </si>
  <si>
    <t>\n调查员掌握使用念力移动物体的能力</t>
  </si>
  <si>
    <t>\n念力力量等于1/2 MP值，可操控不超过SIZ 50的物体。【增益特质】【影响特殊】【永久持续】【主动消耗】</t>
  </si>
  <si>
    <t>【能量爆炸】</t>
  </si>
  <si>
    <t>\n调查员掌握创造能量漩涡的禁忌法术</t>
  </si>
  <si>
    <t>\n每50点POW增加10码范围，造成1d100爆炸伤害，消耗全部MP。【减益特质】【影响范围】【每模组1次】【主动消耗】</t>
  </si>
  <si>
    <t>\n调查员与生命本源签订特殊契约</t>
  </si>
  <si>
    <t>\n每日损失2点HP上限，每个活物接触可恢复1点HP上限，MOV随HP上限下降。【减益特质】【影响自己】【永久持续】【被动生效】</t>
  </si>
  <si>
    <t>【黑暗视觉】</t>
  </si>
  <si>
    <t>\n调查员拥有在完全黑暗中视物的能力</t>
  </si>
  <si>
    <t>\n在无光环境下不产生惩罚骰，可正常进行视觉相关检定。【增益特质】【影响自己】【永久持续】【被动生效】</t>
  </si>
  <si>
    <t>【心灵探测】</t>
  </si>
  <si>
    <t>\n调查员掌握进行心灵探测的法术</t>
  </si>
  <si>
    <t>\n消耗3点MP刺探目标表层思想，每回合维持消耗1点MP。【增益特质】【影响单目标】【每场景3次】【主动消耗】</t>
  </si>
  <si>
    <t>【生物殖装】</t>
  </si>
  <si>
    <t>\n调查员穿戴活体生物装甲</t>
  </si>
  <si>
    <t>\n获得8点护甲，防护物理、火焰和电击伤害，但脱下时会受到2d6伤害。【增益特质】【影响自己】【永久持续】【被动生效】</t>
  </si>
  <si>
    <t>【低频催眠】</t>
  </si>
  <si>
    <t>\n调查员掌握发出催眠声音的法术</t>
  </si>
  <si>
    <t>\n发出低频声音使目标想睡觉，需进行POW检定（难度50）抵抗。【减益特质】【影响范围】【每场景2次】【主动消耗】</t>
  </si>
  <si>
    <t>【绝对黑暗】</t>
  </si>
  <si>
    <t>\n调查员掌握创造绝对黑暗区域的法术</t>
  </si>
  <si>
    <t>\n每点MP创造1立方米的绝对黑暗区域，持续3回合。【增益特质】【影响范围】【每场景2次】【主动消耗】</t>
  </si>
  <si>
    <t>【剧毒皮肤】</t>
  </si>
  <si>
    <t>\n调查员皮肤含有接触性毒素</t>
  </si>
  <si>
    <t>\n近战接触者需进行CON检定（难度55），失败则受到1d4中毒伤害。【增益特质】【影响自己】【永久持续】【被动生效】</t>
  </si>
  <si>
    <t>\n调查员以精神能量为食</t>
  </si>
  <si>
    <t>\n每吸收5点MP损失1d4 SAN，可爆发吸收3d6 MP，每日限一次。【增益特质】【影响单目标】【每日1次】【主动消耗】</t>
  </si>
  <si>
    <t>【腐化黑泥】</t>
  </si>
  <si>
    <t>\n调查员掌握创造腐败黑泥的法术</t>
  </si>
  <si>
    <t>\n创造导致重病的黑泥，接触者CON检定失败则每回合损失1 HP，持续5回合。【减益特质】【影响范围】【每场景1次】【主动消耗】</t>
  </si>
  <si>
    <t>【幻觉攻击】</t>
  </si>
  <si>
    <t>\n调查员攻击能产生强烈幻觉</t>
  </si>
  <si>
    <t>\n成功攻击使目标3d6回合无法通过意志脱离幻觉，所有检定增加一个惩罚骰。【减益特质】【影响单目标】【每场景2次】【主动生效】</t>
  </si>
  <si>
    <t>【剧毒攻击】</t>
  </si>
  <si>
    <t>\n调查员攻击附带致命剧毒</t>
  </si>
  <si>
    <t>\n成功攻击造成4d10毒素伤害，但对毒素免疫目标无效。【增益特质】【影响单目标】【每场景1次】【主动生效】</t>
  </si>
  <si>
    <t>【麻痹攻击】</t>
  </si>
  <si>
    <t>\n调查员攻击具有麻痹毒素</t>
  </si>
  <si>
    <t>\n成功攻击使目标麻痹3d6回合，无法移动，需进行CON检定抵抗。【增益特质】【影响单目标】【每场景2次】【主动生效】</t>
  </si>
  <si>
    <t>【形态变换】</t>
  </si>
  <si>
    <t>\n调查员掌握自由变换形态的能力</t>
  </si>
  <si>
    <t>\n可不改变属性伪装成物体或生物，可自由解除，持续1小时。【增益特质】【影响自己】【每场景2次】【主动消耗】</t>
  </si>
  <si>
    <t>\n调查员掌握悄无声息精神附体的秘术</t>
  </si>
  <si>
    <t>\n可悄无声息地操控目标精神，不被常规手段察觉，持续1d6回合。【减益特质】【影响单目标】【每场景1次】【主动消耗】</t>
  </si>
  <si>
    <t>【灵魂吞噬】</t>
  </si>
  <si>
    <t>\n调查员掌握汲取灵魂能量的禁忌秘术</t>
  </si>
  <si>
    <t>\n每回合吸收目标3d10 POW强化自身，但同时损失2d8 CON和APP。【减益特质】【影响单目标】【每模组1次】【主动消耗】</t>
  </si>
  <si>
    <t>【僵尸病毒】</t>
  </si>
  <si>
    <t>\n调查员携带传播僵尸感染的病毒</t>
  </si>
  <si>
    <t>\n被感染目标死亡后变为僵尸，恢复生前属性但SAN清零，HP 2d6，不吸血每日损失1d6 HP。【减益特质】【影响单目标】【每模组1次】【主动消耗】</t>
  </si>
  <si>
    <t>【能量爆发】</t>
  </si>
  <si>
    <t>\n调查员掌握发动能量冲击的法术</t>
  </si>
  <si>
    <t>\n消耗5点POW造成1d6能量伤害，射程15米。【减益特质】【影响单目标】【每场景3次】【主动消耗】</t>
  </si>
  <si>
    <t>【魅惑光环】</t>
  </si>
  <si>
    <t>\n调查员拥有令人不安的亵渎之美</t>
  </si>
  <si>
    <t>\n目标需进行POW检定（难度60）抵抗魅惑和束缚效果。【增益特质】【影响自己】【永久持续】【被动生效】</t>
  </si>
  <si>
    <t>【疫病传播】</t>
  </si>
  <si>
    <t>\n调查员亲吻可传播致命疫病</t>
  </si>
  <si>
    <t>\n成功POW抵抗失败则目标每日损失1d10 CON，持续3日。【减益特质】【影响单目标】【每模组1次】【主动消耗】</t>
  </si>
  <si>
    <t>【致命拥抱】</t>
  </si>
  <si>
    <t>\n调查员拥抱具有致命效果</t>
  </si>
  <si>
    <t>\n目标需进行SAN检定（难度55），失败则受到1d4窒息伤害并吸引虫群攻击。【减益特质】【影响单目标】【每场景1次】【主动消耗】</t>
  </si>
  <si>
    <t>【虚空遁逃】</t>
  </si>
  <si>
    <t>\n调查员掌握使用静止方块进入虚空</t>
  </si>
  <si>
    <t>\n可进入虚空免疫伤害并逃跑，属于超科技能力，每模组限一次。【增益特质】【影响自己】【每模组1次】【主动消耗】</t>
  </si>
  <si>
    <t>【凶暴撕咬】</t>
  </si>
  <si>
    <t>\n调查员掌握凶猛的撕咬技巧</t>
  </si>
  <si>
    <t>\n造成1d4+db的撕咬伤害，对无护甲目标伤害×1.5。【增益特质】【影响单目标】【永久持续】【被动生效】</t>
  </si>
  <si>
    <t>【梦境驱逐】</t>
  </si>
  <si>
    <t>\n调查员掌握驱离梦境的法术</t>
  </si>
  <si>
    <t>\n每回合消耗目标1d4 MP，直到其昏迷或脱离梦境，消耗8点MP。【减益特质】【影响单目标】【每场景2次】【主动消耗】</t>
  </si>
  <si>
    <t>\n调查员掌握跨越幻梦境的法术</t>
  </si>
  <si>
    <t>\n消耗10点MP进行三回合施法，可进入幻梦境。【增益特质】【影响特殊】【每模组1次】【主动消耗】</t>
  </si>
  <si>
    <t>【雷霆召唤】</t>
  </si>
  <si>
    <t>\n调查员掌握召唤雷暴的法术</t>
  </si>
  <si>
    <t>\n造成5×5米范围2d10雷电伤害并可能麻痹目标，消耗15点MP。【减益特质】【影响范围】【每场景1次】【主动消耗】</t>
  </si>
  <si>
    <t>【吞噬攻击】</t>
  </si>
  <si>
    <t>\n调查员掌握野蛮吞噬的攻击方式</t>
  </si>
  <si>
    <t>\n成功力量对抗后造成3d6+db的吞噬伤害，但对大型生物效果减半。【增益特质】【影响单目标】【每场景2次】【主动生效】</t>
  </si>
  <si>
    <t>【精神折磨】</t>
  </si>
  <si>
    <t>\n调查员掌握进行精神折磨的法术</t>
  </si>
  <si>
    <t>\n成功意志对抗可使目标所有行动增加一个惩罚骰，持续3回合，消耗8点MP。【减益特质】【影响单目标】【每场景2次】【主动消耗】</t>
  </si>
  <si>
    <t>【强力投掷】</t>
  </si>
  <si>
    <t>\n调查员掌握地球上投的战斗技巧</t>
  </si>
  <si>
    <t>\n成功力量敏捷对抗后，将目标抛向空中造成1d10+坠落伤害，消耗整回合行动。【增益特质】【影响单目标】【每场景1次】【主动生效】</t>
  </si>
  <si>
    <t>【时间截取】</t>
  </si>
  <si>
    <t>\n调查员掌握从历史中截取对象的禁忌法术</t>
  </si>
  <si>
    <t>\n可从历史中截取对象并召唤，消耗1d20 SAN，每模组限一次。【增益特质】【影响特殊】【每模组1次】【主动消耗】</t>
  </si>
  <si>
    <t>【平行召唤】</t>
  </si>
  <si>
    <t>\n调查员掌握访问平行宇宙召唤对象的法术</t>
  </si>
  <si>
    <t>\n可从平行宇宙召唤对象，消耗1d20 SAN，每模组限一次。【增益特质】【影响特殊】【每模组1次】【主动消耗】</t>
  </si>
  <si>
    <t>【亡灵统帅】</t>
  </si>
  <si>
    <t>\n调查员掌握领导死者的禁忌秘术</t>
  </si>
  <si>
    <t>\n肉身会缓慢腐烂但灵魂不朽，可控制最多5个亡灵单位。【增益特质】【影响多目标】【永久持续】【被动生效】</t>
  </si>
  <si>
    <t>【时空错乱】</t>
  </si>
  <si>
    <t>\n调查员掌握创造时空泡泡的法术</t>
  </si>
  <si>
    <t>\n创造时空错乱区域，可进入但难以离开，随机连接宇宙未知地点，消耗15点MP。【减益特质】【影响范围】【每模组1次】【主动消耗】</t>
  </si>
  <si>
    <t>【死亡之舞】</t>
  </si>
  <si>
    <t>\n目标需进行困难意志抵抗（难度70），失败则跳超难度舞蹈导致四肢折断，每回合受到1d10伤害。【减益特质】【影响单目标】【每模组1次】【主动消耗】</t>
  </si>
  <si>
    <t>【仿生制造】</t>
  </si>
  <si>
    <t>\n调查员掌握制造仿生体的技术</t>
  </si>
  <si>
    <t>\n仿生体继承本体部分能力，可基于科技制造，需要大量资源和时间。【增益特质】【影响特殊】【每模组1次】【主动消耗】</t>
  </si>
  <si>
    <t>【命运分支】</t>
  </si>
  <si>
    <t>\n调查员掌握创造支线命运的秘术</t>
  </si>
  <si>
    <t>\n可由支线代替本体死亡或毁灭，每模组限一次，消耗1d10 SAN。【增益特质】【影响自己】【每模组1次】【主动消耗】</t>
  </si>
  <si>
    <t>【时间锚点】</t>
  </si>
  <si>
    <t>\n调查员掌握设置时间锚点的技术</t>
  </si>
  <si>
    <t>\n创造备份锚点，死亡时可回归锚点状态，但会永久损失1d6 POW。【增益特质】【影响自己】【每模组1次】【主动消耗】</t>
  </si>
  <si>
    <t>【克隆替身】</t>
  </si>
  <si>
    <t>\n调查员掌握用克隆体替换本体的技术</t>
  </si>
  <si>
    <t>\n用短暂存在的克隆体替换本体，避免死亡，但克隆体只能存在1小时。【增益特质】【影响自己】【每模组1次】【主动消耗】</t>
  </si>
  <si>
    <t>【拟态伪装】</t>
  </si>
  <si>
    <t>\n调查员掌握进行拟态替换的秘术</t>
  </si>
  <si>
    <t>\n用外观相似但内在不同的替身替换自己，持续1场景。【增益特质】【影响自己】【每场景1次】【主动消耗】</t>
  </si>
  <si>
    <t>【意外复制】</t>
  </si>
  <si>
    <t>\n调查员可能意外复制自身</t>
  </si>
  <si>
    <t>\n有10%几率在施法时意外复制一个完全相同的自己，持续1d6回合。【增益特质】【影响自己】【被动生效】【随机触发】</t>
  </si>
  <si>
    <t>【锻造精通】</t>
  </si>
  <si>
    <t>\n调查员精通锻造技艺</t>
  </si>
  <si>
    <t>\n所有锻造相关检定获得一个奖励骰，锻造成功率+15%。【增益特质】【影响自己】【永久持续】【被动生效】</t>
  </si>
  <si>
    <t>【强化专家】</t>
  </si>
  <si>
    <t>\n调查员是强化物品的专家</t>
  </si>
  <si>
    <t>\n所有强化相关检定获得一个奖励骰，强化效果+20%。【增益特质】【影响自己】【永久持续】【被动生效】</t>
  </si>
  <si>
    <t>【附魔大师】</t>
  </si>
  <si>
    <t>\n调查员是附魔技艺的大师</t>
  </si>
  <si>
    <t>\n所有附魔相关检定获得一个奖励骰，附魔成功率+25%。【增益特质】【影响自己】【永久持续】【被动生效】</t>
  </si>
  <si>
    <t>【工艺坚韧】</t>
  </si>
  <si>
    <t>\n调查员制作时更具韧性</t>
  </si>
  <si>
    <t>\n制作失败时获得一次额外重试机会，每日限三次。【增益特质】【影响自己】【每日3次】【被动生效】</t>
  </si>
  <si>
    <t>【精炼技艺】</t>
  </si>
  <si>
    <t>\n调查员精通武器精炼</t>
  </si>
  <si>
    <t>\n可提升锻造产物品质一级，但制作时间×2。【增益特质】【影响特殊】【永久持续】【主动生效】</t>
  </si>
  <si>
    <t>【材料回收】</t>
  </si>
  <si>
    <t>\n调查员掌握材料回收技巧</t>
  </si>
  <si>
    <t>\n锻造失败时返还50%材料或宝石，减少损失。【增益特质】【影响自己】【永久持续】【被动生效】</t>
  </si>
  <si>
    <t>【魔力储备】</t>
  </si>
  <si>
    <t>\n调查员制作的物品具有魔力回路</t>
  </si>
  <si>
    <t>\n可预存和施放法术，施法成功率+20%，储存容量基于物品品质。【增益特质】【影响特殊】【永久持续】【被动生效】</t>
  </si>
  <si>
    <t>\n调查员制作的物品可作为魔法熔炉</t>
  </si>
  <si>
    <t>\n可为法术积蓄魔力，储存额外MP，容量为POW×2。【增益特质】【影响自己】【永久持续】【被动生效】</t>
  </si>
  <si>
    <t>【施法增效】</t>
  </si>
  <si>
    <t>\n调查员制作的物品具有固有魔法</t>
  </si>
  <si>
    <t>\n减少施法消耗20%，最低为1点MP。【增益特质】【影响自己】【永久持续】【被动生效】</t>
  </si>
  <si>
    <t>【快速施法】</t>
  </si>
  <si>
    <t>\n调查员制作的物品刻有魔法铭文</t>
  </si>
  <si>
    <t>\n减少施法时间50%，瞬发法术数量+1。【增益特质】【影响自己】【永久持续】【被动生效】</t>
  </si>
  <si>
    <t>\n调查员擅长利用体型优势</t>
  </si>
  <si>
    <t>\n当自身SIZ比目标大2点以上时，近战攻击额外造成2d6伤害。【增益特质】【影响单目标】【永久持续】【被动生效】</t>
  </si>
  <si>
    <t>\n调查员嗅觉极其敏锐</t>
  </si>
  <si>
    <t>\n可嗅出潜行和伪装目标，除非目标遁入虚空，探测范围50米。【增益特质】【影响自己】【永久持续】【被动生效】</t>
  </si>
  <si>
    <t>【粉碎擒抱】</t>
  </si>
  <si>
    <t>\n调查员擒抱极具破坏力</t>
  </si>
  <si>
    <t>\n成功擒拿后每回合造成1d10碾压伤害，目标需进行困难力量检定挣脱。【增益特质】【影响单目标】【每场景2次】【主动生效】</t>
  </si>
  <si>
    <t>【血肉需求】</t>
  </si>
  <si>
    <t>\n调查员需要定期摄入血肉</t>
  </si>
  <si>
    <t>\n每晚需摄入1d10血肉，否则损失2d10 STR和SIZ。【减益特质】【影响自己】【永久持续】【被动生效】</t>
  </si>
  <si>
    <t>【空间偷渡】</t>
  </si>
  <si>
    <t>\n调查员掌握空间寄生的秘术</t>
  </si>
  <si>
    <t>\n可利用传送门或时空装置偷渡，无需权限，但有30%概率被察觉。【增益特质】【影响自己】【每场景1次】【主动消耗】</t>
  </si>
  <si>
    <t>【退化射线】</t>
  </si>
  <si>
    <t>\n调查员掌握发射退化射线的法术</t>
  </si>
  <si>
    <t>\n成功POW对抗可使目标2d6回合内退化成原始形态，消耗12点MP。【减益特质】【影响单目标】【每场景1次】【主动消耗】</t>
  </si>
  <si>
    <t>【寒冰冲击】</t>
  </si>
  <si>
    <t>\n调查员掌握发动寒冷冲击的法术</t>
  </si>
  <si>
    <t>\n每消耗2点MP造成3×3米范围内1d4寒气伤害，持续2回合。【减益特质】【影响范围】【每场景2次】【主动消耗】</t>
  </si>
  <si>
    <t>\n每两回合吹奏，周围10米内目标需进行SAN检定（0/1d4）。【减益特质】【影响范围】【每场景2次】【主动消耗】</t>
  </si>
  <si>
    <t>【魔力馈赠】</t>
  </si>
  <si>
    <t>\n调查员掌握提供魔法援助的法术</t>
  </si>
  <si>
    <t>\n每点POW可向他人提供5点MP，每日限一次。【增益特质】【影响单目标】【每日1次】【主动消耗】</t>
  </si>
  <si>
    <t>【门扉操控】</t>
  </si>
  <si>
    <t>\n调查员掌握扭转传送门的法术</t>
  </si>
  <si>
    <t>\n消耗10点POW临时改变时空门目的地，持续1小时。【增益特质】【影响单目标】【每场景1次】【主动消耗】</t>
  </si>
  <si>
    <t>【肢体独立】</t>
  </si>
  <si>
    <t>\n调查员身体部件可独立行动</t>
  </si>
  <si>
    <t>\n拆开的四肢可独立存在，具有对应功能，持续1小时。【增益特质】【影响自己】【每场景1次】【主动消耗】</t>
  </si>
  <si>
    <t>【沙砾融合】</t>
  </si>
  <si>
    <t>\n调查员身体如沙砾般可融合</t>
  </si>
  <si>
    <t>\n消耗5点MP可与其他人叠加属性，持续3回合。【增益特质】【影响单目标】【每场景2次】【主动消耗】</t>
  </si>
  <si>
    <t>【水晶护甲】</t>
  </si>
  <si>
    <t>\n调查员拥有神话科技护甲水晶</t>
  </si>
  <si>
    <t>\n激活后5回合内提供10点护甲，需要充能24小时。【增益特质】【影响自己】【每日1次】【主动消耗】</t>
  </si>
  <si>
    <t>【晶体枪械】</t>
  </si>
  <si>
    <t>\n调查员使用神话科技晶体枪械</t>
  </si>
  <si>
    <t>\n造成1d8电击伤害，使用10次后需要充能1小时。【增益特质】【影响单目标】【永久持续】【被动生效】</t>
  </si>
  <si>
    <t>【支配液体】</t>
  </si>
  <si>
    <t>\n调查员能够分泌支配浆液</t>
  </si>
  <si>
    <t>\n目标需进行困难CON对抗（难度65），失败则1d10+10天内听从调查员命令。【减益特质】【影响单目标】【每模组1次】【主动消耗】</t>
  </si>
  <si>
    <t>【音爆攻击】</t>
  </si>
  <si>
    <t>\n调查员掌握发动音爆攻击的技巧</t>
  </si>
  <si>
    <t>\n无视护甲造成1d6伤害，并使目标血肉炸裂，每日限三次。【增益特质】【影响单目标】【每日3次】【主动生效】</t>
  </si>
  <si>
    <t>【酸液喷射】</t>
  </si>
  <si>
    <t>\n调查员能够喷吐腐蚀性酸液</t>
  </si>
  <si>
    <t>\n造成1d3伤害和等值APP损失，同时腐蚀目标护甲，持续3回合。【减益特质】【影响单目标】【每场景3次】【主动生效】</t>
  </si>
  <si>
    <t>【神经鞭挞】</t>
  </si>
  <si>
    <t>\n调查员掌握进行神经鞭挞的法术</t>
  </si>
  <si>
    <t>\n成功POW对抗可使目标丧失行动力1d3回合，消耗9点MP。【减益特质】【影响单目标】【每场景2次】【主动消耗】</t>
  </si>
  <si>
    <t>【声音模仿】</t>
  </si>
  <si>
    <t>\n调查员掌握完美模仿声音的技巧</t>
  </si>
  <si>
    <t>\n可完美模仿任何已知的声音，相关检定获得一个奖励骰。【增益特质】【影响自己】【永久持续】【被动生效】</t>
  </si>
  <si>
    <t>【恐惧解析】</t>
  </si>
  <si>
    <t>\n调查员能够理解恐惧根源</t>
  </si>
  <si>
    <t>\n可理解他人恐惧和疯狂原因，但会额外损失1d3 SAN。【增益特质】【影响单目标】【每场景2次】【主动消耗】</t>
  </si>
  <si>
    <t>【疯狂转移】</t>
  </si>
  <si>
    <t>\n调查员掌握转移疯狂的秘术</t>
  </si>
  <si>
    <t>\n可向指定目标转移自身的疯狂状态和理智损失，消耗1d6 SAN。【减益特质】【影响单目标】【每场景1次】【主动消耗】</t>
  </si>
  <si>
    <t>【血肉寄生】</t>
  </si>
  <si>
    <t>\n调查员掌握植入血肉种荚的禁忌秘术</t>
  </si>
  <si>
    <t>\n目标需进行CON对抗（难度60），失败则在24+4d6小时内转化为莎布之子。【减益特质】【影响单目标】【每模组1次】【主动消耗】</t>
  </si>
  <si>
    <t>【群体践踏】</t>
  </si>
  <si>
    <t>\n调查员掌握进行群体践踏的攻击方式</t>
  </si>
  <si>
    <t>\n可同时攻击1d4个目标，每个目标受到2d6伤害，消耗整回合行动。【增益特质】【影响多目标】【每场景1次】【主动生效】</t>
  </si>
  <si>
    <t>【致盲强光】</t>
  </si>
  <si>
    <t>\n调查员掌握制造耀眼光芒的法术</t>
  </si>
  <si>
    <t>\n每增加5点MP，目标需进行CON对抗，失败则失明1d4回合，基础消耗8点MP。【减益特质】【影响范围】【每场景2次】【主动消耗】</t>
  </si>
  <si>
    <t>【大脑吞噬】</t>
  </si>
  <si>
    <t>\n调查员掌握吞噬大脑的禁忌秘术</t>
  </si>
  <si>
    <t>\n接触攻击每回合造成目标2d10 INT和POW损失，以及1d10 SAN损失。【减益特质】【影响单目标】【每模组1次】【主动消耗】</t>
  </si>
  <si>
    <t>【光学隐形】</t>
  </si>
  <si>
    <t>\n调查员掌握光学隐形的能力</t>
  </si>
  <si>
    <t>\n只能被特殊透镜观察，攻击和潜行检定获得一个奖励骰。【增益特质】【影响自己】【永久持续】【被动生效】</t>
  </si>
  <si>
    <t>【灵体禁锢】</t>
  </si>
  <si>
    <t>\n调查员掌握制造灵体容器的法术</t>
  </si>
  <si>
    <t>\n消耗10点MP制造可收容或封印灵体的特殊容器，持续1场景。【增益特质】【影响单目标】【每场景2次】【主动消耗】</t>
  </si>
  <si>
    <t>【黑莲催眠】</t>
  </si>
  <si>
    <t>\n调查员使用黑莲诱导深度睡眠</t>
  </si>
  <si>
    <t>\n目标需进行困难CON检定（难度70），失败则陷入1d10小时昏睡，成功则SAN损失1/1d4。【减益特质】【影响单目标】【每场景1次】【主动消耗】</t>
  </si>
  <si>
    <t>【黑莲剧毒】</t>
  </si>
  <si>
    <t>\n调查员使用黑莲制作的剧毒</t>
  </si>
  <si>
    <t>\n目标需进行困难CON检定（难度70），失败则1d4分钟后死亡，成功则SAN损失1/1d4+1。【减益特质】【影响单目标】【每模组1次】【主动消耗】</t>
  </si>
  <si>
    <t>【黑莲入梦】</t>
  </si>
  <si>
    <t>\n调查员使用黑莲进入梦境</t>
  </si>
  <si>
    <t>\n入梦时间为(100-理智)分钟，SAN损失1/1d10，可能产生依赖性。【增益特质】【影响自己】【每日1次】【主动消耗】</t>
  </si>
  <si>
    <t>【莲花香精】</t>
  </si>
  <si>
    <t>\n调查员使用精制黑莲粉末</t>
  </si>
  <si>
    <t>\n无成瘾性，可诱导入梦状态，效果持续1小时。【增益特质】【影响单目标】【每场景2次】【主动消耗】</t>
  </si>
  <si>
    <t>【钻潜寄生】</t>
  </si>
  <si>
    <t>\n调查员掌握钻潜寄生的秘术</t>
  </si>
  <si>
    <t>\n造成1d6初始伤害，寄生后目标每日损失1d6任意属性和1点SIZ。【减益特质】【影响单目标】【每模组1次】【主动消耗】</t>
  </si>
  <si>
    <t>【永恒标记】</t>
  </si>
  <si>
    <t>\n调查员掌握永恒追猎目标的秘术</t>
  </si>
  <si>
    <t>\n标记目标后，所有相关检定获得一个奖励骰，可无视时空阻碍追踪。【增益特质】【影响单目标】【每模组1次】【主动消耗】</t>
  </si>
  <si>
    <t>【时空连接】</t>
  </si>
  <si>
    <t>\n调查员掌握连接廷达罗斯的法术</t>
  </si>
  <si>
    <t>\n消耗15点MP跨越时间与空间，连接廷达罗斯之塔，但可能引发不可预知后果。【增益特质】【影响特殊】【每模组1次】【主动消耗】</t>
  </si>
  <si>
    <t>【腐蚀脓液】</t>
  </si>
  <si>
    <t>\n调查员分泌具有腐蚀性的蓝色脓水</t>
  </si>
  <si>
    <t>\n接触目标每回合造成2d6伤害，直到脓水被清除，持续3回合。【减益特质】【影响单目标】【每场景2次】【主动消耗】</t>
  </si>
  <si>
    <t>【恶臭气息】</t>
  </si>
  <si>
    <t>\n调查员散发令人作呕的阴森恶臭</t>
  </si>
  <si>
    <t>\n目标需进行CON检定（难度55），失败则1d6回合呕吐无法行动。【减益特质】【影响范围】【永久持续】【被动生效】</t>
  </si>
  <si>
    <t>【高维视觉】</t>
  </si>
  <si>
    <t>\n调查员拥有四维视觉能力</t>
  </si>
  <si>
    <t>\n每消耗1点MP可观察1米距离，闪避攻击时不会因寡不敌众受罚。【增益特质】【影响自己】【永久持续】【主动消耗】</t>
  </si>
  <si>
    <t>【尖角穿梭】</t>
  </si>
  <si>
    <t>\n调查员掌握跨越尖角移动的法术</t>
  </si>
  <si>
    <t>\n消耗4点MP可在任意尖角间穿梭，需一回合施法，最大距离20米。【增益特质】【影响自己】【每场景3次】【主动消耗】</t>
  </si>
  <si>
    <t>【时空扭曲】</t>
  </si>
  <si>
    <t>\n调查员掌握扭曲时空的法术</t>
  </si>
  <si>
    <t>\n消耗5点MP扭曲附近时空，使攻击和行动失效，SAN损失1/1d4。【增益特质】【影响自己】【每场景2次】【主动消耗】</t>
  </si>
  <si>
    <t>【时序操控】</t>
  </si>
  <si>
    <t>\n调查员掌握操控时间顺序的能力</t>
  </si>
  <si>
    <t>\n可自由交换攻击和反击顺序，下一次攻击必定命中，每日限一次。【增益特质】【影响自己】【每日1次】【主动消耗】</t>
  </si>
  <si>
    <t>【维度之舌】</t>
  </si>
  <si>
    <t>\n调查员攻击影响目标维度</t>
  </si>
  <si>
    <t>\n造成3d6永久POW损失和临时STR损失，但不会造成重伤状态。【减益特质】【影响单目标】【每模组1次】【主动消耗】</t>
  </si>
  <si>
    <t>【相位移动】</t>
  </si>
  <si>
    <t>\n调查员掌握相位移动的法术</t>
  </si>
  <si>
    <t>\n每回合消耗4点MP，免疫普通武器伤害，持续整场战斗。【增益特质】【影响自己】【永久持续】【主动消耗】</t>
  </si>
  <si>
    <t>【身体占据】</t>
  </si>
  <si>
    <t>\n调查员掌握占据他人身体的秘术</t>
  </si>
  <si>
    <t>\n消耗10点MP进行POW对抗，成功可占据目标身体1d3小时。【减益特质】【影响单目标】【每模组1次】【主动消耗】</t>
  </si>
  <si>
    <t>【空间折叠】</t>
  </si>
  <si>
    <t>\n调查员掌握折叠空间的法术</t>
  </si>
  <si>
    <t>\n每次消耗1点MP可使5×5米范围内目标回到起点，目标损失1点SAN。【减益特质】【影响范围】【每场景2次】【主动消耗】</t>
  </si>
  <si>
    <t>\n获得3点护甲和20点耐久，穿刺伤害减半，持续3回合。【增益特质】【影响自己】【每场景2次】【主动消耗】</t>
  </si>
  <si>
    <t>【御风而行】</t>
  </si>
  <si>
    <t>\n调查员掌握御风而行的能力</t>
  </si>
  <si>
    <t>\n可在空中奔跑，移动速度×2，持续3回合。【增益特质】【影响自己】【每场景2次】【主动消耗】</t>
  </si>
  <si>
    <t>【冰心复苏】</t>
  </si>
  <si>
    <t>\n调查员心脏被特殊冻结保护</t>
  </si>
  <si>
    <t>\n只要心脏不被摧毁就不会死亡，日出时可自动复苏，但每日SAN损失1d4。【增益特质】【影响自己】【永久持续】【被动生效】</t>
  </si>
  <si>
    <t>【幻象伪装】</t>
  </si>
  <si>
    <t>\n调查员掌握短暂伪装的法术</t>
  </si>
  <si>
    <t>\n消耗6点MP维持5分钟人类幻象，每延长1分钟消耗2点MP。【增益特质】【影响自己】【每场景3次】【主动消耗】</t>
  </si>
  <si>
    <t>【完美伪装】</t>
  </si>
  <si>
    <t>\n调查员掌握完全伪装的秘术</t>
  </si>
  <si>
    <t>\n每日消耗2点MP维持完美人形伪装，但对超自然感知无效。【增益特质】【影响自己】【永久持续】【主动消耗】</t>
  </si>
  <si>
    <t>【迷幻花粉】</t>
  </si>
  <si>
    <t>\n调查员掌握释放死亡花粉的法术</t>
  </si>
  <si>
    <t>\n目标在1d6+3回合内迷失、困惑和晕眩，所有行动增加两个惩罚骰。【减益特质】【影响范围】【每场景2次】【主动消耗】</t>
  </si>
  <si>
    <t>【腐化低语】</t>
  </si>
  <si>
    <t>\n调查员掌握腐化低语的秘术</t>
  </si>
  <si>
    <t>\n目标每日需进行POW检定（难度60），失败则损失1d8 SAN并获得1d3疯狂点。【减益特质】【影响单目标】【永久持续】【被动生效】</t>
  </si>
  <si>
    <t>\n调查员掌握进行时间旅行的禁忌法术</t>
  </si>
  <si>
    <t>\n消耗相应MP可跨越时间长河，具体消耗由KP决定，每模组限一次。【增益特质】【影响特殊】【每模组1次】【主动消耗】</t>
  </si>
  <si>
    <t>【心智交换】</t>
  </si>
  <si>
    <t>\n调查员掌握交换心智的法术</t>
  </si>
  <si>
    <t>\n消耗20点MP和1d10 SAN与目标交换心智，持续1场景。【增益特质】【影响单目标】【每模组1次】【主动消耗】</t>
  </si>
  <si>
    <t>【虚假永生】</t>
  </si>
  <si>
    <t>\n调查员掌握通过消耗属性维持生命的禁忌秘术</t>
  </si>
  <si>
    <t>\n当受到致命伤害时，可选择消耗任意属性点（最低1点）代替生命值，在属性归零之前不会死亡。【增益特质】【影响自己】【永久持续】【触发生效】</t>
  </si>
  <si>
    <t>【凋零枯萎】</t>
  </si>
  <si>
    <t>\n调查员掌握无法抵挡的枯萎法术</t>
  </si>
  <si>
    <t>\n每消耗1点MP和1点HP，对目标造成1点无法减免的伤害，无视所有抗性和护甲。【减益特质】【影响单目标】【每场景1次】【主动消耗】</t>
  </si>
  <si>
    <t>【牺牲奇迹】</t>
  </si>
  <si>
    <t>\n调查员通过牺牲肢体获得奇迹般的效果</t>
  </si>
  <si>
    <t>\n可牺牲一个肢体或器官，恢复全部HP和MP，但该损伤永久无法自然恢复。【增益特质】【影响自己】【每模组1次】【主动消耗】</t>
  </si>
  <si>
    <t>【状态燃烧】</t>
  </si>
  <si>
    <t>\n调查员掌握通过燃烧生命换取伤害加成的秘术</t>
  </si>
  <si>
    <t>\n每回合消耗3点HP和3点MP，获得+3d6伤害加值（DB），持续整场战斗。【增益特质】【影响自己】【每模组1次】【主动消耗】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</si>
</sst>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_ "/>
    <numFmt numFmtId="178" formatCode="[=0]&quot;&quot;;General"/>
    <numFmt numFmtId="179" formatCode="&quot;[&quot;0&quot;]&quot;"/>
    <numFmt numFmtId="180" formatCode="0_);[Red]\(0\)"/>
    <numFmt numFmtId="181" formatCode="0.00_ "/>
    <numFmt numFmtId="182" formatCode="0.00_);[Red]\(0.00\)"/>
    <numFmt numFmtId="183" formatCode="\+0%;\-0%"/>
    <numFmt numFmtId="184" formatCode="&quot;/&quot;0"/>
    <numFmt numFmtId="185" formatCode="[=0]&quot;&quot;;&quot;/&quot;0"/>
    <numFmt numFmtId="186" formatCode="[=32767]&quot;&quot;;General"/>
    <numFmt numFmtId="187" formatCode="0&quot;年&quot;"/>
    <numFmt numFmtId="188" formatCode="\/0_ "/>
    <numFmt numFmtId="189" formatCode="[=1]&quot;☆ 二选一&quot;;[=0]&quot;&quot;"/>
    <numFmt numFmtId="190" formatCode="#\ ?/?"/>
    <numFmt numFmtId="191" formatCode="[=1]&quot;⊙ 二选一&quot;;[=0]&quot;&quot;"/>
    <numFmt numFmtId="192" formatCode="[=0]&quot;&quot;;&quot;☯ 社交技能（&quot;0&quot;项）&quot;"/>
    <numFmt numFmtId="193" formatCode="[=1]&quot;※ 多选，或X选一&quot;;[=0]&quot;&quot;"/>
    <numFmt numFmtId="194" formatCode="\+0;\-0;&quot;±&quot;0"/>
    <numFmt numFmtId="195" formatCode="\+0"/>
    <numFmt numFmtId="196" formatCode="0.0_ "/>
    <numFmt numFmtId="197" formatCode="General&quot;%&quot;"/>
    <numFmt numFmtId="198" formatCode="\+@"/>
  </numFmts>
  <fonts count="227">
    <font>
      <sz val="11"/>
      <name val="宋体"/>
      <charset val="134"/>
    </font>
    <font>
      <b/>
      <sz val="11"/>
      <name val="宋体"/>
      <charset val="134"/>
    </font>
    <font>
      <b/>
      <sz val="16"/>
      <color rgb="FFE2EFDA"/>
      <name val="微软雅黑"/>
      <charset val="134"/>
    </font>
    <font>
      <b/>
      <sz val="11"/>
      <color rgb="FF4472C4"/>
      <name val="宋体"/>
      <charset val="134"/>
    </font>
    <font>
      <sz val="11"/>
      <color rgb="FF4472C4"/>
      <name val="宋体"/>
      <charset val="134"/>
    </font>
    <font>
      <b/>
      <sz val="11"/>
      <color rgb="FFFF0000"/>
      <name val="宋体"/>
      <charset val="134"/>
    </font>
    <font>
      <b/>
      <sz val="10"/>
      <color rgb="FF000000"/>
      <name val="微软雅黑"/>
      <charset val="134"/>
    </font>
    <font>
      <sz val="10"/>
      <name val="微软雅黑"/>
      <charset val="134"/>
    </font>
    <font>
      <sz val="10"/>
      <color rgb="FF569CD6"/>
      <name val="Consolas"/>
      <charset val="134"/>
    </font>
    <font>
      <sz val="10"/>
      <name val="Consolas"/>
      <charset val="134"/>
    </font>
    <font>
      <sz val="10"/>
      <name val="宋体"/>
      <charset val="134"/>
    </font>
    <font>
      <sz val="10"/>
      <color rgb="FFCCCCCC"/>
      <name val="Consolas"/>
      <charset val="134"/>
    </font>
    <font>
      <b/>
      <sz val="14"/>
      <color rgb="FFFFFFFF"/>
      <name val="宋体"/>
      <charset val="134"/>
    </font>
    <font>
      <sz val="14"/>
      <color rgb="FF000000"/>
      <name val="Resource Han Rounded CN Normal"/>
      <charset val="134"/>
    </font>
    <font>
      <sz val="14"/>
      <color rgb="FF000000"/>
      <name val="宋体"/>
      <charset val="134"/>
    </font>
    <font>
      <sz val="14"/>
      <color rgb="FF000000"/>
      <name val="MS Gothic"/>
      <charset val="134"/>
    </font>
    <font>
      <sz val="14"/>
      <name val="宋体"/>
      <charset val="134"/>
    </font>
    <font>
      <sz val="10"/>
      <name val="等线"/>
      <charset val="134"/>
    </font>
    <font>
      <sz val="11"/>
      <name val="等线"/>
      <charset val="134"/>
    </font>
    <font>
      <sz val="11"/>
      <color rgb="FF000000"/>
      <name val="宋体"/>
      <charset val="134"/>
    </font>
    <font>
      <b/>
      <sz val="10"/>
      <color rgb="FFFFFFFF"/>
      <name val="微软雅黑"/>
      <charset val="134"/>
    </font>
    <font>
      <b/>
      <sz val="8"/>
      <color rgb="FFFFFFFF"/>
      <name val="微软雅黑"/>
      <charset val="134"/>
    </font>
    <font>
      <sz val="10"/>
      <color rgb="FF1F3964"/>
      <name val="微软雅黑"/>
      <charset val="134"/>
    </font>
    <font>
      <sz val="10"/>
      <color rgb="FF000000"/>
      <name val="等线"/>
      <charset val="134"/>
    </font>
    <font>
      <b/>
      <sz val="12"/>
      <color rgb="FF1F3964"/>
      <name val="微软雅黑"/>
      <charset val="134"/>
    </font>
    <font>
      <sz val="9"/>
      <color rgb="FF1F3964"/>
      <name val="微软雅黑"/>
      <charset val="134"/>
    </font>
    <font>
      <sz val="36"/>
      <name val="等线"/>
      <charset val="134"/>
    </font>
    <font>
      <sz val="11"/>
      <color rgb="FFFF0000"/>
      <name val="等线"/>
      <charset val="134"/>
    </font>
    <font>
      <sz val="12"/>
      <color rgb="FFFF0000"/>
      <name val="等线"/>
      <charset val="134"/>
    </font>
    <font>
      <sz val="14"/>
      <color rgb="FFFF0000"/>
      <name val="等线"/>
      <charset val="134"/>
    </font>
    <font>
      <sz val="24"/>
      <name val="等线"/>
      <charset val="134"/>
    </font>
    <font>
      <b/>
      <sz val="11"/>
      <color rgb="FFFFFFFF"/>
      <name val="宋体"/>
      <charset val="134"/>
    </font>
    <font>
      <sz val="9"/>
      <name val="等线"/>
      <charset val="134"/>
    </font>
    <font>
      <sz val="8"/>
      <color rgb="FF000000"/>
      <name val="等线"/>
      <charset val="134"/>
    </font>
    <font>
      <sz val="28"/>
      <color rgb="FF1F3964"/>
      <name val="微软雅黑"/>
      <charset val="134"/>
    </font>
    <font>
      <sz val="24"/>
      <color rgb="FF1F3964"/>
      <name val="微软雅黑"/>
      <charset val="134"/>
    </font>
    <font>
      <sz val="11"/>
      <color rgb="FF1F3964"/>
      <name val="微软雅黑"/>
      <charset val="134"/>
    </font>
    <font>
      <sz val="12"/>
      <color rgb="FF1F3964"/>
      <name val="微软雅黑"/>
      <charset val="134"/>
    </font>
    <font>
      <sz val="16"/>
      <color rgb="FF1F3964"/>
      <name val="微软雅黑"/>
      <charset val="134"/>
    </font>
    <font>
      <sz val="28"/>
      <name val="等线"/>
      <charset val="134"/>
    </font>
    <font>
      <sz val="18"/>
      <name val="等线"/>
      <charset val="134"/>
    </font>
    <font>
      <sz val="11"/>
      <color rgb="FFFFFFFF"/>
      <name val="等线"/>
      <charset val="134"/>
    </font>
    <font>
      <sz val="10"/>
      <color rgb="FFFFFFFF"/>
      <name val="微软雅黑"/>
      <charset val="134"/>
    </font>
    <font>
      <b/>
      <sz val="11"/>
      <name val="微软雅黑"/>
      <charset val="134"/>
    </font>
    <font>
      <sz val="11"/>
      <name val="微软雅黑"/>
      <charset val="134"/>
    </font>
    <font>
      <b/>
      <sz val="10"/>
      <name val="微软雅黑"/>
      <charset val="134"/>
    </font>
    <font>
      <b/>
      <sz val="9"/>
      <name val="微软雅黑"/>
      <charset val="134"/>
    </font>
    <font>
      <sz val="16"/>
      <name val="等线"/>
      <charset val="134"/>
    </font>
    <font>
      <sz val="10"/>
      <color rgb="FF000000"/>
      <name val="宋体"/>
      <charset val="134"/>
    </font>
    <font>
      <sz val="28"/>
      <color rgb="FF000000"/>
      <name val="微软雅黑"/>
      <charset val="134"/>
    </font>
    <font>
      <sz val="12"/>
      <color rgb="FF000000"/>
      <name val="微软雅黑"/>
      <charset val="134"/>
    </font>
    <font>
      <sz val="20"/>
      <color rgb="FF000000"/>
      <name val="微软雅黑"/>
      <charset val="134"/>
    </font>
    <font>
      <sz val="20"/>
      <name val="微软雅黑"/>
      <charset val="134"/>
    </font>
    <font>
      <sz val="12"/>
      <name val="微软雅黑"/>
      <charset val="134"/>
    </font>
    <font>
      <sz val="9"/>
      <name val="微软雅黑"/>
      <charset val="134"/>
    </font>
    <font>
      <sz val="14"/>
      <name val="微软雅黑"/>
      <charset val="134"/>
    </font>
    <font>
      <sz val="16"/>
      <name val="宋体"/>
      <charset val="134"/>
    </font>
    <font>
      <sz val="28"/>
      <name val="微软雅黑"/>
      <charset val="134"/>
    </font>
    <font>
      <b/>
      <sz val="15"/>
      <name val="微软雅黑"/>
      <charset val="134"/>
    </font>
    <font>
      <b/>
      <sz val="18"/>
      <name val="微软雅黑"/>
      <charset val="134"/>
    </font>
    <font>
      <b/>
      <sz val="12"/>
      <name val="等线"/>
      <charset val="134"/>
    </font>
    <font>
      <i/>
      <sz val="9"/>
      <name val="微软雅黑"/>
      <charset val="134"/>
    </font>
    <font>
      <sz val="11"/>
      <color rgb="FF000000"/>
      <name val="微软雅黑"/>
      <charset val="134"/>
    </font>
    <font>
      <sz val="11"/>
      <color rgb="FFFFFFFF"/>
      <name val="微软雅黑"/>
      <charset val="134"/>
    </font>
    <font>
      <sz val="11"/>
      <color rgb="FFFF0000"/>
      <name val="微软雅黑"/>
      <charset val="134"/>
    </font>
    <font>
      <b/>
      <sz val="12"/>
      <color rgb="FF000000"/>
      <name val="微软雅黑"/>
      <charset val="134"/>
    </font>
    <font>
      <b/>
      <sz val="20"/>
      <name val="微软雅黑"/>
      <charset val="134"/>
    </font>
    <font>
      <sz val="20"/>
      <color rgb="FF000000"/>
      <name val="等线"/>
      <charset val="134"/>
    </font>
    <font>
      <sz val="18"/>
      <color rgb="FF000000"/>
      <name val="等线"/>
      <charset val="134"/>
    </font>
    <font>
      <sz val="11"/>
      <color rgb="FF000000"/>
      <name val="等线"/>
      <charset val="134"/>
    </font>
    <font>
      <sz val="12"/>
      <color rgb="FF000000"/>
      <name val="等线"/>
      <charset val="134"/>
    </font>
    <font>
      <b/>
      <sz val="11"/>
      <color rgb="FF000000"/>
      <name val="微软雅黑"/>
      <charset val="134"/>
    </font>
    <font>
      <sz val="11"/>
      <color rgb="FFFF0000"/>
      <name val="宋体"/>
      <charset val="134"/>
    </font>
    <font>
      <sz val="10"/>
      <color rgb="FFFF0000"/>
      <name val="微软雅黑"/>
      <charset val="134"/>
    </font>
    <font>
      <sz val="18"/>
      <color rgb="FF000000"/>
      <name val="微软雅黑"/>
      <charset val="134"/>
    </font>
    <font>
      <sz val="22"/>
      <color rgb="FF000000"/>
      <name val="微软雅黑"/>
      <charset val="134"/>
    </font>
    <font>
      <sz val="14"/>
      <color rgb="FF000000"/>
      <name val="微软雅黑"/>
      <charset val="134"/>
    </font>
    <font>
      <sz val="15"/>
      <name val="微软雅黑"/>
      <charset val="134"/>
    </font>
    <font>
      <sz val="11"/>
      <color rgb="FF32D3F6"/>
      <name val="微软雅黑"/>
      <charset val="134"/>
    </font>
    <font>
      <sz val="16"/>
      <name val="微软雅黑"/>
      <charset val="134"/>
    </font>
    <font>
      <sz val="11"/>
      <color rgb="FF32D3F6"/>
      <name val="宋体"/>
      <charset val="134"/>
    </font>
    <font>
      <b/>
      <sz val="12"/>
      <name val="微软雅黑"/>
      <charset val="134"/>
    </font>
    <font>
      <sz val="8"/>
      <name val="微软雅黑"/>
      <charset val="134"/>
    </font>
    <font>
      <sz val="11"/>
      <color rgb="FF000000"/>
      <name val="微软雅黑 Light"/>
      <charset val="134"/>
    </font>
    <font>
      <sz val="11"/>
      <name val="微软雅黑 Light"/>
      <charset val="134"/>
    </font>
    <font>
      <b/>
      <sz val="11"/>
      <color rgb="FF000000"/>
      <name val="微软雅黑 Light"/>
      <charset val="134"/>
    </font>
    <font>
      <b/>
      <sz val="11"/>
      <color rgb="FFC00000"/>
      <name val="微软雅黑 Light"/>
      <charset val="134"/>
    </font>
    <font>
      <sz val="11"/>
      <color rgb="FFC00000"/>
      <name val="微软雅黑 Light"/>
      <charset val="134"/>
    </font>
    <font>
      <sz val="10"/>
      <color rgb="FF000000"/>
      <name val="微软雅黑 Light"/>
      <charset val="134"/>
    </font>
    <font>
      <b/>
      <sz val="12"/>
      <color rgb="FFFF0000"/>
      <name val="等线"/>
      <charset val="134"/>
    </font>
    <font>
      <sz val="11"/>
      <color rgb="FFFFFFFF"/>
      <name val="微软雅黑 Light"/>
      <charset val="134"/>
    </font>
    <font>
      <b/>
      <sz val="12"/>
      <color rgb="FFFF0000"/>
      <name val="微软雅黑"/>
      <charset val="134"/>
    </font>
    <font>
      <sz val="14"/>
      <color rgb="FF000000"/>
      <name val="微软雅黑 Light"/>
      <charset val="134"/>
    </font>
    <font>
      <sz val="11"/>
      <color rgb="FFFF0000"/>
      <name val="微软雅黑 Light"/>
      <charset val="134"/>
    </font>
    <font>
      <sz val="12"/>
      <name val="等线"/>
      <charset val="134"/>
    </font>
    <font>
      <sz val="14"/>
      <color rgb="FF000000"/>
      <name val="等线"/>
      <charset val="134"/>
    </font>
    <font>
      <sz val="14"/>
      <color indexed="8"/>
      <name val="等线"/>
      <charset val="134"/>
    </font>
    <font>
      <sz val="14"/>
      <name val="等线"/>
      <charset val="134"/>
    </font>
    <font>
      <sz val="10"/>
      <color indexed="8"/>
      <name val="Calibri"/>
      <charset val="134"/>
    </font>
    <font>
      <sz val="10"/>
      <color rgb="FF000000"/>
      <name val="Calibri"/>
      <charset val="134"/>
    </font>
    <font>
      <sz val="8"/>
      <color indexed="8"/>
      <name val="Calibri"/>
      <charset val="134"/>
    </font>
    <font>
      <sz val="11"/>
      <name val="Calibri"/>
      <charset val="134"/>
    </font>
    <font>
      <sz val="8"/>
      <color rgb="FF000000"/>
      <name val="Calibri"/>
      <charset val="134"/>
    </font>
    <font>
      <sz val="11"/>
      <color rgb="FF000000"/>
      <name val="Calibri"/>
      <charset val="134"/>
    </font>
    <font>
      <sz val="10"/>
      <name val="Calibri"/>
      <charset val="134"/>
    </font>
    <font>
      <sz val="14"/>
      <color indexed="8"/>
      <name val="Calibri"/>
      <charset val="134"/>
    </font>
    <font>
      <b/>
      <sz val="10"/>
      <name val="宋体"/>
      <charset val="134"/>
    </font>
    <font>
      <b/>
      <sz val="14"/>
      <name val="宋体"/>
      <charset val="134"/>
    </font>
    <font>
      <sz val="10"/>
      <color rgb="FF000000"/>
      <name val="微软雅黑"/>
      <charset val="134"/>
    </font>
    <font>
      <sz val="9"/>
      <color rgb="FF000000"/>
      <name val="微软雅黑"/>
      <charset val="134"/>
    </font>
    <font>
      <sz val="10"/>
      <color rgb="FF7F7F7F"/>
      <name val="等线"/>
      <charset val="134"/>
    </font>
    <font>
      <b/>
      <sz val="16"/>
      <name val="微软雅黑"/>
      <charset val="134"/>
    </font>
    <font>
      <sz val="11"/>
      <color rgb="FFFFFFFF"/>
      <name val="宋体"/>
      <charset val="134"/>
    </font>
    <font>
      <sz val="10"/>
      <color rgb="FF222222"/>
      <name val="宋体"/>
      <charset val="134"/>
    </font>
    <font>
      <sz val="8"/>
      <color rgb="FF000000"/>
      <name val="微软雅黑"/>
      <charset val="134"/>
    </font>
    <font>
      <sz val="10"/>
      <color rgb="FF333333"/>
      <name val="微软雅黑"/>
      <charset val="134"/>
    </font>
    <font>
      <sz val="6"/>
      <color rgb="FF000000"/>
      <name val="微软雅黑"/>
      <charset val="134"/>
    </font>
    <font>
      <sz val="12"/>
      <name val="宋体"/>
      <charset val="134"/>
    </font>
    <font>
      <sz val="10"/>
      <color rgb="FFBF0000"/>
      <name val="微软雅黑"/>
      <charset val="134"/>
    </font>
    <font>
      <sz val="32"/>
      <color rgb="FF000000"/>
      <name val="宋体"/>
      <charset val="134"/>
    </font>
    <font>
      <sz val="11"/>
      <color rgb="FFC00000"/>
      <name val="宋体"/>
      <charset val="134"/>
    </font>
    <font>
      <sz val="10"/>
      <color rgb="FFC00000"/>
      <name val="微软雅黑"/>
      <charset val="134"/>
    </font>
    <font>
      <sz val="10"/>
      <name val="微软雅黑 Light"/>
      <charset val="134"/>
    </font>
    <font>
      <sz val="9"/>
      <color rgb="FF000000"/>
      <name val="微软雅黑 Light"/>
      <charset val="134"/>
    </font>
    <font>
      <sz val="10"/>
      <color rgb="FF65A3D7"/>
      <name val="微软雅黑"/>
      <charset val="134"/>
    </font>
    <font>
      <sz val="16"/>
      <color rgb="FFE2EFDA"/>
      <name val="微软雅黑"/>
      <charset val="134"/>
    </font>
    <font>
      <b/>
      <sz val="14"/>
      <color rgb="FF000000"/>
      <name val="微软雅黑"/>
      <charset val="134"/>
    </font>
    <font>
      <b/>
      <sz val="10"/>
      <color rgb="FFC00000"/>
      <name val="微软雅黑"/>
      <charset val="134"/>
    </font>
    <font>
      <b/>
      <sz val="10"/>
      <color rgb="FF800000"/>
      <name val="微软雅黑"/>
      <charset val="134"/>
    </font>
    <font>
      <b/>
      <sz val="9"/>
      <color rgb="FF000000"/>
      <name val="微软雅黑"/>
      <charset val="134"/>
    </font>
    <font>
      <b/>
      <sz val="10"/>
      <color rgb="FFFF0000"/>
      <name val="微软雅黑"/>
      <charset val="134"/>
    </font>
    <font>
      <sz val="10"/>
      <color rgb="FFFF0000"/>
      <name val="宋体"/>
      <charset val="134"/>
    </font>
    <font>
      <b/>
      <sz val="10"/>
      <color rgb="FF7030A0"/>
      <name val="微软雅黑"/>
      <charset val="134"/>
    </font>
    <font>
      <b/>
      <sz val="10"/>
      <color rgb="FF0070C0"/>
      <name val="微软雅黑"/>
      <charset val="134"/>
    </font>
    <font>
      <sz val="10"/>
      <color rgb="FFE2EFDA"/>
      <name val="微软雅黑"/>
      <charset val="134"/>
    </font>
    <font>
      <b/>
      <sz val="10"/>
      <color rgb="FFE2EFDA"/>
      <name val="微软雅黑"/>
      <charset val="134"/>
    </font>
    <font>
      <b/>
      <sz val="12"/>
      <color rgb="FFC00000"/>
      <name val="微软雅黑"/>
      <charset val="134"/>
    </font>
    <font>
      <b/>
      <sz val="10"/>
      <color rgb="FFFF0000"/>
      <name val="宋体"/>
      <charset val="134"/>
    </font>
    <font>
      <b/>
      <sz val="18"/>
      <color rgb="FFE2EFDA"/>
      <name val="微软雅黑"/>
      <charset val="134"/>
    </font>
    <font>
      <b/>
      <sz val="14"/>
      <color rgb="FFE2EFDA"/>
      <name val="微软雅黑"/>
      <charset val="134"/>
    </font>
    <font>
      <u/>
      <sz val="11"/>
      <color rgb="FF0000FF"/>
      <name val="宋体"/>
      <charset val="134"/>
    </font>
    <font>
      <b/>
      <sz val="14"/>
      <color rgb="FFC00000"/>
      <name val="微软雅黑"/>
      <charset val="134"/>
    </font>
    <font>
      <b/>
      <i/>
      <sz val="10"/>
      <color rgb="FF000000"/>
      <name val="微软雅黑"/>
      <charset val="134"/>
    </font>
    <font>
      <b/>
      <sz val="24"/>
      <color rgb="FFC00000"/>
      <name val="微软雅黑"/>
      <charset val="134"/>
    </font>
    <font>
      <sz val="9"/>
      <color rgb="FF0D0D0D"/>
      <name val="微软雅黑"/>
      <charset val="134"/>
    </font>
    <font>
      <b/>
      <sz val="10"/>
      <color rgb="FF7F7F7F"/>
      <name val="微软雅黑"/>
      <charset val="134"/>
    </font>
    <font>
      <b/>
      <sz val="16"/>
      <color rgb="FFBF8F00"/>
      <name val="微软雅黑"/>
      <charset val="134"/>
    </font>
    <font>
      <b/>
      <sz val="10"/>
      <color rgb="FFC65911"/>
      <name val="微软雅黑"/>
      <charset val="134"/>
    </font>
    <font>
      <b/>
      <sz val="11"/>
      <color rgb="FFC00000"/>
      <name val="微软雅黑"/>
      <charset val="134"/>
    </font>
    <font>
      <b/>
      <sz val="14"/>
      <color rgb="FFBF0000"/>
      <name val="微软雅黑"/>
      <charset val="134"/>
    </font>
    <font>
      <b/>
      <sz val="16"/>
      <color rgb="FFFFFFFF"/>
      <name val="微软雅黑"/>
      <charset val="134"/>
    </font>
    <font>
      <b/>
      <sz val="11"/>
      <color rgb="FFC65911"/>
      <name val="微软雅黑"/>
      <charset val="134"/>
    </font>
    <font>
      <b/>
      <sz val="11"/>
      <color rgb="FF000000"/>
      <name val="等线"/>
      <charset val="134"/>
    </font>
    <font>
      <sz val="16"/>
      <color rgb="FFFF0000"/>
      <name val="微软雅黑"/>
      <charset val="134"/>
    </font>
    <font>
      <sz val="16"/>
      <color rgb="FF0070C0"/>
      <name val="微软雅黑"/>
      <charset val="134"/>
    </font>
    <font>
      <b/>
      <sz val="10"/>
      <color rgb="FFFF9900"/>
      <name val="微软雅黑"/>
      <charset val="134"/>
    </font>
    <font>
      <b/>
      <sz val="16"/>
      <color rgb="FFFFC000"/>
      <name val="微软雅黑"/>
      <charset val="134"/>
    </font>
    <font>
      <sz val="16"/>
      <color rgb="FF000000"/>
      <name val="微软雅黑"/>
      <charset val="134"/>
    </font>
    <font>
      <b/>
      <sz val="16"/>
      <color rgb="FF2F75B5"/>
      <name val="微软雅黑"/>
      <charset val="134"/>
    </font>
    <font>
      <b/>
      <sz val="10"/>
      <color rgb="FF000000"/>
      <name val="等线"/>
      <charset val="134"/>
    </font>
    <font>
      <b/>
      <sz val="16"/>
      <color rgb="FF800000"/>
      <name val="微软雅黑"/>
      <charset val="134"/>
    </font>
    <font>
      <b/>
      <sz val="16"/>
      <color rgb="FF000000"/>
      <name val="微软雅黑"/>
      <charset val="134"/>
    </font>
    <font>
      <b/>
      <sz val="11"/>
      <color rgb="FFE2EFDA"/>
      <name val="微软雅黑"/>
      <charset val="134"/>
    </font>
    <font>
      <b/>
      <sz val="8"/>
      <name val="宋体"/>
      <charset val="134"/>
    </font>
    <font>
      <b/>
      <sz val="14"/>
      <color rgb="FF800000"/>
      <name val="微软雅黑"/>
      <charset val="134"/>
    </font>
    <font>
      <b/>
      <sz val="8"/>
      <color rgb="FF2F5597"/>
      <name val="微软雅黑"/>
      <charset val="134"/>
    </font>
    <font>
      <b/>
      <sz val="12"/>
      <color rgb="FF0D0D0D"/>
      <name val="微软雅黑"/>
      <charset val="134"/>
    </font>
    <font>
      <b/>
      <sz val="9"/>
      <color rgb="FFC00000"/>
      <name val="微软雅黑"/>
      <charset val="134"/>
    </font>
    <font>
      <b/>
      <sz val="14"/>
      <name val="微软雅黑"/>
      <charset val="134"/>
    </font>
    <font>
      <b/>
      <sz val="12"/>
      <color rgb="FF525252"/>
      <name val="微软雅黑"/>
      <charset val="134"/>
    </font>
    <font>
      <sz val="8"/>
      <color rgb="FFC00000"/>
      <name val="微软雅黑"/>
      <charset val="134"/>
    </font>
    <font>
      <b/>
      <sz val="12"/>
      <color rgb="FFE2EFDA"/>
      <name val="微软雅黑"/>
      <charset val="134"/>
    </font>
    <font>
      <b/>
      <sz val="9"/>
      <color rgb="FF70AD47"/>
      <name val="微软雅黑"/>
      <charset val="134"/>
    </font>
    <font>
      <sz val="12"/>
      <color rgb="FF000000"/>
      <name val="宋体"/>
      <charset val="134"/>
    </font>
    <font>
      <b/>
      <sz val="16"/>
      <color rgb="FFE2EFDA"/>
      <name val="等线"/>
      <charset val="134"/>
    </font>
    <font>
      <b/>
      <sz val="11"/>
      <color rgb="FF833C0C"/>
      <name val="方正黑体简体"/>
      <charset val="134"/>
    </font>
    <font>
      <b/>
      <sz val="11"/>
      <color rgb="FF833C0C"/>
      <name val="等线"/>
      <charset val="134"/>
    </font>
    <font>
      <sz val="14"/>
      <color rgb="FFBFBFBF"/>
      <name val="等线"/>
      <charset val="134"/>
    </font>
    <font>
      <b/>
      <sz val="14"/>
      <color rgb="FFBF0000"/>
      <name val="等线"/>
      <charset val="134"/>
    </font>
    <font>
      <b/>
      <sz val="10"/>
      <color rgb="FFBF0000"/>
      <name val="等线"/>
      <charset val="134"/>
    </font>
    <font>
      <b/>
      <sz val="14"/>
      <color rgb="FF000080"/>
      <name val="微软雅黑"/>
      <charset val="134"/>
    </font>
    <font>
      <b/>
      <sz val="10"/>
      <color rgb="FF000080"/>
      <name val="微软雅黑"/>
      <charset val="134"/>
    </font>
    <font>
      <b/>
      <sz val="16"/>
      <color rgb="FFC00000"/>
      <name val="等线"/>
      <charset val="134"/>
    </font>
    <font>
      <b/>
      <sz val="10"/>
      <name val="等线"/>
      <charset val="134"/>
    </font>
    <font>
      <b/>
      <sz val="16"/>
      <color rgb="FFE7E6E6"/>
      <name val="微软雅黑"/>
      <charset val="134"/>
    </font>
    <font>
      <b/>
      <sz val="14"/>
      <color rgb="FFC00000"/>
      <name val="标准粗黑"/>
      <charset val="134"/>
    </font>
    <font>
      <b/>
      <sz val="10"/>
      <color rgb="FFBF0000"/>
      <name val="微软雅黑"/>
      <charset val="134"/>
    </font>
    <font>
      <b/>
      <sz val="14"/>
      <name val="等线"/>
      <charset val="134"/>
    </font>
    <font>
      <b/>
      <sz val="22"/>
      <name val="等线"/>
      <charset val="134"/>
    </font>
    <font>
      <b/>
      <sz val="14"/>
      <color rgb="FF525252"/>
      <name val="微软雅黑"/>
      <charset val="134"/>
    </font>
    <font>
      <b/>
      <sz val="10"/>
      <color rgb="FF525252"/>
      <name val="微软雅黑"/>
      <charset val="134"/>
    </font>
    <font>
      <b/>
      <sz val="11"/>
      <color rgb="FFC00000"/>
      <name val="宋体"/>
      <charset val="134"/>
    </font>
    <font>
      <b/>
      <sz val="14"/>
      <color rgb="FFC00000"/>
      <name val="等线"/>
      <charset val="134"/>
    </font>
    <font>
      <b/>
      <sz val="9"/>
      <color rgb="FFFF0000"/>
      <name val="微软雅黑"/>
      <charset val="134"/>
    </font>
    <font>
      <sz val="10"/>
      <color rgb="FFE2EFDA"/>
      <name val="宋体"/>
      <charset val="134"/>
    </font>
    <font>
      <b/>
      <sz val="14"/>
      <color rgb="FFE7E6E6"/>
      <name val="微软雅黑"/>
      <charset val="134"/>
    </font>
    <font>
      <sz val="9"/>
      <color rgb="FFBFBFBF"/>
      <name val="微软雅黑"/>
      <charset val="134"/>
    </font>
    <font>
      <b/>
      <sz val="14"/>
      <color rgb="FF800000"/>
      <name val="等线"/>
      <charset val="134"/>
    </font>
    <font>
      <b/>
      <sz val="14"/>
      <color rgb="FF222B35"/>
      <name val="等线"/>
      <charset val="134"/>
    </font>
    <font>
      <sz val="10"/>
      <color rgb="FF525252"/>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1"/>
      <name val="宋体"/>
      <charset val="0"/>
      <scheme val="minor"/>
    </font>
    <font>
      <sz val="11"/>
      <color theme="0"/>
      <name val="宋体"/>
      <charset val="0"/>
      <scheme val="minor"/>
    </font>
    <font>
      <sz val="11"/>
      <color indexed="8"/>
      <name val="微软雅黑 Light"/>
      <charset val="134"/>
    </font>
    <font>
      <b/>
      <sz val="11"/>
      <color indexed="10"/>
      <name val="微软雅黑 Light"/>
      <charset val="134"/>
    </font>
    <font>
      <b/>
      <sz val="14"/>
      <color indexed="8"/>
      <name val="微软雅黑"/>
      <charset val="134"/>
    </font>
    <font>
      <b/>
      <sz val="11"/>
      <name val="Arial"/>
      <charset val="134"/>
    </font>
    <font>
      <b/>
      <sz val="11"/>
      <color rgb="FFFF0000"/>
      <name val="微软雅黑 Light"/>
      <charset val="134"/>
    </font>
    <font>
      <sz val="11"/>
      <name val="宋体"/>
      <charset val="134"/>
    </font>
    <font>
      <b/>
      <sz val="9"/>
      <name val="宋体"/>
      <charset val="134"/>
    </font>
    <font>
      <sz val="9"/>
      <name val="宋体"/>
      <charset val="134"/>
    </font>
  </fonts>
  <fills count="101">
    <fill>
      <patternFill patternType="none"/>
    </fill>
    <fill>
      <patternFill patternType="gray125"/>
    </fill>
    <fill>
      <patternFill patternType="solid">
        <fgColor rgb="FFFFF2CC"/>
        <bgColor indexed="64"/>
      </patternFill>
    </fill>
    <fill>
      <patternFill patternType="solid">
        <fgColor rgb="FFE2EFDA"/>
        <bgColor indexed="64"/>
      </patternFill>
    </fill>
    <fill>
      <patternFill patternType="solid">
        <fgColor rgb="FFE7E6E6"/>
        <bgColor indexed="64"/>
      </patternFill>
    </fill>
    <fill>
      <patternFill patternType="solid">
        <fgColor rgb="FFD9E1F2"/>
        <bgColor indexed="64"/>
      </patternFill>
    </fill>
    <fill>
      <patternFill patternType="solid">
        <fgColor rgb="FF808080"/>
        <bgColor indexed="64"/>
      </patternFill>
    </fill>
    <fill>
      <patternFill patternType="solid">
        <fgColor rgb="FF2F75B6"/>
        <bgColor indexed="64"/>
      </patternFill>
    </fill>
    <fill>
      <patternFill patternType="solid">
        <fgColor rgb="FFC3FBDF"/>
        <bgColor indexed="64"/>
      </patternFill>
    </fill>
    <fill>
      <patternFill patternType="solid">
        <fgColor rgb="FF98DCF8"/>
        <bgColor indexed="64"/>
      </patternFill>
    </fill>
    <fill>
      <patternFill patternType="solid">
        <fgColor rgb="FFFFD1FD"/>
        <bgColor indexed="64"/>
      </patternFill>
    </fill>
    <fill>
      <patternFill patternType="solid">
        <fgColor rgb="FFFFD5F6"/>
        <bgColor indexed="64"/>
      </patternFill>
    </fill>
    <fill>
      <patternFill patternType="solid">
        <fgColor rgb="FFFBE4D5"/>
        <bgColor indexed="64"/>
      </patternFill>
    </fill>
    <fill>
      <patternFill patternType="solid">
        <fgColor rgb="FFF79E9E"/>
        <bgColor indexed="64"/>
      </patternFill>
    </fill>
    <fill>
      <patternFill patternType="solid">
        <fgColor rgb="FFBA94FF"/>
        <bgColor indexed="64"/>
      </patternFill>
    </fill>
    <fill>
      <patternFill patternType="solid">
        <fgColor rgb="FFCEFFC1"/>
        <bgColor indexed="64"/>
      </patternFill>
    </fill>
    <fill>
      <patternFill patternType="solid">
        <fgColor rgb="FFDEEBF6"/>
        <bgColor indexed="64"/>
      </patternFill>
    </fill>
    <fill>
      <patternFill patternType="solid">
        <fgColor rgb="FFB5B9FF"/>
        <bgColor indexed="64"/>
      </patternFill>
    </fill>
    <fill>
      <patternFill patternType="solid">
        <fgColor rgb="FFF7CAAC"/>
        <bgColor indexed="64"/>
      </patternFill>
    </fill>
    <fill>
      <patternFill patternType="solid">
        <fgColor rgb="FFF7F7D1"/>
        <bgColor indexed="64"/>
      </patternFill>
    </fill>
    <fill>
      <patternFill patternType="solid">
        <fgColor rgb="FFD8D8D8"/>
        <bgColor indexed="64"/>
      </patternFill>
    </fill>
    <fill>
      <patternFill patternType="solid">
        <fgColor rgb="FFFEE299"/>
        <bgColor indexed="64"/>
      </patternFill>
    </fill>
    <fill>
      <patternFill patternType="solid">
        <fgColor rgb="FFBCFFE8"/>
        <bgColor indexed="64"/>
      </patternFill>
    </fill>
    <fill>
      <patternFill patternType="solid">
        <fgColor rgb="FFE4BAFF"/>
        <bgColor indexed="64"/>
      </patternFill>
    </fill>
    <fill>
      <patternFill patternType="solid">
        <fgColor rgb="FF2F75B5"/>
        <bgColor indexed="64"/>
      </patternFill>
    </fill>
    <fill>
      <patternFill patternType="solid">
        <fgColor rgb="FFFFFFCD"/>
        <bgColor indexed="64"/>
      </patternFill>
    </fill>
    <fill>
      <patternFill patternType="solid">
        <fgColor rgb="FFFEB497"/>
        <bgColor indexed="64"/>
      </patternFill>
    </fill>
    <fill>
      <patternFill patternType="solid">
        <fgColor rgb="FFEDEDED"/>
        <bgColor indexed="64"/>
      </patternFill>
    </fill>
    <fill>
      <patternFill patternType="solid">
        <fgColor rgb="FF3284CA"/>
        <bgColor indexed="64"/>
      </patternFill>
    </fill>
    <fill>
      <patternFill patternType="solid">
        <fgColor rgb="FFDEEAF6"/>
        <bgColor indexed="64"/>
      </patternFill>
    </fill>
    <fill>
      <patternFill patternType="solid">
        <fgColor rgb="FFFFD3D3"/>
        <bgColor indexed="64"/>
      </patternFill>
    </fill>
    <fill>
      <patternFill patternType="solid">
        <fgColor rgb="FFFFEDED"/>
        <bgColor indexed="64"/>
      </patternFill>
    </fill>
    <fill>
      <patternFill patternType="solid">
        <fgColor rgb="FFA9D08E"/>
        <bgColor indexed="64"/>
      </patternFill>
    </fill>
    <fill>
      <patternFill patternType="solid">
        <fgColor rgb="FFC6E0B4"/>
        <bgColor indexed="64"/>
      </patternFill>
    </fill>
    <fill>
      <patternFill patternType="solid">
        <fgColor rgb="FFFFE699"/>
        <bgColor indexed="64"/>
      </patternFill>
    </fill>
    <fill>
      <patternFill patternType="solid">
        <fgColor rgb="FFFFE699"/>
        <bgColor rgb="FFDEEAF6"/>
      </patternFill>
    </fill>
    <fill>
      <patternFill patternType="solid">
        <fgColor rgb="FFFFF2CC"/>
        <bgColor rgb="FFDEEAF6"/>
      </patternFill>
    </fill>
    <fill>
      <patternFill patternType="solid">
        <fgColor rgb="FFDDEBF7"/>
        <bgColor indexed="64"/>
      </patternFill>
    </fill>
    <fill>
      <patternFill patternType="solid">
        <fgColor rgb="FFCCFECC"/>
        <bgColor indexed="64"/>
      </patternFill>
    </fill>
    <fill>
      <patternFill patternType="solid">
        <fgColor rgb="FFF2F2F2"/>
        <bgColor indexed="64"/>
      </patternFill>
    </fill>
    <fill>
      <patternFill patternType="solid">
        <fgColor rgb="FFE2EFD9"/>
        <bgColor indexed="64"/>
      </patternFill>
    </fill>
    <fill>
      <patternFill patternType="solid">
        <fgColor rgb="FFFFCFCF"/>
        <bgColor indexed="64"/>
      </patternFill>
    </fill>
    <fill>
      <patternFill patternType="solid">
        <fgColor rgb="FFF4B084"/>
        <bgColor indexed="64"/>
      </patternFill>
    </fill>
    <fill>
      <patternFill patternType="solid">
        <fgColor rgb="FFFFFF00"/>
        <bgColor indexed="64"/>
      </patternFill>
    </fill>
    <fill>
      <patternFill patternType="solid">
        <fgColor rgb="FF7030A0"/>
        <bgColor indexed="64"/>
      </patternFill>
    </fill>
    <fill>
      <patternFill patternType="solid">
        <fgColor rgb="FFBDD7EE"/>
        <bgColor indexed="64"/>
      </patternFill>
    </fill>
    <fill>
      <patternFill patternType="solid">
        <fgColor rgb="FFFCE4D6"/>
        <bgColor indexed="64"/>
      </patternFill>
    </fill>
    <fill>
      <patternFill patternType="solid">
        <fgColor rgb="FFFFCC99"/>
        <bgColor indexed="64"/>
      </patternFill>
    </fill>
    <fill>
      <patternFill patternType="solid">
        <fgColor rgb="FFFFC000"/>
        <bgColor indexed="64"/>
      </patternFill>
    </fill>
    <fill>
      <patternFill patternType="solid">
        <fgColor rgb="FFFFE5E5"/>
        <bgColor indexed="64"/>
      </patternFill>
    </fill>
    <fill>
      <patternFill patternType="solid">
        <fgColor rgb="FFA5A5A5"/>
        <bgColor indexed="64"/>
      </patternFill>
    </fill>
    <fill>
      <patternFill patternType="solid">
        <fgColor rgb="FF70AD47"/>
        <bgColor indexed="64"/>
      </patternFill>
    </fill>
    <fill>
      <patternFill patternType="solid">
        <fgColor rgb="FFBED7EE"/>
        <bgColor indexed="64"/>
      </patternFill>
    </fill>
    <fill>
      <patternFill patternType="solid">
        <fgColor rgb="FFA8D08E"/>
        <bgColor indexed="64"/>
      </patternFill>
    </fill>
    <fill>
      <patternFill patternType="solid">
        <fgColor rgb="FFC5E0B3"/>
        <bgColor indexed="64"/>
      </patternFill>
    </fill>
    <fill>
      <patternFill patternType="solid">
        <fgColor rgb="FF5C9BD5"/>
        <bgColor indexed="64"/>
      </patternFill>
    </fill>
    <fill>
      <patternFill patternType="solid">
        <fgColor rgb="FF9DC2E5"/>
        <bgColor indexed="64"/>
      </patternFill>
    </fill>
    <fill>
      <patternFill patternType="solid">
        <fgColor rgb="FF5B9BD5"/>
        <bgColor indexed="64"/>
      </patternFill>
    </fill>
    <fill>
      <patternFill patternType="solid">
        <fgColor rgb="FF9DC3E5"/>
        <bgColor indexed="64"/>
      </patternFill>
    </fill>
    <fill>
      <patternFill patternType="solid">
        <fgColor rgb="FF7CB1DE"/>
        <bgColor indexed="64"/>
      </patternFill>
    </fill>
    <fill>
      <patternFill patternType="solid">
        <fgColor rgb="FFFFFFFF"/>
        <bgColor indexed="64"/>
      </patternFill>
    </fill>
    <fill>
      <patternFill patternType="solid">
        <fgColor rgb="FF548235"/>
        <bgColor indexed="64"/>
      </patternFill>
    </fill>
    <fill>
      <patternFill patternType="solid">
        <fgColor rgb="FFFFD966"/>
        <bgColor indexed="64"/>
      </patternFill>
    </fill>
    <fill>
      <patternFill patternType="solid">
        <fgColor rgb="FF92D04F"/>
        <bgColor indexed="64"/>
      </patternFill>
    </fill>
    <fill>
      <patternFill patternType="solid">
        <fgColor rgb="FF375623"/>
        <bgColor indexed="64"/>
      </patternFill>
    </fill>
    <fill>
      <patternFill patternType="solid">
        <fgColor rgb="FF63973D"/>
        <bgColor indexed="64"/>
      </patternFill>
    </fill>
    <fill>
      <patternFill patternType="solid">
        <fgColor rgb="FFBCEDEF"/>
        <bgColor indexed="64"/>
      </patternFill>
    </fill>
    <fill>
      <patternFill patternType="solid">
        <fgColor rgb="FF23AF6B"/>
        <bgColor indexed="64"/>
      </patternFill>
    </fill>
    <fill>
      <patternFill patternType="solid">
        <fgColor rgb="FFAEF1D2"/>
        <bgColor indexed="64"/>
      </patternFill>
    </fill>
    <fill>
      <patternFill patternType="solid">
        <fgColor rgb="FFF8CBAD"/>
        <bgColor indexed="64"/>
      </patternFill>
    </fill>
    <fill>
      <patternFill patternType="solid">
        <fgColor rgb="FF02A5E3"/>
        <bgColor indexed="64"/>
      </patternFill>
    </fill>
    <fill>
      <patternFill patternType="solid">
        <fgColor rgb="FF000000"/>
        <bgColor indexed="64"/>
      </patternFill>
    </fill>
    <fill>
      <patternFill patternType="solid">
        <fgColor rgb="FFBF8F00"/>
        <bgColor indexed="64"/>
      </patternFill>
    </fill>
    <fill>
      <patternFill patternType="solid">
        <fgColor rgb="FFC0C0C0"/>
        <bgColor indexed="64"/>
      </patternFill>
    </fill>
    <fill>
      <patternFill patternType="solid">
        <fgColor rgb="FF92D050"/>
        <bgColor indexed="64"/>
      </patternFill>
    </fill>
    <fill>
      <patternFill patternType="solid">
        <fgColor theme="9" tint="0.4"/>
        <bgColor indexed="64"/>
      </patternFill>
    </fill>
    <fill>
      <patternFill patternType="solid">
        <fgColor rgb="FFFFFFCC"/>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7">
    <border>
      <left/>
      <right/>
      <top/>
      <bottom/>
      <diagonal/>
    </border>
    <border>
      <left style="thin">
        <color auto="1"/>
      </left>
      <right style="thin">
        <color auto="1"/>
      </right>
      <top style="thin">
        <color auto="1"/>
      </top>
      <bottom/>
      <diagonal/>
    </border>
    <border>
      <left style="dotted">
        <color auto="1"/>
      </left>
      <right style="dotted">
        <color auto="1"/>
      </right>
      <top style="dotted">
        <color auto="1"/>
      </top>
      <bottom style="dotted">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rgb="FF7F7F7F"/>
      </bottom>
      <diagonal/>
    </border>
    <border>
      <left/>
      <right/>
      <top/>
      <bottom style="thin">
        <color rgb="FF7F7F7F"/>
      </bottom>
      <diagonal/>
    </border>
    <border>
      <left style="medium">
        <color auto="1"/>
      </left>
      <right/>
      <top style="thin">
        <color auto="1"/>
      </top>
      <bottom/>
      <diagonal/>
    </border>
    <border>
      <left/>
      <right/>
      <top style="thin">
        <color auto="1"/>
      </top>
      <bottom/>
      <diagonal/>
    </border>
    <border>
      <left/>
      <right style="medium">
        <color auto="1"/>
      </right>
      <top style="medium">
        <color auto="1"/>
      </top>
      <bottom/>
      <diagonal/>
    </border>
    <border>
      <left/>
      <right style="medium">
        <color auto="1"/>
      </right>
      <top/>
      <bottom/>
      <diagonal/>
    </border>
    <border>
      <left/>
      <right style="thin">
        <color auto="1"/>
      </right>
      <top style="thin">
        <color auto="1"/>
      </top>
      <bottom style="thin">
        <color auto="1"/>
      </bottom>
      <diagonal/>
    </border>
    <border>
      <left/>
      <right style="medium">
        <color auto="1"/>
      </right>
      <top/>
      <bottom style="thin">
        <color rgb="FF7F7F7F"/>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style="thin">
        <color auto="1"/>
      </top>
      <bottom style="thin">
        <color auto="1"/>
      </bottom>
      <diagonal/>
    </border>
    <border>
      <left/>
      <right style="medium">
        <color auto="1"/>
      </right>
      <top/>
      <bottom style="medium">
        <color auto="1"/>
      </bottom>
      <diagonal/>
    </border>
    <border>
      <left style="medium">
        <color auto="1"/>
      </left>
      <right/>
      <top/>
      <bottom style="thin">
        <color auto="1"/>
      </bottom>
      <diagonal/>
    </border>
    <border>
      <left style="medium">
        <color auto="1"/>
      </left>
      <right/>
      <top style="thin">
        <color rgb="FF7F7F7F"/>
      </top>
      <bottom/>
      <diagonal/>
    </border>
    <border>
      <left/>
      <right/>
      <top style="thin">
        <color rgb="FF7F7F7F"/>
      </top>
      <bottom/>
      <diagonal/>
    </border>
    <border>
      <left/>
      <right style="medium">
        <color auto="1"/>
      </right>
      <top style="thin">
        <color rgb="FF7F7F7F"/>
      </top>
      <bottom/>
      <diagonal/>
    </border>
    <border>
      <left/>
      <right style="thin">
        <color rgb="FF7F7F7F"/>
      </right>
      <top/>
      <bottom/>
      <diagonal/>
    </border>
    <border>
      <left style="thin">
        <color rgb="FF7F7F7F"/>
      </left>
      <right/>
      <top/>
      <bottom/>
      <diagonal/>
    </border>
    <border>
      <left style="thin">
        <color rgb="FF7F7F7F"/>
      </left>
      <right/>
      <top/>
      <bottom style="thin">
        <color rgb="FF7F7F7F"/>
      </bottom>
      <diagonal/>
    </border>
    <border>
      <left/>
      <right style="thin">
        <color rgb="FF7F7F7F"/>
      </right>
      <top/>
      <bottom style="thin">
        <color rgb="FF7F7F7F"/>
      </bottom>
      <diagonal/>
    </border>
    <border>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style="thin">
        <color rgb="FF7F7F7F"/>
      </right>
      <top style="thin">
        <color rgb="FF7F7F7F"/>
      </top>
      <bottom style="thin">
        <color rgb="FF7F7F7F"/>
      </bottom>
      <diagonal/>
    </border>
    <border>
      <left/>
      <right style="medium">
        <color auto="1"/>
      </right>
      <top style="thin">
        <color rgb="FF7F7F7F"/>
      </top>
      <bottom style="thin">
        <color rgb="FF7F7F7F"/>
      </bottom>
      <diagonal/>
    </border>
    <border>
      <left style="thin">
        <color rgb="FF7F7F7F"/>
      </left>
      <right style="thin">
        <color rgb="FF7F7F7F"/>
      </right>
      <top/>
      <bottom style="thin">
        <color rgb="FF7F7F7F"/>
      </bottom>
      <diagonal/>
    </border>
    <border>
      <left/>
      <right style="thin">
        <color rgb="FF7F7F7F"/>
      </right>
      <top/>
      <bottom style="medium">
        <color auto="1"/>
      </bottom>
      <diagonal/>
    </border>
    <border>
      <left style="thin">
        <color rgb="FF7F7F7F"/>
      </left>
      <right/>
      <top style="thin">
        <color rgb="FF7F7F7F"/>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top/>
      <bottom style="medium">
        <color auto="1"/>
      </bottom>
      <diagonal/>
    </border>
    <border>
      <left style="medium">
        <color auto="1"/>
      </left>
      <right style="thin">
        <color rgb="FFBFBFBF"/>
      </right>
      <top style="medium">
        <color auto="1"/>
      </top>
      <bottom style="thin">
        <color rgb="FFBFBFBF"/>
      </bottom>
      <diagonal/>
    </border>
    <border>
      <left style="thin">
        <color rgb="FFBFBFBF"/>
      </left>
      <right style="thin">
        <color rgb="FFBFBFBF"/>
      </right>
      <top style="medium">
        <color auto="1"/>
      </top>
      <bottom style="thin">
        <color rgb="FFBFBFBF"/>
      </bottom>
      <diagonal/>
    </border>
    <border>
      <left style="medium">
        <color auto="1"/>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style="thin">
        <color rgb="FFBFBFBF"/>
      </left>
      <right style="medium">
        <color auto="1"/>
      </right>
      <top style="medium">
        <color auto="1"/>
      </top>
      <bottom style="thin">
        <color rgb="FFBFBFBF"/>
      </bottom>
      <diagonal/>
    </border>
    <border>
      <left style="medium">
        <color auto="1"/>
      </left>
      <right style="medium">
        <color auto="1"/>
      </right>
      <top/>
      <bottom/>
      <diagonal/>
    </border>
    <border>
      <left style="thin">
        <color rgb="FFBFBFBF"/>
      </left>
      <right style="medium">
        <color auto="1"/>
      </right>
      <top style="thin">
        <color rgb="FFBFBFBF"/>
      </top>
      <bottom style="thin">
        <color rgb="FFBFBFBF"/>
      </bottom>
      <diagonal/>
    </border>
    <border>
      <left/>
      <right style="medium">
        <color auto="1"/>
      </right>
      <top style="thin">
        <color rgb="FFBFBFBF"/>
      </top>
      <bottom/>
      <diagonal/>
    </border>
    <border>
      <left/>
      <right style="thin">
        <color rgb="FFBFBFBF"/>
      </right>
      <top style="thin">
        <color rgb="FFBFBFBF"/>
      </top>
      <bottom style="thin">
        <color rgb="FFBFBFBF"/>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medium">
        <color auto="1"/>
      </right>
      <top/>
      <bottom/>
      <diagonal/>
    </border>
    <border>
      <left style="thin">
        <color auto="1"/>
      </left>
      <right/>
      <top style="thin">
        <color auto="1"/>
      </top>
      <bottom style="thin">
        <color auto="1"/>
      </bottom>
      <diagonal/>
    </border>
    <border>
      <left style="medium">
        <color auto="1"/>
      </left>
      <right style="thin">
        <color rgb="FFBFBFBF"/>
      </right>
      <top style="thin">
        <color rgb="FFBFBFBF"/>
      </top>
      <bottom style="medium">
        <color auto="1"/>
      </bottom>
      <diagonal/>
    </border>
    <border>
      <left style="thin">
        <color rgb="FFBFBFBF"/>
      </left>
      <right style="thin">
        <color rgb="FFBFBFBF"/>
      </right>
      <top style="thin">
        <color rgb="FFBFBFBF"/>
      </top>
      <bottom style="medium">
        <color auto="1"/>
      </bottom>
      <diagonal/>
    </border>
    <border>
      <left style="thin">
        <color rgb="FFBFBFBF"/>
      </left>
      <right style="medium">
        <color auto="1"/>
      </right>
      <top style="thin">
        <color rgb="FFBFBFBF"/>
      </top>
      <bottom style="medium">
        <color auto="1"/>
      </bottom>
      <diagonal/>
    </border>
    <border>
      <left style="thin">
        <color auto="1"/>
      </left>
      <right style="thin">
        <color auto="1"/>
      </right>
      <top/>
      <bottom style="thin">
        <color auto="1"/>
      </bottom>
      <diagonal/>
    </border>
    <border>
      <left style="medium">
        <color auto="1"/>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top style="medium">
        <color auto="1"/>
      </top>
      <bottom/>
      <diagonal/>
    </border>
    <border>
      <left style="medium">
        <color auto="1"/>
      </left>
      <right style="medium">
        <color auto="1"/>
      </right>
      <top/>
      <bottom style="medium">
        <color auto="1"/>
      </bottom>
      <diagonal/>
    </border>
    <border>
      <left style="thin">
        <color rgb="FFBFBFBF"/>
      </left>
      <right/>
      <top style="thin">
        <color rgb="FFBFBFBF"/>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thin">
        <color rgb="FFBFBFBF"/>
      </bottom>
      <diagonal/>
    </border>
    <border>
      <left/>
      <right/>
      <top style="medium">
        <color auto="1"/>
      </top>
      <bottom style="thin">
        <color rgb="FFBFBFBF"/>
      </bottom>
      <diagonal/>
    </border>
    <border>
      <left style="thin">
        <color rgb="FFBFBFBF"/>
      </left>
      <right/>
      <top style="medium">
        <color auto="1"/>
      </top>
      <bottom style="thin">
        <color rgb="FFBFBFBF"/>
      </bottom>
      <diagonal/>
    </border>
    <border>
      <left style="thin">
        <color auto="1"/>
      </left>
      <right style="medium">
        <color auto="1"/>
      </right>
      <top style="thin">
        <color auto="1"/>
      </top>
      <bottom/>
      <diagonal/>
    </border>
    <border>
      <left/>
      <right style="thin">
        <color rgb="FFBFBFBF"/>
      </right>
      <top style="medium">
        <color auto="1"/>
      </top>
      <bottom style="thin">
        <color rgb="FFBFBFBF"/>
      </bottom>
      <diagonal/>
    </border>
    <border>
      <left/>
      <right style="medium">
        <color auto="1"/>
      </right>
      <top style="medium">
        <color auto="1"/>
      </top>
      <bottom style="thin">
        <color rgb="FFBFBFBF"/>
      </bottom>
      <diagonal/>
    </border>
    <border>
      <left/>
      <right style="thin">
        <color rgb="FFBFBFBF"/>
      </right>
      <top style="thin">
        <color rgb="FFBFBFBF"/>
      </top>
      <bottom/>
      <diagonal/>
    </border>
    <border>
      <left style="thin">
        <color rgb="FFBFBFBF"/>
      </left>
      <right/>
      <top style="thin">
        <color rgb="FFBFBFBF"/>
      </top>
      <bottom/>
      <diagonal/>
    </border>
    <border>
      <left/>
      <right style="thin">
        <color rgb="FFBFBFBF"/>
      </right>
      <top/>
      <bottom/>
      <diagonal/>
    </border>
    <border>
      <left style="thin">
        <color rgb="FFBFBFBF"/>
      </left>
      <right/>
      <top/>
      <bottom/>
      <diagonal/>
    </border>
    <border>
      <left/>
      <right style="thin">
        <color rgb="FFBFBFBF"/>
      </right>
      <top/>
      <bottom style="medium">
        <color auto="1"/>
      </bottom>
      <diagonal/>
    </border>
    <border>
      <left style="thin">
        <color rgb="FFBFBFBF"/>
      </left>
      <right/>
      <top/>
      <bottom style="medium">
        <color auto="1"/>
      </bottom>
      <diagonal/>
    </border>
    <border>
      <left/>
      <right/>
      <top/>
      <bottom style="thick">
        <color auto="1"/>
      </bottom>
      <diagonal/>
    </border>
    <border>
      <left style="medium">
        <color auto="1"/>
      </left>
      <right style="thick">
        <color auto="1"/>
      </right>
      <top/>
      <bottom/>
      <diagonal/>
    </border>
    <border>
      <left style="medium">
        <color auto="1"/>
      </left>
      <right style="thick">
        <color auto="1"/>
      </right>
      <top style="medium">
        <color auto="1"/>
      </top>
      <bottom/>
      <diagonal/>
    </border>
    <border>
      <left style="medium">
        <color auto="1"/>
      </left>
      <right style="thick">
        <color auto="1"/>
      </right>
      <top/>
      <bottom style="medium">
        <color auto="1"/>
      </bottom>
      <diagonal/>
    </border>
    <border>
      <left/>
      <right style="thick">
        <color auto="1"/>
      </right>
      <top style="medium">
        <color auto="1"/>
      </top>
      <bottom/>
      <diagonal/>
    </border>
    <border>
      <left/>
      <right style="thick">
        <color auto="1"/>
      </right>
      <top/>
      <bottom/>
      <diagonal/>
    </border>
    <border>
      <left/>
      <right style="thick">
        <color auto="1"/>
      </right>
      <top/>
      <bottom style="thick">
        <color auto="1"/>
      </bottom>
      <diagonal/>
    </border>
    <border>
      <left style="thick">
        <color auto="1"/>
      </left>
      <right/>
      <top/>
      <bottom/>
      <diagonal/>
    </border>
    <border>
      <left style="medium">
        <color auto="1"/>
      </left>
      <right style="medium">
        <color auto="1"/>
      </right>
      <top style="thin">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right/>
      <top style="thick">
        <color auto="1"/>
      </top>
      <bottom/>
      <diagonal/>
    </border>
    <border>
      <left style="medium">
        <color auto="1"/>
      </left>
      <right style="thin">
        <color rgb="FFBFBFBF"/>
      </right>
      <top/>
      <bottom/>
      <diagonal/>
    </border>
    <border>
      <left style="thin">
        <color rgb="FFBFBFBF"/>
      </left>
      <right style="thin">
        <color rgb="FFBFBFBF"/>
      </right>
      <top/>
      <bottom/>
      <diagonal/>
    </border>
    <border>
      <left/>
      <right/>
      <top style="thin">
        <color rgb="FFBFBFBF"/>
      </top>
      <bottom style="thin">
        <color rgb="FFBFBFBF"/>
      </bottom>
      <diagonal/>
    </border>
    <border>
      <left style="medium">
        <color auto="1"/>
      </left>
      <right/>
      <top style="thin">
        <color rgb="FFBFBFBF"/>
      </top>
      <bottom style="thin">
        <color rgb="FFCFCDCD"/>
      </bottom>
      <diagonal/>
    </border>
    <border>
      <left style="medium">
        <color auto="1"/>
      </left>
      <right/>
      <top style="thin">
        <color rgb="FFCFCDCD"/>
      </top>
      <bottom/>
      <diagonal/>
    </border>
    <border>
      <left style="medium">
        <color auto="1"/>
      </left>
      <right/>
      <top/>
      <bottom style="thin">
        <color rgb="FFBFBFBF"/>
      </bottom>
      <diagonal/>
    </border>
    <border>
      <left/>
      <right/>
      <top/>
      <bottom style="thin">
        <color rgb="FFBFBFBF"/>
      </bottom>
      <diagonal/>
    </border>
    <border>
      <left/>
      <right/>
      <top style="thin">
        <color rgb="FFBFBFBF"/>
      </top>
      <bottom style="thin">
        <color rgb="FFCFCDCD"/>
      </bottom>
      <diagonal/>
    </border>
    <border>
      <left/>
      <right/>
      <top style="thin">
        <color rgb="FFCFCDCD"/>
      </top>
      <bottom/>
      <diagonal/>
    </border>
    <border>
      <left style="medium">
        <color auto="1"/>
      </left>
      <right/>
      <top style="thin">
        <color rgb="FFCFCDCD"/>
      </top>
      <bottom style="medium">
        <color auto="1"/>
      </bottom>
      <diagonal/>
    </border>
    <border>
      <left/>
      <right/>
      <top style="thin">
        <color rgb="FFCFCDCD"/>
      </top>
      <bottom style="medium">
        <color auto="1"/>
      </bottom>
      <diagonal/>
    </border>
    <border>
      <left style="thick">
        <color auto="1"/>
      </left>
      <right/>
      <top style="thick">
        <color auto="1"/>
      </top>
      <bottom/>
      <diagonal/>
    </border>
    <border>
      <left style="thin">
        <color rgb="FFBFBFBF"/>
      </left>
      <right/>
      <top/>
      <bottom style="thin">
        <color rgb="FFBFBFBF"/>
      </bottom>
      <diagonal/>
    </border>
    <border>
      <left style="thin">
        <color rgb="FFBFBFBF"/>
      </left>
      <right style="thin">
        <color rgb="FFBFBFBF"/>
      </right>
      <top/>
      <bottom style="thin">
        <color rgb="FFBFBFBF"/>
      </bottom>
      <diagonal/>
    </border>
    <border>
      <left/>
      <right style="medium">
        <color auto="1"/>
      </right>
      <top/>
      <bottom style="thin">
        <color rgb="FFBFBFBF"/>
      </bottom>
      <diagonal/>
    </border>
    <border>
      <left/>
      <right style="thick">
        <color auto="1"/>
      </right>
      <top style="thick">
        <color auto="1"/>
      </top>
      <bottom/>
      <diagonal/>
    </border>
    <border>
      <left style="thick">
        <color auto="1"/>
      </left>
      <right/>
      <top/>
      <bottom style="thick">
        <color auto="1"/>
      </bottom>
      <diagonal/>
    </border>
    <border>
      <left/>
      <right style="thin">
        <color auto="1"/>
      </right>
      <top/>
      <bottom style="thick">
        <color auto="1"/>
      </bottom>
      <diagonal/>
    </border>
    <border>
      <left/>
      <right style="thin">
        <color rgb="FFBFBFBF"/>
      </right>
      <top style="thin">
        <color rgb="FFBFBFBF"/>
      </top>
      <bottom style="medium">
        <color auto="1"/>
      </bottom>
      <diagonal/>
    </border>
    <border>
      <left style="medium">
        <color auto="1"/>
      </left>
      <right style="thin">
        <color auto="1"/>
      </right>
      <top/>
      <bottom style="thin">
        <color auto="1"/>
      </bottom>
      <diagonal/>
    </border>
    <border>
      <left style="thick">
        <color auto="1"/>
      </left>
      <right style="thin">
        <color rgb="FFBFBFBF"/>
      </right>
      <top style="thick">
        <color auto="1"/>
      </top>
      <bottom style="thin">
        <color rgb="FFBFBFBF"/>
      </bottom>
      <diagonal/>
    </border>
    <border>
      <left style="thin">
        <color rgb="FFBFBFBF"/>
      </left>
      <right style="thin">
        <color rgb="FFBFBFBF"/>
      </right>
      <top style="thick">
        <color auto="1"/>
      </top>
      <bottom style="thin">
        <color rgb="FFBFBFBF"/>
      </bottom>
      <diagonal/>
    </border>
    <border>
      <left style="thick">
        <color auto="1"/>
      </left>
      <right style="thin">
        <color rgb="FFBFBFBF"/>
      </right>
      <top style="thin">
        <color rgb="FFBFBFBF"/>
      </top>
      <bottom style="thin">
        <color rgb="FFBFBFBF"/>
      </bottom>
      <diagonal/>
    </border>
    <border>
      <left style="thin">
        <color rgb="FFBFBFBF"/>
      </left>
      <right/>
      <top style="medium">
        <color auto="1"/>
      </top>
      <bottom/>
      <diagonal/>
    </border>
    <border>
      <left style="double">
        <color auto="1"/>
      </left>
      <right/>
      <top style="medium">
        <color auto="1"/>
      </top>
      <bottom/>
      <diagonal/>
    </border>
    <border>
      <left style="double">
        <color auto="1"/>
      </left>
      <right/>
      <top/>
      <bottom style="medium">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style="double">
        <color auto="1"/>
      </right>
      <top/>
      <bottom/>
      <diagonal/>
    </border>
    <border>
      <left style="double">
        <color auto="1"/>
      </left>
      <right/>
      <top/>
      <bottom/>
      <diagonal/>
    </border>
    <border>
      <left/>
      <right style="double">
        <color auto="1"/>
      </right>
      <top/>
      <bottom style="medium">
        <color auto="1"/>
      </bottom>
      <diagonal/>
    </border>
    <border>
      <left style="thin">
        <color auto="1"/>
      </left>
      <right style="thick">
        <color auto="1"/>
      </right>
      <top/>
      <bottom style="thin">
        <color auto="1"/>
      </bottom>
      <diagonal/>
    </border>
    <border>
      <left style="thick">
        <color auto="1"/>
      </left>
      <right style="thin">
        <color auto="1"/>
      </right>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medium">
        <color auto="1"/>
      </bottom>
      <diagonal/>
    </border>
    <border>
      <left style="thick">
        <color auto="1"/>
      </left>
      <right style="thin">
        <color auto="1"/>
      </right>
      <top style="thin">
        <color auto="1"/>
      </top>
      <bottom style="medium">
        <color auto="1"/>
      </bottom>
      <diagonal/>
    </border>
    <border>
      <left style="thick">
        <color auto="1"/>
      </left>
      <right style="thin">
        <color auto="1"/>
      </right>
      <top style="medium">
        <color auto="1"/>
      </top>
      <bottom style="thin">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right style="thin">
        <color rgb="FFBFBFBF"/>
      </right>
      <top style="medium">
        <color auto="1"/>
      </top>
      <bottom/>
      <diagonal/>
    </border>
    <border>
      <left/>
      <right style="double">
        <color rgb="FF010000"/>
      </right>
      <top style="medium">
        <color auto="1"/>
      </top>
      <bottom/>
      <diagonal/>
    </border>
    <border>
      <left/>
      <right style="double">
        <color rgb="FF010000"/>
      </right>
      <top/>
      <bottom style="medium">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ck">
        <color auto="1"/>
      </bottom>
      <diagonal/>
    </border>
    <border>
      <left style="thin">
        <color rgb="FFBFBFBF"/>
      </left>
      <right style="thick">
        <color auto="1"/>
      </right>
      <top style="thick">
        <color auto="1"/>
      </top>
      <bottom style="thin">
        <color rgb="FFBFBFBF"/>
      </bottom>
      <diagonal/>
    </border>
    <border>
      <left style="thin">
        <color rgb="FFBFBFBF"/>
      </left>
      <right style="thick">
        <color auto="1"/>
      </right>
      <top style="thin">
        <color rgb="FFBFBFBF"/>
      </top>
      <bottom style="thin">
        <color rgb="FFBFBFBF"/>
      </bottom>
      <diagonal/>
    </border>
    <border>
      <left style="thin">
        <color auto="1"/>
      </left>
      <right style="medium">
        <color auto="1"/>
      </right>
      <top/>
      <bottom style="thin">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ck">
        <color auto="1"/>
      </left>
      <right style="thin">
        <color rgb="FFBFBFBF"/>
      </right>
      <top style="thin">
        <color rgb="FFBFBFBF"/>
      </top>
      <bottom style="thick">
        <color auto="1"/>
      </bottom>
      <diagonal/>
    </border>
    <border>
      <left style="thin">
        <color rgb="FFBFBFBF"/>
      </left>
      <right style="thin">
        <color rgb="FFBFBFBF"/>
      </right>
      <top style="thin">
        <color rgb="FFBFBFBF"/>
      </top>
      <bottom style="thick">
        <color auto="1"/>
      </bottom>
      <diagonal/>
    </border>
    <border>
      <left style="thin">
        <color auto="1"/>
      </left>
      <right style="thin">
        <color auto="1"/>
      </right>
      <top/>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thin">
        <color auto="1"/>
      </top>
      <bottom/>
      <diagonal/>
    </border>
    <border>
      <left style="thin">
        <color rgb="FFBFBFBF"/>
      </left>
      <right style="medium">
        <color auto="1"/>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rgb="FFBFBFBF"/>
      </left>
      <right style="thick">
        <color auto="1"/>
      </right>
      <top style="thin">
        <color rgb="FFBFBFBF"/>
      </top>
      <bottom style="thick">
        <color auto="1"/>
      </bottom>
      <diagonal/>
    </border>
    <border diagonalDown="1">
      <left style="thin">
        <color auto="1"/>
      </left>
      <right style="thin">
        <color auto="1"/>
      </right>
      <top style="thin">
        <color auto="1"/>
      </top>
      <bottom style="thin">
        <color auto="1"/>
      </bottom>
      <diagonal style="thin">
        <color rgb="FFBFBFBF"/>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thin">
        <color auto="1"/>
      </right>
      <top style="thin">
        <color rgb="FFBFBFBF"/>
      </top>
      <bottom style="thin">
        <color rgb="FFBFBFBF"/>
      </bottom>
      <diagonal/>
    </border>
    <border>
      <left style="thin">
        <color rgb="FFBFBFBF"/>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medium">
        <color auto="1"/>
      </bottom>
      <diagonal/>
    </border>
    <border>
      <left style="thick">
        <color auto="1"/>
      </left>
      <right style="thin">
        <color auto="1"/>
      </right>
      <top/>
      <bottom/>
      <diagonal/>
    </border>
    <border>
      <left style="thick">
        <color auto="1"/>
      </left>
      <right style="thick">
        <color auto="1"/>
      </right>
      <top style="medium">
        <color auto="1"/>
      </top>
      <bottom/>
      <diagonal/>
    </border>
    <border>
      <left style="medium">
        <color auto="1"/>
      </left>
      <right/>
      <top/>
      <bottom style="thick">
        <color auto="1"/>
      </bottom>
      <diagonal/>
    </border>
    <border>
      <left style="thin">
        <color auto="1"/>
      </left>
      <right style="thick">
        <color auto="1"/>
      </right>
      <top/>
      <bottom/>
      <diagonal/>
    </border>
    <border>
      <left style="thick">
        <color auto="1"/>
      </left>
      <right style="medium">
        <color auto="1"/>
      </right>
      <top style="medium">
        <color auto="1"/>
      </top>
      <bottom/>
      <diagonal/>
    </border>
    <border>
      <left/>
      <right style="medium">
        <color auto="1"/>
      </right>
      <top style="thick">
        <color auto="1"/>
      </top>
      <bottom style="thin">
        <color auto="1"/>
      </bottom>
      <diagonal/>
    </border>
    <border>
      <left style="medium">
        <color auto="1"/>
      </left>
      <right style="thin">
        <color rgb="FFBFBFBF"/>
      </right>
      <top style="thin">
        <color rgb="FFBFBFBF"/>
      </top>
      <bottom/>
      <diagonal/>
    </border>
    <border>
      <left style="thin">
        <color rgb="FFBFBFBF"/>
      </left>
      <right style="thin">
        <color rgb="FFBFBFBF"/>
      </right>
      <top style="thin">
        <color rgb="FFBFBFBF"/>
      </top>
      <bottom/>
      <diagonal/>
    </border>
    <border>
      <left/>
      <right style="medium">
        <color auto="1"/>
      </right>
      <top/>
      <bottom style="thick">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rgb="FFBFBFBF"/>
      </left>
      <right/>
      <top/>
      <bottom style="thin">
        <color auto="1"/>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rgb="FFBFBFBF"/>
      </left>
      <right style="thin">
        <color auto="1"/>
      </right>
      <top/>
      <bottom style="thin">
        <color auto="1"/>
      </bottom>
      <diagonal/>
    </border>
    <border>
      <left style="thin">
        <color rgb="FFBFBFBF"/>
      </left>
      <right style="medium">
        <color auto="1"/>
      </right>
      <top style="thin">
        <color rgb="FFBFBFBF"/>
      </top>
      <bottom/>
      <diagonal/>
    </border>
    <border>
      <left/>
      <right/>
      <top style="medium">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0" fillId="0" borderId="0" applyFont="0" applyFill="0" applyBorder="0" applyAlignment="0" applyProtection="0">
      <alignment vertical="center"/>
    </xf>
    <xf numFmtId="44" fontId="200" fillId="0" borderId="0" applyFont="0" applyFill="0" applyBorder="0" applyAlignment="0" applyProtection="0">
      <alignment vertical="center"/>
    </xf>
    <xf numFmtId="9" fontId="200" fillId="0" borderId="0" applyFont="0" applyFill="0" applyBorder="0" applyAlignment="0" applyProtection="0">
      <alignment vertical="center"/>
    </xf>
    <xf numFmtId="41" fontId="200" fillId="0" borderId="0" applyFont="0" applyFill="0" applyBorder="0" applyAlignment="0" applyProtection="0">
      <alignment vertical="center"/>
    </xf>
    <xf numFmtId="42" fontId="200" fillId="0" borderId="0" applyFont="0" applyFill="0" applyBorder="0" applyAlignment="0" applyProtection="0">
      <alignment vertical="center"/>
    </xf>
    <xf numFmtId="0" fontId="140" fillId="0" borderId="0">
      <protection locked="0"/>
    </xf>
    <xf numFmtId="0" fontId="201" fillId="0" borderId="0" applyNumberFormat="0" applyFill="0" applyBorder="0" applyAlignment="0" applyProtection="0">
      <alignment vertical="center"/>
    </xf>
    <xf numFmtId="0" fontId="200" fillId="76" borderId="210" applyNumberFormat="0" applyFont="0" applyAlignment="0" applyProtection="0">
      <alignment vertical="center"/>
    </xf>
    <xf numFmtId="0" fontId="202" fillId="0" borderId="0" applyNumberFormat="0" applyFill="0" applyBorder="0" applyAlignment="0" applyProtection="0">
      <alignment vertical="center"/>
    </xf>
    <xf numFmtId="0" fontId="203" fillId="0" borderId="0" applyNumberFormat="0" applyFill="0" applyBorder="0" applyAlignment="0" applyProtection="0">
      <alignment vertical="center"/>
    </xf>
    <xf numFmtId="0" fontId="204" fillId="0" borderId="0" applyNumberFormat="0" applyFill="0" applyBorder="0" applyAlignment="0" applyProtection="0">
      <alignment vertical="center"/>
    </xf>
    <xf numFmtId="0" fontId="205" fillId="0" borderId="211" applyNumberFormat="0" applyFill="0" applyAlignment="0" applyProtection="0">
      <alignment vertical="center"/>
    </xf>
    <xf numFmtId="0" fontId="206" fillId="0" borderId="211" applyNumberFormat="0" applyFill="0" applyAlignment="0" applyProtection="0">
      <alignment vertical="center"/>
    </xf>
    <xf numFmtId="0" fontId="207" fillId="0" borderId="212" applyNumberFormat="0" applyFill="0" applyAlignment="0" applyProtection="0">
      <alignment vertical="center"/>
    </xf>
    <xf numFmtId="0" fontId="207" fillId="0" borderId="0" applyNumberFormat="0" applyFill="0" applyBorder="0" applyAlignment="0" applyProtection="0">
      <alignment vertical="center"/>
    </xf>
    <xf numFmtId="0" fontId="208" fillId="47" borderId="41" applyNumberFormat="0" applyAlignment="0" applyProtection="0">
      <alignment vertical="center"/>
    </xf>
    <xf numFmtId="0" fontId="209" fillId="39" borderId="213" applyNumberFormat="0" applyAlignment="0" applyProtection="0">
      <alignment vertical="center"/>
    </xf>
    <xf numFmtId="0" fontId="210" fillId="39" borderId="41" applyNumberFormat="0" applyAlignment="0" applyProtection="0">
      <alignment vertical="center"/>
    </xf>
    <xf numFmtId="0" fontId="211" fillId="50" borderId="214" applyNumberFormat="0" applyAlignment="0" applyProtection="0">
      <alignment vertical="center"/>
    </xf>
    <xf numFmtId="0" fontId="212" fillId="0" borderId="215" applyNumberFormat="0" applyFill="0" applyAlignment="0" applyProtection="0">
      <alignment vertical="center"/>
    </xf>
    <xf numFmtId="0" fontId="213" fillId="0" borderId="216" applyNumberFormat="0" applyFill="0" applyAlignment="0" applyProtection="0">
      <alignment vertical="center"/>
    </xf>
    <xf numFmtId="0" fontId="214" fillId="77" borderId="0" applyNumberFormat="0" applyBorder="0" applyAlignment="0" applyProtection="0">
      <alignment vertical="center"/>
    </xf>
    <xf numFmtId="0" fontId="215" fillId="78" borderId="0" applyNumberFormat="0" applyBorder="0" applyAlignment="0" applyProtection="0">
      <alignment vertical="center"/>
    </xf>
    <xf numFmtId="0" fontId="216" fillId="79" borderId="0" applyNumberFormat="0" applyBorder="0" applyAlignment="0" applyProtection="0">
      <alignment vertical="center"/>
    </xf>
    <xf numFmtId="0" fontId="112" fillId="55" borderId="0">
      <protection locked="0"/>
    </xf>
    <xf numFmtId="0" fontId="217" fillId="80" borderId="0" applyNumberFormat="0" applyBorder="0" applyAlignment="0" applyProtection="0">
      <alignment vertical="center"/>
    </xf>
    <xf numFmtId="0" fontId="19" fillId="52" borderId="0">
      <protection locked="0"/>
    </xf>
    <xf numFmtId="0" fontId="112" fillId="58" borderId="0">
      <protection locked="0"/>
    </xf>
    <xf numFmtId="0" fontId="218" fillId="81" borderId="0" applyNumberFormat="0" applyBorder="0" applyAlignment="0" applyProtection="0">
      <alignment vertical="center"/>
    </xf>
    <xf numFmtId="0" fontId="217" fillId="82" borderId="0" applyNumberFormat="0" applyBorder="0" applyAlignment="0" applyProtection="0">
      <alignment vertical="center"/>
    </xf>
    <xf numFmtId="0" fontId="217" fillId="83" borderId="0" applyNumberFormat="0" applyBorder="0" applyAlignment="0" applyProtection="0">
      <alignment vertical="center"/>
    </xf>
    <xf numFmtId="0" fontId="218" fillId="84" borderId="0" applyNumberFormat="0" applyBorder="0" applyAlignment="0" applyProtection="0">
      <alignment vertical="center"/>
    </xf>
    <xf numFmtId="0" fontId="218" fillId="85" borderId="0" applyNumberFormat="0" applyBorder="0" applyAlignment="0" applyProtection="0">
      <alignment vertical="center"/>
    </xf>
    <xf numFmtId="0" fontId="217" fillId="86" borderId="0" applyNumberFormat="0" applyBorder="0" applyAlignment="0" applyProtection="0">
      <alignment vertical="center"/>
    </xf>
    <xf numFmtId="0" fontId="217" fillId="87" borderId="0" applyNumberFormat="0" applyBorder="0" applyAlignment="0" applyProtection="0">
      <alignment vertical="center"/>
    </xf>
    <xf numFmtId="0" fontId="218" fillId="88" borderId="0" applyNumberFormat="0" applyBorder="0" applyAlignment="0" applyProtection="0">
      <alignment vertical="center"/>
    </xf>
    <xf numFmtId="0" fontId="218" fillId="89" borderId="0" applyNumberFormat="0" applyBorder="0" applyAlignment="0" applyProtection="0">
      <alignment vertical="center"/>
    </xf>
    <xf numFmtId="0" fontId="217" fillId="90" borderId="0" applyNumberFormat="0" applyBorder="0" applyAlignment="0" applyProtection="0">
      <alignment vertical="center"/>
    </xf>
    <xf numFmtId="0" fontId="217" fillId="91" borderId="0" applyNumberFormat="0" applyBorder="0" applyAlignment="0" applyProtection="0">
      <alignment vertical="center"/>
    </xf>
    <xf numFmtId="0" fontId="218" fillId="92" borderId="0" applyNumberFormat="0" applyBorder="0" applyAlignment="0" applyProtection="0">
      <alignment vertical="center"/>
    </xf>
    <xf numFmtId="0" fontId="218" fillId="93" borderId="0" applyNumberFormat="0" applyBorder="0" applyAlignment="0" applyProtection="0">
      <alignment vertical="center"/>
    </xf>
    <xf numFmtId="0" fontId="217" fillId="94" borderId="0" applyNumberFormat="0" applyBorder="0" applyAlignment="0" applyProtection="0">
      <alignment vertical="center"/>
    </xf>
    <xf numFmtId="0" fontId="217" fillId="95" borderId="0" applyNumberFormat="0" applyBorder="0" applyAlignment="0" applyProtection="0">
      <alignment vertical="center"/>
    </xf>
    <xf numFmtId="0" fontId="218" fillId="96" borderId="0" applyNumberFormat="0" applyBorder="0" applyAlignment="0" applyProtection="0">
      <alignment vertical="center"/>
    </xf>
    <xf numFmtId="0" fontId="218" fillId="97" borderId="0" applyNumberFormat="0" applyBorder="0" applyAlignment="0" applyProtection="0">
      <alignment vertical="center"/>
    </xf>
    <xf numFmtId="0" fontId="217" fillId="98" borderId="0" applyNumberFormat="0" applyBorder="0" applyAlignment="0" applyProtection="0">
      <alignment vertical="center"/>
    </xf>
    <xf numFmtId="0" fontId="217" fillId="99" borderId="0" applyNumberFormat="0" applyBorder="0" applyAlignment="0" applyProtection="0">
      <alignment vertical="center"/>
    </xf>
    <xf numFmtId="0" fontId="218" fillId="100" borderId="0" applyNumberFormat="0" applyBorder="0" applyAlignment="0" applyProtection="0">
      <alignment vertical="center"/>
    </xf>
    <xf numFmtId="0" fontId="18" fillId="0" borderId="0">
      <protection locked="0"/>
    </xf>
  </cellStyleXfs>
  <cellXfs count="2757">
    <xf numFmtId="0" fontId="0" fillId="0" borderId="0" xfId="0">
      <alignment vertical="center"/>
    </xf>
    <xf numFmtId="176" fontId="0" fillId="0" borderId="0" xfId="0" applyNumberFormat="1">
      <alignment vertical="center"/>
    </xf>
    <xf numFmtId="0" fontId="0" fillId="0" borderId="0" xfId="0" applyFill="1">
      <alignment vertical="center"/>
    </xf>
    <xf numFmtId="0" fontId="0" fillId="2" borderId="0" xfId="0" applyFill="1">
      <alignment vertical="center"/>
    </xf>
    <xf numFmtId="0" fontId="1" fillId="3" borderId="0" xfId="0" applyFont="1" applyFill="1">
      <alignment vertical="center"/>
    </xf>
    <xf numFmtId="49" fontId="1" fillId="3" borderId="0" xfId="0" applyNumberFormat="1" applyFont="1" applyFill="1">
      <alignment vertical="center"/>
    </xf>
    <xf numFmtId="0" fontId="0" fillId="0" borderId="0" xfId="0" applyFont="1" applyFill="1">
      <alignment vertical="center"/>
    </xf>
    <xf numFmtId="0" fontId="0" fillId="0" borderId="0" xfId="0" applyFill="1" applyAlignment="1">
      <alignment vertical="center" wrapText="1"/>
    </xf>
    <xf numFmtId="0" fontId="1" fillId="3" borderId="0" xfId="0" applyFont="1" applyFill="1" applyAlignment="1">
      <alignment vertical="center" wrapText="1"/>
    </xf>
    <xf numFmtId="0" fontId="1" fillId="4" borderId="0" xfId="0" applyFont="1" applyFill="1" applyAlignment="1">
      <alignment horizontal="center" vertical="center"/>
    </xf>
    <xf numFmtId="0" fontId="0" fillId="3" borderId="0" xfId="0" applyFill="1">
      <alignment vertical="center"/>
    </xf>
    <xf numFmtId="0" fontId="2" fillId="2" borderId="1" xfId="0" applyFont="1" applyFill="1" applyBorder="1" applyAlignment="1">
      <alignment horizontal="center" vertical="center"/>
    </xf>
    <xf numFmtId="177" fontId="0" fillId="2" borderId="2" xfId="0" applyNumberFormat="1" applyFill="1" applyBorder="1">
      <alignment vertical="center"/>
    </xf>
    <xf numFmtId="177" fontId="1" fillId="0" borderId="2" xfId="0" applyNumberFormat="1" applyFont="1" applyBorder="1">
      <alignment vertical="center"/>
    </xf>
    <xf numFmtId="177" fontId="0" fillId="0" borderId="2" xfId="0" applyNumberFormat="1" applyBorder="1">
      <alignment vertical="center"/>
    </xf>
    <xf numFmtId="177" fontId="3" fillId="0" borderId="2" xfId="0" applyNumberFormat="1" applyFont="1" applyBorder="1" applyAlignment="1">
      <alignment horizontal="left" vertical="center"/>
    </xf>
    <xf numFmtId="177" fontId="3" fillId="0" borderId="2" xfId="0" applyNumberFormat="1" applyFont="1" applyBorder="1">
      <alignment vertical="center"/>
    </xf>
    <xf numFmtId="177" fontId="4" fillId="0" borderId="2" xfId="0" applyNumberFormat="1" applyFont="1" applyBorder="1">
      <alignment vertical="center"/>
    </xf>
    <xf numFmtId="177" fontId="5" fillId="0" borderId="2" xfId="0" applyNumberFormat="1" applyFont="1" applyBorder="1">
      <alignment vertical="center"/>
    </xf>
    <xf numFmtId="177" fontId="1" fillId="4" borderId="2" xfId="0" applyNumberFormat="1" applyFont="1" applyFill="1" applyBorder="1" applyAlignment="1">
      <alignment horizontal="center" vertical="center"/>
    </xf>
    <xf numFmtId="177" fontId="1" fillId="3" borderId="2" xfId="0" applyNumberFormat="1" applyFont="1" applyFill="1" applyBorder="1">
      <alignment vertical="center"/>
    </xf>
    <xf numFmtId="177" fontId="0" fillId="3" borderId="2" xfId="0" applyNumberFormat="1" applyFill="1" applyBorder="1">
      <alignment vertical="center"/>
    </xf>
    <xf numFmtId="177" fontId="1" fillId="5" borderId="2" xfId="0" applyNumberFormat="1" applyFont="1" applyFill="1" applyBorder="1">
      <alignment vertical="center"/>
    </xf>
    <xf numFmtId="177" fontId="0" fillId="5" borderId="2" xfId="0" applyNumberFormat="1" applyFill="1" applyBorder="1">
      <alignment vertical="center"/>
    </xf>
    <xf numFmtId="177" fontId="1" fillId="2" borderId="2" xfId="0" applyNumberFormat="1" applyFont="1" applyFill="1" applyBorder="1">
      <alignment vertical="center"/>
    </xf>
    <xf numFmtId="177" fontId="3" fillId="4" borderId="2" xfId="0" applyNumberFormat="1" applyFont="1" applyFill="1" applyBorder="1" applyAlignment="1">
      <alignment horizontal="center" vertical="center"/>
    </xf>
    <xf numFmtId="177" fontId="3" fillId="3" borderId="2" xfId="0" applyNumberFormat="1" applyFont="1" applyFill="1" applyBorder="1" applyAlignment="1">
      <alignment horizontal="left" vertical="center"/>
    </xf>
    <xf numFmtId="177" fontId="3" fillId="5" borderId="2" xfId="0" applyNumberFormat="1" applyFont="1" applyFill="1" applyBorder="1" applyAlignment="1">
      <alignment horizontal="left" vertical="center"/>
    </xf>
    <xf numFmtId="177" fontId="3" fillId="2" borderId="2" xfId="0" applyNumberFormat="1" applyFont="1" applyFill="1" applyBorder="1" applyAlignment="1">
      <alignment horizontal="left" vertical="center"/>
    </xf>
    <xf numFmtId="177" fontId="5" fillId="4" borderId="2" xfId="0" applyNumberFormat="1" applyFont="1" applyFill="1" applyBorder="1" applyAlignment="1">
      <alignment horizontal="center" vertical="center"/>
    </xf>
    <xf numFmtId="177" fontId="3" fillId="3" borderId="2" xfId="0" applyNumberFormat="1" applyFont="1" applyFill="1" applyBorder="1">
      <alignment vertical="center"/>
    </xf>
    <xf numFmtId="177" fontId="4" fillId="3" borderId="2" xfId="0" applyNumberFormat="1" applyFont="1" applyFill="1" applyBorder="1">
      <alignment vertical="center"/>
    </xf>
    <xf numFmtId="177" fontId="5" fillId="3" borderId="2" xfId="0" applyNumberFormat="1" applyFont="1" applyFill="1" applyBorder="1">
      <alignment vertical="center"/>
    </xf>
    <xf numFmtId="177" fontId="3" fillId="5" borderId="2" xfId="0" applyNumberFormat="1" applyFont="1" applyFill="1" applyBorder="1">
      <alignment vertical="center"/>
    </xf>
    <xf numFmtId="177" fontId="4" fillId="5" borderId="2" xfId="0" applyNumberFormat="1" applyFont="1" applyFill="1" applyBorder="1">
      <alignment vertical="center"/>
    </xf>
    <xf numFmtId="177" fontId="5" fillId="5" borderId="2" xfId="0" applyNumberFormat="1" applyFont="1" applyFill="1" applyBorder="1">
      <alignment vertical="center"/>
    </xf>
    <xf numFmtId="177" fontId="3" fillId="2" borderId="2" xfId="0" applyNumberFormat="1" applyFont="1" applyFill="1" applyBorder="1">
      <alignment vertical="center"/>
    </xf>
    <xf numFmtId="177" fontId="4" fillId="2" borderId="2" xfId="0" applyNumberFormat="1" applyFont="1" applyFill="1" applyBorder="1">
      <alignment vertical="center"/>
    </xf>
    <xf numFmtId="177" fontId="5" fillId="2" borderId="2" xfId="0" applyNumberFormat="1" applyFont="1" applyFill="1" applyBorder="1">
      <alignment vertical="center"/>
    </xf>
    <xf numFmtId="177" fontId="0" fillId="5" borderId="2" xfId="0" applyNumberFormat="1" applyFont="1" applyFill="1" applyBorder="1">
      <alignment vertical="center"/>
    </xf>
    <xf numFmtId="177" fontId="6" fillId="5" borderId="3" xfId="0" applyNumberFormat="1" applyFont="1" applyFill="1" applyBorder="1" applyAlignment="1" applyProtection="1">
      <alignment horizontal="center" vertical="center"/>
      <protection locked="0"/>
    </xf>
    <xf numFmtId="177" fontId="7" fillId="2" borderId="3" xfId="0" applyNumberFormat="1" applyFon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49" fontId="0" fillId="0" borderId="0" xfId="0" applyNumberFormat="1">
      <alignment vertical="center"/>
    </xf>
    <xf numFmtId="0" fontId="12" fillId="6" borderId="0" xfId="0" applyFont="1" applyFill="1" applyAlignment="1">
      <alignment horizontal="center" vertical="center"/>
    </xf>
    <xf numFmtId="49" fontId="12" fillId="6" borderId="0" xfId="0" applyNumberFormat="1" applyFont="1" applyFill="1" applyAlignment="1">
      <alignment horizontal="center" vertical="center"/>
    </xf>
    <xf numFmtId="0" fontId="13" fillId="0" borderId="0" xfId="0" applyFont="1" applyFill="1" applyAlignment="1"/>
    <xf numFmtId="49" fontId="14" fillId="0" borderId="0" xfId="0" applyNumberFormat="1" applyFont="1" applyFill="1" applyAlignment="1"/>
    <xf numFmtId="0" fontId="15" fillId="0" borderId="0" xfId="0" applyFont="1" applyFill="1" applyAlignment="1"/>
    <xf numFmtId="0" fontId="14" fillId="0" borderId="0" xfId="0" applyFont="1" applyFill="1" applyAlignment="1"/>
    <xf numFmtId="0" fontId="16" fillId="0" borderId="0" xfId="0" applyFont="1">
      <alignment vertical="center"/>
    </xf>
    <xf numFmtId="49" fontId="14" fillId="0" borderId="0" xfId="0" applyNumberFormat="1" applyFont="1" applyFill="1" applyAlignment="1">
      <alignment wrapText="1"/>
    </xf>
    <xf numFmtId="0" fontId="17" fillId="0" borderId="0" xfId="49" applyFont="1" applyAlignment="1">
      <alignment vertical="center"/>
      <protection locked="0"/>
    </xf>
    <xf numFmtId="0" fontId="18" fillId="0" borderId="0" xfId="49" applyAlignment="1">
      <alignment vertical="center"/>
      <protection locked="0"/>
    </xf>
    <xf numFmtId="0" fontId="18" fillId="0" borderId="0" xfId="49" applyFont="1" applyAlignment="1">
      <alignment vertical="center"/>
      <protection locked="0"/>
    </xf>
    <xf numFmtId="0" fontId="19" fillId="0" borderId="0" xfId="0" applyFont="1" applyProtection="1">
      <alignment vertical="center"/>
      <protection locked="0"/>
    </xf>
    <xf numFmtId="49" fontId="20" fillId="7" borderId="4" xfId="0" applyNumberFormat="1" applyFont="1" applyFill="1" applyBorder="1" applyAlignment="1">
      <alignment horizontal="center" vertical="center"/>
    </xf>
    <xf numFmtId="49" fontId="20" fillId="7" borderId="5" xfId="0" applyNumberFormat="1" applyFont="1" applyFill="1" applyBorder="1" applyAlignment="1">
      <alignment horizontal="center" vertical="center"/>
    </xf>
    <xf numFmtId="49" fontId="21" fillId="7" borderId="5" xfId="0" applyNumberFormat="1" applyFont="1" applyFill="1" applyBorder="1" applyAlignment="1">
      <alignment horizontal="center" vertical="center" wrapText="1"/>
    </xf>
    <xf numFmtId="0" fontId="22" fillId="0" borderId="6" xfId="0" applyNumberFormat="1" applyFont="1" applyFill="1" applyBorder="1" applyAlignment="1">
      <alignment horizontal="left" vertical="center"/>
    </xf>
    <xf numFmtId="0" fontId="22" fillId="0" borderId="0" xfId="0" applyNumberFormat="1" applyFont="1" applyFill="1" applyBorder="1" applyAlignment="1">
      <alignment horizontal="center" vertical="center"/>
    </xf>
    <xf numFmtId="0" fontId="22" fillId="0" borderId="7" xfId="0" applyNumberFormat="1" applyFont="1" applyFill="1" applyBorder="1" applyAlignment="1">
      <alignment horizontal="left" vertical="center"/>
    </xf>
    <xf numFmtId="0" fontId="22" fillId="0" borderId="8" xfId="0" applyNumberFormat="1" applyFont="1" applyFill="1" applyBorder="1" applyAlignment="1">
      <alignment horizontal="center" vertical="center"/>
    </xf>
    <xf numFmtId="0" fontId="22" fillId="0" borderId="9" xfId="0" applyNumberFormat="1" applyFont="1" applyFill="1" applyBorder="1" applyAlignment="1">
      <alignment horizontal="left" vertical="center"/>
    </xf>
    <xf numFmtId="0" fontId="22" fillId="0" borderId="10" xfId="0" applyNumberFormat="1" applyFont="1" applyFill="1" applyBorder="1" applyAlignment="1">
      <alignment horizontal="center" vertical="center"/>
    </xf>
    <xf numFmtId="0" fontId="22" fillId="8" borderId="7" xfId="0" applyNumberFormat="1" applyFont="1" applyFill="1" applyBorder="1" applyAlignment="1">
      <alignment horizontal="left" vertical="center"/>
    </xf>
    <xf numFmtId="0" fontId="22" fillId="8" borderId="8" xfId="0" applyNumberFormat="1" applyFont="1" applyFill="1" applyBorder="1" applyAlignment="1">
      <alignment horizontal="center" vertical="center"/>
    </xf>
    <xf numFmtId="0" fontId="23" fillId="9" borderId="6" xfId="0" applyNumberFormat="1" applyFont="1" applyFill="1" applyBorder="1" applyAlignment="1">
      <alignment horizontal="left" vertical="center"/>
    </xf>
    <xf numFmtId="0" fontId="23" fillId="10" borderId="0" xfId="0" applyNumberFormat="1" applyFont="1" applyFill="1" applyBorder="1" applyAlignment="1">
      <alignment horizontal="center" vertical="center"/>
    </xf>
    <xf numFmtId="0" fontId="23" fillId="10" borderId="0" xfId="0" applyNumberFormat="1" applyFont="1" applyFill="1" applyAlignment="1">
      <alignment horizontal="center" vertical="center"/>
    </xf>
    <xf numFmtId="0" fontId="23" fillId="0" borderId="0" xfId="0" applyNumberFormat="1" applyFont="1" applyFill="1" applyBorder="1" applyAlignment="1">
      <alignment horizontal="center" vertical="center"/>
    </xf>
    <xf numFmtId="0" fontId="17" fillId="0" borderId="6" xfId="49" applyNumberFormat="1" applyFont="1" applyBorder="1" applyAlignment="1" applyProtection="1">
      <alignment horizontal="left" vertical="center"/>
    </xf>
    <xf numFmtId="0" fontId="17" fillId="0" borderId="0" xfId="49" applyNumberFormat="1" applyFont="1" applyAlignment="1" applyProtection="1">
      <alignment horizontal="center" vertical="center"/>
    </xf>
    <xf numFmtId="0" fontId="23" fillId="10" borderId="6" xfId="0" applyNumberFormat="1" applyFont="1" applyFill="1" applyBorder="1" applyAlignment="1">
      <alignment horizontal="left" vertical="center"/>
    </xf>
    <xf numFmtId="0" fontId="23" fillId="0" borderId="6" xfId="0" applyNumberFormat="1" applyFont="1" applyFill="1" applyBorder="1" applyAlignment="1">
      <alignment horizontal="left" vertical="center"/>
    </xf>
    <xf numFmtId="0" fontId="23" fillId="11" borderId="6" xfId="0" applyNumberFormat="1" applyFont="1" applyFill="1" applyBorder="1" applyAlignment="1">
      <alignment horizontal="left" vertical="center"/>
    </xf>
    <xf numFmtId="0" fontId="23" fillId="11" borderId="0" xfId="0" applyNumberFormat="1" applyFont="1" applyFill="1" applyBorder="1" applyAlignment="1">
      <alignment horizontal="center" vertical="center"/>
    </xf>
    <xf numFmtId="0" fontId="23" fillId="12" borderId="6" xfId="0" applyNumberFormat="1" applyFont="1" applyFill="1" applyBorder="1" applyAlignment="1">
      <alignment horizontal="left" vertical="center"/>
    </xf>
    <xf numFmtId="0" fontId="23" fillId="12" borderId="0" xfId="0" applyNumberFormat="1" applyFont="1" applyFill="1" applyBorder="1" applyAlignment="1">
      <alignment horizontal="center" vertical="center"/>
    </xf>
    <xf numFmtId="0" fontId="23" fillId="12" borderId="0" xfId="0" applyNumberFormat="1" applyFont="1" applyFill="1" applyAlignment="1">
      <alignment horizontal="center" vertical="center"/>
    </xf>
    <xf numFmtId="0" fontId="23" fillId="0" borderId="0" xfId="0" applyNumberFormat="1" applyFont="1" applyFill="1" applyAlignment="1">
      <alignment horizontal="center" vertical="center"/>
    </xf>
    <xf numFmtId="0" fontId="23" fillId="13" borderId="6" xfId="0" applyNumberFormat="1" applyFont="1" applyFill="1" applyBorder="1" applyAlignment="1">
      <alignment horizontal="left" vertical="center"/>
    </xf>
    <xf numFmtId="0" fontId="23" fillId="13" borderId="0" xfId="0" applyNumberFormat="1" applyFont="1" applyFill="1" applyBorder="1" applyAlignment="1">
      <alignment horizontal="center" vertical="center"/>
    </xf>
    <xf numFmtId="0" fontId="23" fillId="13" borderId="0" xfId="0" applyNumberFormat="1" applyFont="1" applyFill="1" applyAlignment="1">
      <alignment horizontal="center" vertical="center"/>
    </xf>
    <xf numFmtId="0" fontId="17" fillId="12" borderId="0" xfId="49" applyNumberFormat="1" applyFont="1" applyFill="1" applyAlignment="1" applyProtection="1">
      <alignment horizontal="center" vertical="center"/>
    </xf>
    <xf numFmtId="0" fontId="23" fillId="14" borderId="6" xfId="0" applyNumberFormat="1" applyFont="1" applyFill="1" applyBorder="1" applyAlignment="1">
      <alignment horizontal="left" vertical="center"/>
    </xf>
    <xf numFmtId="0" fontId="23" fillId="14" borderId="0" xfId="0" applyNumberFormat="1" applyFont="1" applyFill="1" applyBorder="1" applyAlignment="1">
      <alignment horizontal="center" vertical="center"/>
    </xf>
    <xf numFmtId="0" fontId="23" fillId="14" borderId="0" xfId="0" applyNumberFormat="1" applyFont="1" applyFill="1" applyAlignment="1">
      <alignment horizontal="center" vertical="center"/>
    </xf>
    <xf numFmtId="0" fontId="17" fillId="14" borderId="0" xfId="49" applyNumberFormat="1" applyFont="1" applyFill="1" applyAlignment="1" applyProtection="1">
      <alignment horizontal="center" vertical="center"/>
    </xf>
    <xf numFmtId="0" fontId="23" fillId="15" borderId="6" xfId="0" applyNumberFormat="1" applyFont="1" applyFill="1" applyBorder="1" applyAlignment="1">
      <alignment horizontal="left" vertical="center"/>
    </xf>
    <xf numFmtId="0" fontId="17" fillId="15" borderId="0" xfId="49" applyNumberFormat="1" applyFont="1" applyFill="1" applyAlignment="1" applyProtection="1">
      <alignment horizontal="center" vertical="center"/>
    </xf>
    <xf numFmtId="0" fontId="23" fillId="15" borderId="0" xfId="0" applyNumberFormat="1" applyFont="1" applyFill="1" applyBorder="1" applyAlignment="1">
      <alignment horizontal="center" vertical="center"/>
    </xf>
    <xf numFmtId="0" fontId="17" fillId="0" borderId="6" xfId="49" applyFont="1" applyBorder="1" applyAlignment="1">
      <alignment vertical="center"/>
      <protection locked="0"/>
    </xf>
    <xf numFmtId="0" fontId="17" fillId="0" borderId="0" xfId="49" applyFont="1" applyAlignment="1">
      <alignment horizontal="center" vertical="center"/>
      <protection locked="0"/>
    </xf>
    <xf numFmtId="0" fontId="17" fillId="16" borderId="6" xfId="0" applyNumberFormat="1" applyFont="1" applyFill="1" applyBorder="1" applyAlignment="1">
      <alignment horizontal="left" vertical="center"/>
    </xf>
    <xf numFmtId="0" fontId="17" fillId="16" borderId="0" xfId="49" applyNumberFormat="1" applyFont="1" applyFill="1" applyAlignment="1" applyProtection="1">
      <alignment horizontal="center" vertical="center"/>
    </xf>
    <xf numFmtId="0" fontId="17" fillId="16" borderId="0" xfId="0" applyNumberFormat="1" applyFont="1" applyFill="1" applyBorder="1" applyAlignment="1">
      <alignment horizontal="center" vertical="center"/>
    </xf>
    <xf numFmtId="0" fontId="17" fillId="0" borderId="0" xfId="49" applyNumberFormat="1" applyFont="1" applyFill="1" applyAlignment="1" applyProtection="1">
      <alignment horizontal="center" vertical="center"/>
    </xf>
    <xf numFmtId="0" fontId="23" fillId="16" borderId="6" xfId="0" applyNumberFormat="1" applyFont="1" applyFill="1" applyBorder="1" applyAlignment="1">
      <alignment horizontal="left" vertical="center"/>
    </xf>
    <xf numFmtId="0" fontId="23" fillId="16" borderId="0" xfId="0" applyNumberFormat="1" applyFont="1" applyFill="1" applyBorder="1" applyAlignment="1">
      <alignment horizontal="center" vertical="center"/>
    </xf>
    <xf numFmtId="49" fontId="20" fillId="7" borderId="11" xfId="0" applyNumberFormat="1" applyFont="1" applyFill="1" applyBorder="1" applyAlignment="1">
      <alignment horizontal="center" vertical="center"/>
    </xf>
    <xf numFmtId="49" fontId="20" fillId="7" borderId="0" xfId="0" applyNumberFormat="1" applyFont="1" applyFill="1" applyAlignment="1">
      <alignment horizontal="center" vertical="center"/>
    </xf>
    <xf numFmtId="0" fontId="18" fillId="0" borderId="0" xfId="49" applyAlignment="1" applyProtection="1">
      <alignment vertical="center"/>
    </xf>
    <xf numFmtId="0" fontId="22" fillId="0" borderId="12" xfId="0" applyNumberFormat="1" applyFont="1" applyFill="1" applyBorder="1" applyAlignment="1">
      <alignment horizontal="center" vertical="center"/>
    </xf>
    <xf numFmtId="0" fontId="24" fillId="0" borderId="13" xfId="49" applyNumberFormat="1" applyFont="1" applyFill="1" applyBorder="1" applyAlignment="1" applyProtection="1">
      <alignment horizontal="center" vertical="center" wrapText="1"/>
    </xf>
    <xf numFmtId="0" fontId="25" fillId="8" borderId="13" xfId="49" applyNumberFormat="1" applyFont="1" applyFill="1" applyBorder="1" applyAlignment="1" applyProtection="1">
      <alignment horizontal="left" vertical="center" wrapText="1"/>
    </xf>
    <xf numFmtId="0" fontId="25" fillId="8" borderId="3" xfId="49" applyNumberFormat="1" applyFont="1" applyFill="1" applyBorder="1" applyAlignment="1" applyProtection="1">
      <alignment horizontal="left" vertical="center" wrapText="1"/>
    </xf>
    <xf numFmtId="0" fontId="18" fillId="0" borderId="0" xfId="49" applyNumberFormat="1" applyFont="1" applyAlignment="1" applyProtection="1">
      <alignment vertical="center"/>
    </xf>
    <xf numFmtId="0" fontId="22" fillId="0" borderId="14" xfId="0" applyNumberFormat="1" applyFont="1" applyFill="1" applyBorder="1" applyAlignment="1">
      <alignment horizontal="center" vertical="center"/>
    </xf>
    <xf numFmtId="0" fontId="22" fillId="0" borderId="15" xfId="0" applyNumberFormat="1" applyFont="1" applyFill="1" applyBorder="1" applyAlignment="1">
      <alignment horizontal="center" vertical="center"/>
    </xf>
    <xf numFmtId="0" fontId="22" fillId="8" borderId="14" xfId="0" applyNumberFormat="1" applyFont="1" applyFill="1" applyBorder="1" applyAlignment="1">
      <alignment horizontal="center" vertical="center"/>
    </xf>
    <xf numFmtId="0" fontId="23" fillId="10" borderId="12" xfId="0" applyNumberFormat="1" applyFont="1" applyFill="1" applyBorder="1" applyAlignment="1">
      <alignment horizontal="center" vertical="center"/>
    </xf>
    <xf numFmtId="0" fontId="26" fillId="10" borderId="13" xfId="49" applyNumberFormat="1" applyFont="1" applyFill="1" applyBorder="1" applyAlignment="1" applyProtection="1">
      <alignment horizontal="center" vertical="center" wrapText="1"/>
    </xf>
    <xf numFmtId="0" fontId="18" fillId="9" borderId="10" xfId="49" applyNumberFormat="1" applyFont="1" applyFill="1" applyBorder="1" applyAlignment="1" applyProtection="1">
      <alignment horizontal="center" vertical="center" wrapText="1"/>
    </xf>
    <xf numFmtId="0" fontId="18" fillId="9" borderId="16" xfId="49" applyNumberFormat="1" applyFont="1" applyFill="1" applyBorder="1" applyAlignment="1" applyProtection="1">
      <alignment horizontal="center" vertical="center" wrapText="1"/>
    </xf>
    <xf numFmtId="0" fontId="18" fillId="9" borderId="0" xfId="49" applyNumberFormat="1" applyFont="1" applyFill="1" applyBorder="1" applyAlignment="1" applyProtection="1">
      <alignment horizontal="center" vertical="center" wrapText="1"/>
    </xf>
    <xf numFmtId="0" fontId="18" fillId="9" borderId="0" xfId="49" applyNumberFormat="1" applyFont="1" applyFill="1" applyAlignment="1" applyProtection="1">
      <alignment horizontal="center" vertical="center" wrapText="1"/>
    </xf>
    <xf numFmtId="0" fontId="18" fillId="9" borderId="17" xfId="49" applyNumberFormat="1" applyFont="1" applyFill="1" applyBorder="1" applyAlignment="1" applyProtection="1">
      <alignment horizontal="center" vertical="center" wrapText="1"/>
    </xf>
    <xf numFmtId="0" fontId="17" fillId="0" borderId="12" xfId="49" applyNumberFormat="1" applyFont="1" applyBorder="1" applyAlignment="1" applyProtection="1">
      <alignment horizontal="center" vertical="center"/>
    </xf>
    <xf numFmtId="0" fontId="18" fillId="9" borderId="18" xfId="49" applyNumberFormat="1" applyFont="1" applyFill="1" applyBorder="1" applyAlignment="1" applyProtection="1">
      <alignment horizontal="center" vertical="center" wrapText="1"/>
    </xf>
    <xf numFmtId="0" fontId="18" fillId="9" borderId="19" xfId="49" applyNumberFormat="1" applyFont="1" applyFill="1" applyBorder="1" applyAlignment="1" applyProtection="1">
      <alignment horizontal="center" vertical="center" wrapText="1"/>
    </xf>
    <xf numFmtId="0" fontId="27" fillId="0" borderId="20" xfId="49" applyFont="1" applyBorder="1" applyAlignment="1" applyProtection="1">
      <alignment horizontal="center" vertical="center" wrapText="1"/>
    </xf>
    <xf numFmtId="0" fontId="18" fillId="0" borderId="10" xfId="49" applyBorder="1" applyAlignment="1" applyProtection="1">
      <alignment horizontal="center" vertical="center" wrapText="1"/>
    </xf>
    <xf numFmtId="0" fontId="23" fillId="0" borderId="12" xfId="0" applyNumberFormat="1" applyFont="1" applyFill="1" applyBorder="1" applyAlignment="1">
      <alignment horizontal="center" vertical="center"/>
    </xf>
    <xf numFmtId="0" fontId="18" fillId="0" borderId="21" xfId="49" applyBorder="1" applyAlignment="1" applyProtection="1">
      <alignment horizontal="center" vertical="center" wrapText="1"/>
    </xf>
    <xf numFmtId="0" fontId="18" fillId="0" borderId="0" xfId="49" applyAlignment="1" applyProtection="1">
      <alignment horizontal="center" vertical="center" wrapText="1"/>
    </xf>
    <xf numFmtId="0" fontId="23" fillId="11" borderId="12" xfId="0" applyNumberFormat="1" applyFont="1" applyFill="1" applyBorder="1" applyAlignment="1">
      <alignment horizontal="center" vertical="center"/>
    </xf>
    <xf numFmtId="0" fontId="18" fillId="0" borderId="22" xfId="49" applyBorder="1" applyAlignment="1" applyProtection="1">
      <alignment horizontal="center" vertical="center" wrapText="1"/>
    </xf>
    <xf numFmtId="0" fontId="18" fillId="0" borderId="18" xfId="49" applyBorder="1" applyAlignment="1" applyProtection="1">
      <alignment horizontal="center" vertical="center" wrapText="1"/>
    </xf>
    <xf numFmtId="0" fontId="23" fillId="12" borderId="12" xfId="0" applyNumberFormat="1" applyFont="1" applyFill="1" applyBorder="1" applyAlignment="1">
      <alignment horizontal="center" vertical="center"/>
    </xf>
    <xf numFmtId="0" fontId="26" fillId="12" borderId="13" xfId="49" applyNumberFormat="1" applyFont="1" applyFill="1" applyBorder="1" applyAlignment="1" applyProtection="1">
      <alignment horizontal="center" vertical="center" wrapText="1"/>
    </xf>
    <xf numFmtId="0" fontId="18" fillId="13" borderId="10" xfId="49" applyNumberFormat="1" applyFont="1" applyFill="1" applyBorder="1" applyAlignment="1" applyProtection="1">
      <alignment horizontal="center" vertical="center" wrapText="1"/>
    </xf>
    <xf numFmtId="0" fontId="18" fillId="13" borderId="10" xfId="49" applyNumberFormat="1" applyFont="1" applyFill="1" applyBorder="1" applyAlignment="1" applyProtection="1">
      <alignment horizontal="center" vertical="center"/>
    </xf>
    <xf numFmtId="0" fontId="18" fillId="13" borderId="16" xfId="49" applyNumberFormat="1" applyFont="1" applyFill="1" applyBorder="1" applyAlignment="1" applyProtection="1">
      <alignment horizontal="center" vertical="center"/>
    </xf>
    <xf numFmtId="0" fontId="18" fillId="13" borderId="0" xfId="49" applyNumberFormat="1" applyFont="1" applyFill="1" applyBorder="1" applyAlignment="1" applyProtection="1">
      <alignment horizontal="center" vertical="center"/>
    </xf>
    <xf numFmtId="0" fontId="18" fillId="13" borderId="0" xfId="49" applyNumberFormat="1" applyFont="1" applyFill="1" applyAlignment="1" applyProtection="1">
      <alignment horizontal="center" vertical="center"/>
    </xf>
    <xf numFmtId="0" fontId="18" fillId="13" borderId="17" xfId="49" applyNumberFormat="1" applyFont="1" applyFill="1" applyBorder="1" applyAlignment="1" applyProtection="1">
      <alignment horizontal="center" vertical="center"/>
    </xf>
    <xf numFmtId="0" fontId="18" fillId="13" borderId="18" xfId="49" applyNumberFormat="1" applyFont="1" applyFill="1" applyBorder="1" applyAlignment="1" applyProtection="1">
      <alignment horizontal="center" vertical="center"/>
    </xf>
    <xf numFmtId="0" fontId="18" fillId="13" borderId="19" xfId="49" applyNumberFormat="1" applyFont="1" applyFill="1" applyBorder="1" applyAlignment="1" applyProtection="1">
      <alignment horizontal="center" vertical="center"/>
    </xf>
    <xf numFmtId="0" fontId="18" fillId="0" borderId="0" xfId="49" applyNumberFormat="1" applyFont="1" applyFill="1" applyBorder="1" applyAlignment="1" applyProtection="1">
      <alignment vertical="center" wrapText="1"/>
    </xf>
    <xf numFmtId="0" fontId="18" fillId="14" borderId="10" xfId="49" applyNumberFormat="1" applyFont="1" applyFill="1" applyBorder="1" applyAlignment="1" applyProtection="1">
      <alignment horizontal="center" vertical="center" wrapText="1"/>
    </xf>
    <xf numFmtId="0" fontId="18" fillId="14" borderId="16" xfId="49" applyNumberFormat="1" applyFont="1" applyFill="1" applyBorder="1" applyAlignment="1" applyProtection="1">
      <alignment horizontal="center" vertical="center" wrapText="1"/>
    </xf>
    <xf numFmtId="0" fontId="23" fillId="13" borderId="12" xfId="0" applyNumberFormat="1" applyFont="1" applyFill="1" applyBorder="1" applyAlignment="1">
      <alignment horizontal="center" vertical="center"/>
    </xf>
    <xf numFmtId="0" fontId="18" fillId="14" borderId="0" xfId="49" applyNumberFormat="1" applyFont="1" applyFill="1" applyBorder="1" applyAlignment="1" applyProtection="1">
      <alignment horizontal="center" vertical="center" wrapText="1"/>
    </xf>
    <xf numFmtId="0" fontId="18" fillId="14" borderId="0" xfId="49" applyNumberFormat="1" applyFont="1" applyFill="1" applyAlignment="1" applyProtection="1">
      <alignment horizontal="center" vertical="center" wrapText="1"/>
    </xf>
    <xf numFmtId="0" fontId="18" fillId="14" borderId="17" xfId="49" applyNumberFormat="1" applyFont="1" applyFill="1" applyBorder="1" applyAlignment="1" applyProtection="1">
      <alignment horizontal="center" vertical="center" wrapText="1"/>
    </xf>
    <xf numFmtId="0" fontId="18" fillId="14" borderId="18" xfId="49" applyNumberFormat="1" applyFont="1" applyFill="1" applyBorder="1" applyAlignment="1" applyProtection="1">
      <alignment horizontal="center" vertical="center" wrapText="1"/>
    </xf>
    <xf numFmtId="0" fontId="18" fillId="14" borderId="19" xfId="49" applyNumberFormat="1" applyFont="1" applyFill="1" applyBorder="1" applyAlignment="1" applyProtection="1">
      <alignment horizontal="center" vertical="center" wrapText="1"/>
    </xf>
    <xf numFmtId="0" fontId="28" fillId="0" borderId="0" xfId="49" applyNumberFormat="1" applyFont="1" applyFill="1" applyAlignment="1" applyProtection="1">
      <alignment horizontal="left" vertical="center" wrapText="1"/>
    </xf>
    <xf numFmtId="0" fontId="23" fillId="14" borderId="12" xfId="0" applyNumberFormat="1" applyFont="1" applyFill="1" applyBorder="1" applyAlignment="1">
      <alignment horizontal="center" vertical="center"/>
    </xf>
    <xf numFmtId="0" fontId="23" fillId="15" borderId="12" xfId="0" applyNumberFormat="1" applyFont="1" applyFill="1" applyBorder="1" applyAlignment="1">
      <alignment horizontal="center" vertical="center"/>
    </xf>
    <xf numFmtId="0" fontId="26" fillId="15" borderId="16" xfId="49" applyNumberFormat="1" applyFont="1" applyFill="1" applyBorder="1" applyAlignment="1" applyProtection="1">
      <alignment horizontal="center" vertical="center" wrapText="1"/>
    </xf>
    <xf numFmtId="58" fontId="23" fillId="15" borderId="12" xfId="0" applyNumberFormat="1" applyFont="1" applyFill="1" applyBorder="1" applyAlignment="1">
      <alignment horizontal="center" vertical="center"/>
    </xf>
    <xf numFmtId="0" fontId="29" fillId="0" borderId="0" xfId="49" applyNumberFormat="1" applyFont="1" applyFill="1" applyAlignment="1" applyProtection="1">
      <alignment vertical="center" wrapText="1"/>
    </xf>
    <xf numFmtId="0" fontId="18" fillId="0" borderId="12" xfId="49" applyBorder="1" applyAlignment="1">
      <alignment horizontal="center" vertical="center"/>
      <protection locked="0"/>
    </xf>
    <xf numFmtId="0" fontId="17" fillId="16" borderId="12" xfId="0" applyNumberFormat="1" applyFont="1" applyFill="1" applyBorder="1" applyAlignment="1">
      <alignment horizontal="center" vertical="center"/>
    </xf>
    <xf numFmtId="0" fontId="30" fillId="16" borderId="16" xfId="49" applyNumberFormat="1" applyFont="1" applyFill="1" applyBorder="1" applyAlignment="1" applyProtection="1">
      <alignment horizontal="center" vertical="center" wrapText="1"/>
    </xf>
    <xf numFmtId="0" fontId="18" fillId="0" borderId="0" xfId="49" applyNumberFormat="1" applyFont="1" applyFill="1" applyBorder="1" applyAlignment="1" applyProtection="1">
      <alignment vertical="center"/>
    </xf>
    <xf numFmtId="58" fontId="23" fillId="16" borderId="12" xfId="0" applyNumberFormat="1" applyFont="1" applyFill="1" applyBorder="1" applyAlignment="1">
      <alignment horizontal="center" vertical="center"/>
    </xf>
    <xf numFmtId="49" fontId="31" fillId="7" borderId="4" xfId="0" applyNumberFormat="1" applyFont="1" applyFill="1" applyBorder="1" applyAlignment="1">
      <alignment horizontal="center" vertical="center"/>
    </xf>
    <xf numFmtId="49" fontId="31" fillId="7" borderId="5" xfId="0" applyNumberFormat="1" applyFont="1" applyFill="1" applyBorder="1" applyAlignment="1">
      <alignment horizontal="center" vertical="center"/>
    </xf>
    <xf numFmtId="49" fontId="31" fillId="7" borderId="5" xfId="0" applyNumberFormat="1" applyFont="1" applyFill="1" applyBorder="1" applyAlignment="1">
      <alignment horizontal="center" vertical="center" wrapText="1"/>
    </xf>
    <xf numFmtId="0" fontId="22" fillId="0" borderId="6" xfId="0" applyFont="1" applyFill="1" applyBorder="1" applyAlignment="1">
      <alignment horizontal="left" vertical="center"/>
    </xf>
    <xf numFmtId="0" fontId="22" fillId="0" borderId="0" xfId="0" applyFont="1" applyFill="1" applyBorder="1" applyAlignment="1">
      <alignment horizontal="center" vertical="center"/>
    </xf>
    <xf numFmtId="0" fontId="22" fillId="0" borderId="0" xfId="49" applyFont="1" applyAlignment="1" applyProtection="1">
      <alignment horizontal="center" vertical="center"/>
    </xf>
    <xf numFmtId="0" fontId="22" fillId="0" borderId="9" xfId="0" applyFont="1" applyFill="1" applyBorder="1" applyAlignment="1">
      <alignment horizontal="left" vertical="center"/>
    </xf>
    <xf numFmtId="0" fontId="22" fillId="0" borderId="10" xfId="0" applyFont="1" applyFill="1" applyBorder="1" applyAlignment="1">
      <alignment horizontal="center" vertical="center"/>
    </xf>
    <xf numFmtId="0" fontId="22" fillId="0" borderId="10" xfId="49" applyFont="1" applyBorder="1" applyAlignment="1" applyProtection="1">
      <alignment horizontal="center" vertical="center"/>
    </xf>
    <xf numFmtId="0" fontId="22" fillId="0" borderId="18" xfId="0" applyFont="1" applyFill="1" applyBorder="1" applyAlignment="1">
      <alignment horizontal="center" vertical="center"/>
    </xf>
    <xf numFmtId="0" fontId="22" fillId="8" borderId="6" xfId="0" applyFont="1" applyFill="1" applyBorder="1" applyAlignment="1">
      <alignment horizontal="left" vertical="center"/>
    </xf>
    <xf numFmtId="0" fontId="22" fillId="8" borderId="0" xfId="0" applyFont="1" applyFill="1" applyBorder="1" applyAlignment="1">
      <alignment horizontal="center" vertical="center"/>
    </xf>
    <xf numFmtId="0" fontId="22" fillId="8" borderId="0" xfId="49" applyFont="1" applyFill="1" applyAlignment="1" applyProtection="1">
      <alignment horizontal="center" vertical="center"/>
    </xf>
    <xf numFmtId="0" fontId="22" fillId="0" borderId="0" xfId="49" applyFont="1" applyBorder="1" applyAlignment="1" applyProtection="1">
      <alignment horizontal="center" vertical="center"/>
    </xf>
    <xf numFmtId="0" fontId="22" fillId="10" borderId="6" xfId="0" applyFont="1" applyFill="1" applyBorder="1" applyAlignment="1">
      <alignment horizontal="left" vertical="center"/>
    </xf>
    <xf numFmtId="0" fontId="22" fillId="10" borderId="0" xfId="0" applyFont="1" applyFill="1" applyBorder="1" applyAlignment="1">
      <alignment horizontal="center" vertical="center"/>
    </xf>
    <xf numFmtId="0" fontId="22" fillId="17" borderId="6" xfId="0" applyFont="1" applyFill="1" applyBorder="1" applyAlignment="1">
      <alignment horizontal="left" vertical="center"/>
    </xf>
    <xf numFmtId="0" fontId="22" fillId="17" borderId="0" xfId="0" applyFont="1" applyFill="1" applyBorder="1" applyAlignment="1">
      <alignment horizontal="center" vertical="center"/>
    </xf>
    <xf numFmtId="0" fontId="22" fillId="17" borderId="0" xfId="49" applyFont="1" applyFill="1" applyAlignment="1" applyProtection="1">
      <alignment horizontal="center" vertical="center"/>
    </xf>
    <xf numFmtId="0" fontId="22" fillId="18" borderId="6" xfId="0" applyFont="1" applyFill="1" applyBorder="1" applyAlignment="1">
      <alignment horizontal="left" vertical="center"/>
    </xf>
    <xf numFmtId="0" fontId="23" fillId="19" borderId="6" xfId="0" applyFont="1" applyFill="1" applyBorder="1" applyAlignment="1">
      <alignment horizontal="left" vertical="center"/>
    </xf>
    <xf numFmtId="0" fontId="23" fillId="19" borderId="0" xfId="0" applyFont="1" applyFill="1" applyBorder="1" applyAlignment="1">
      <alignment horizontal="center" vertical="center"/>
    </xf>
    <xf numFmtId="0" fontId="17" fillId="19" borderId="0" xfId="49" applyFont="1" applyFill="1" applyAlignment="1" applyProtection="1">
      <alignment horizontal="center" vertical="center"/>
    </xf>
    <xf numFmtId="0" fontId="23" fillId="0" borderId="6" xfId="0" applyFont="1" applyFill="1" applyBorder="1" applyAlignment="1">
      <alignment horizontal="left" vertical="center"/>
    </xf>
    <xf numFmtId="0" fontId="23" fillId="0" borderId="0" xfId="0" applyFont="1" applyFill="1" applyBorder="1" applyAlignment="1">
      <alignment horizontal="center" vertical="center"/>
    </xf>
    <xf numFmtId="0" fontId="17" fillId="0" borderId="0" xfId="49" applyFont="1" applyAlignment="1" applyProtection="1">
      <alignment horizontal="center" vertical="center"/>
    </xf>
    <xf numFmtId="0" fontId="23" fillId="20" borderId="6" xfId="0" applyFont="1" applyFill="1" applyBorder="1" applyAlignment="1">
      <alignment horizontal="left" vertical="center"/>
    </xf>
    <xf numFmtId="0" fontId="23" fillId="20" borderId="0" xfId="0" applyFont="1" applyFill="1" applyBorder="1" applyAlignment="1">
      <alignment horizontal="center" vertical="center"/>
    </xf>
    <xf numFmtId="0" fontId="17" fillId="20" borderId="0" xfId="49" applyFont="1" applyFill="1" applyAlignment="1" applyProtection="1">
      <alignment horizontal="center" vertical="center"/>
    </xf>
    <xf numFmtId="0" fontId="17" fillId="0" borderId="0" xfId="49" applyFont="1" applyFill="1" applyAlignment="1" applyProtection="1">
      <alignment horizontal="center" vertical="center"/>
    </xf>
    <xf numFmtId="0" fontId="17" fillId="21" borderId="6" xfId="49" applyFont="1" applyFill="1" applyBorder="1" applyAlignment="1" applyProtection="1">
      <alignment vertical="center"/>
    </xf>
    <xf numFmtId="0" fontId="32" fillId="21" borderId="0" xfId="49" applyFont="1" applyFill="1" applyAlignment="1" applyProtection="1">
      <alignment horizontal="center" vertical="center"/>
    </xf>
    <xf numFmtId="0" fontId="17" fillId="21" borderId="0" xfId="49" applyFont="1" applyFill="1" applyAlignment="1" applyProtection="1">
      <alignment horizontal="center" vertical="center"/>
    </xf>
    <xf numFmtId="0" fontId="23" fillId="21" borderId="0" xfId="0" applyFont="1" applyFill="1" applyBorder="1" applyAlignment="1">
      <alignment horizontal="center" vertical="center"/>
    </xf>
    <xf numFmtId="0" fontId="23" fillId="10" borderId="6" xfId="0" applyFont="1" applyFill="1" applyBorder="1" applyAlignment="1">
      <alignment horizontal="left" vertical="center"/>
    </xf>
    <xf numFmtId="0" fontId="23" fillId="10" borderId="0" xfId="0" applyFont="1" applyFill="1" applyBorder="1" applyAlignment="1">
      <alignment horizontal="center" vertical="center"/>
    </xf>
    <xf numFmtId="0" fontId="17" fillId="10" borderId="0" xfId="49" applyFont="1" applyFill="1" applyAlignment="1" applyProtection="1">
      <alignment horizontal="center" vertical="center"/>
    </xf>
    <xf numFmtId="0" fontId="23" fillId="22" borderId="6" xfId="0" applyFont="1" applyFill="1" applyBorder="1" applyAlignment="1">
      <alignment horizontal="left" vertical="center"/>
    </xf>
    <xf numFmtId="0" fontId="23" fillId="22" borderId="0" xfId="0" applyFont="1" applyFill="1" applyBorder="1" applyAlignment="1">
      <alignment horizontal="center" vertical="center"/>
    </xf>
    <xf numFmtId="0" fontId="17" fillId="22" borderId="0" xfId="49" applyFont="1" applyFill="1" applyAlignment="1" applyProtection="1">
      <alignment horizontal="center" vertical="center"/>
    </xf>
    <xf numFmtId="0" fontId="33" fillId="0" borderId="0" xfId="0" applyFont="1" applyFill="1" applyBorder="1" applyAlignment="1">
      <alignment horizontal="center" vertical="center"/>
    </xf>
    <xf numFmtId="0" fontId="23" fillId="23" borderId="6" xfId="0" applyFont="1" applyFill="1" applyBorder="1" applyAlignment="1">
      <alignment horizontal="left" vertical="center"/>
    </xf>
    <xf numFmtId="0" fontId="23" fillId="23" borderId="0" xfId="0" applyFont="1" applyFill="1" applyBorder="1" applyAlignment="1">
      <alignment horizontal="center" vertical="center"/>
    </xf>
    <xf numFmtId="0" fontId="17" fillId="23" borderId="0" xfId="49" applyFont="1" applyFill="1" applyAlignment="1" applyProtection="1">
      <alignment horizontal="center" vertical="center"/>
    </xf>
    <xf numFmtId="49" fontId="23" fillId="0" borderId="0" xfId="0" applyNumberFormat="1" applyFont="1" applyFill="1" applyBorder="1" applyAlignment="1">
      <alignment horizontal="center" vertical="center"/>
    </xf>
    <xf numFmtId="49" fontId="23" fillId="23" borderId="0" xfId="0" applyNumberFormat="1" applyFont="1" applyFill="1" applyBorder="1" applyAlignment="1">
      <alignment horizontal="center" vertical="center"/>
    </xf>
    <xf numFmtId="49" fontId="31" fillId="7" borderId="11" xfId="0" applyNumberFormat="1" applyFont="1" applyFill="1" applyBorder="1" applyAlignment="1">
      <alignment horizontal="center" vertical="center"/>
    </xf>
    <xf numFmtId="49" fontId="31" fillId="24" borderId="0" xfId="0" applyNumberFormat="1" applyFont="1" applyFill="1" applyAlignment="1">
      <alignment horizontal="center" vertical="center"/>
    </xf>
    <xf numFmtId="0" fontId="0" fillId="0" borderId="0" xfId="49" applyFont="1" applyAlignment="1">
      <alignment vertical="center"/>
      <protection locked="0"/>
    </xf>
    <xf numFmtId="0" fontId="22" fillId="0" borderId="12" xfId="0" applyFont="1" applyFill="1" applyBorder="1" applyAlignment="1">
      <alignment horizontal="center" vertical="center"/>
    </xf>
    <xf numFmtId="0" fontId="34" fillId="0" borderId="13" xfId="49" applyFont="1" applyBorder="1" applyAlignment="1" applyProtection="1">
      <alignment horizontal="center" vertical="center" wrapText="1"/>
    </xf>
    <xf numFmtId="0" fontId="35" fillId="0" borderId="3" xfId="49" applyFont="1" applyFill="1" applyBorder="1" applyAlignment="1" applyProtection="1">
      <alignment horizontal="center" vertical="center" textRotation="255" wrapText="1"/>
    </xf>
    <xf numFmtId="0" fontId="36" fillId="0" borderId="0" xfId="49" applyFont="1" applyFill="1" applyAlignment="1" applyProtection="1">
      <alignment vertical="center" wrapText="1"/>
    </xf>
    <xf numFmtId="0" fontId="36" fillId="0" borderId="0" xfId="49" applyFont="1" applyFill="1" applyBorder="1" applyAlignment="1" applyProtection="1">
      <alignment vertical="center" wrapText="1"/>
    </xf>
    <xf numFmtId="0" fontId="36" fillId="0" borderId="0" xfId="49" applyFont="1" applyAlignment="1" applyProtection="1">
      <alignment vertical="center"/>
    </xf>
    <xf numFmtId="0" fontId="10" fillId="0" borderId="0" xfId="49" applyFont="1" applyBorder="1" applyAlignment="1">
      <alignment vertical="center"/>
      <protection locked="0"/>
    </xf>
    <xf numFmtId="0" fontId="22" fillId="0" borderId="15" xfId="0" applyFont="1" applyFill="1" applyBorder="1" applyAlignment="1">
      <alignment horizontal="center" vertical="center"/>
    </xf>
    <xf numFmtId="0" fontId="0" fillId="0" borderId="0" xfId="49" applyFont="1" applyBorder="1" applyAlignment="1">
      <alignment vertical="center"/>
      <protection locked="0"/>
    </xf>
    <xf numFmtId="0" fontId="22" fillId="0" borderId="23" xfId="0" applyFont="1" applyFill="1" applyBorder="1" applyAlignment="1">
      <alignment horizontal="center" vertical="center"/>
    </xf>
    <xf numFmtId="0" fontId="22" fillId="8" borderId="12" xfId="0" applyFont="1" applyFill="1" applyBorder="1" applyAlignment="1">
      <alignment horizontal="center" vertical="center"/>
    </xf>
    <xf numFmtId="0" fontId="37" fillId="8" borderId="13" xfId="49" applyFont="1" applyFill="1" applyBorder="1" applyAlignment="1" applyProtection="1">
      <alignment horizontal="center" vertical="center" wrapText="1"/>
    </xf>
    <xf numFmtId="0" fontId="22" fillId="10" borderId="12" xfId="0" applyFont="1" applyFill="1" applyBorder="1" applyAlignment="1">
      <alignment horizontal="center" vertical="center"/>
    </xf>
    <xf numFmtId="0" fontId="37" fillId="10" borderId="17" xfId="49" applyFont="1" applyFill="1" applyBorder="1" applyAlignment="1" applyProtection="1">
      <alignment horizontal="center" vertical="center" wrapText="1"/>
    </xf>
    <xf numFmtId="0" fontId="22" fillId="17" borderId="12" xfId="0" applyFont="1" applyFill="1" applyBorder="1" applyAlignment="1">
      <alignment horizontal="center" vertical="center"/>
    </xf>
    <xf numFmtId="0" fontId="38" fillId="17" borderId="13" xfId="49" applyFont="1" applyFill="1" applyBorder="1" applyAlignment="1" applyProtection="1">
      <alignment horizontal="center" vertical="center" wrapText="1"/>
    </xf>
    <xf numFmtId="0" fontId="36" fillId="18" borderId="20" xfId="49" applyFont="1" applyFill="1" applyBorder="1" applyAlignment="1" applyProtection="1">
      <alignment horizontal="center" vertical="center" wrapText="1"/>
    </xf>
    <xf numFmtId="0" fontId="36" fillId="18" borderId="10" xfId="49" applyFont="1" applyFill="1" applyBorder="1" applyAlignment="1" applyProtection="1">
      <alignment horizontal="center" vertical="center" wrapText="1"/>
    </xf>
    <xf numFmtId="0" fontId="36" fillId="18" borderId="16" xfId="49" applyFont="1" applyFill="1" applyBorder="1" applyAlignment="1" applyProtection="1">
      <alignment horizontal="center" vertical="center" wrapText="1"/>
    </xf>
    <xf numFmtId="0" fontId="36" fillId="18" borderId="21" xfId="49" applyFont="1" applyFill="1" applyBorder="1" applyAlignment="1" applyProtection="1">
      <alignment horizontal="center" vertical="center" wrapText="1"/>
    </xf>
    <xf numFmtId="0" fontId="36" fillId="18" borderId="0" xfId="49" applyFont="1" applyFill="1" applyAlignment="1" applyProtection="1">
      <alignment horizontal="center" vertical="center" wrapText="1"/>
    </xf>
    <xf numFmtId="0" fontId="36" fillId="18" borderId="17" xfId="49" applyFont="1" applyFill="1" applyBorder="1" applyAlignment="1" applyProtection="1">
      <alignment horizontal="center" vertical="center" wrapText="1"/>
    </xf>
    <xf numFmtId="0" fontId="36" fillId="18" borderId="22" xfId="49" applyFont="1" applyFill="1" applyBorder="1" applyAlignment="1" applyProtection="1">
      <alignment horizontal="center" vertical="center" wrapText="1"/>
    </xf>
    <xf numFmtId="0" fontId="36" fillId="18" borderId="18" xfId="49" applyFont="1" applyFill="1" applyBorder="1" applyAlignment="1" applyProtection="1">
      <alignment horizontal="center" vertical="center" wrapText="1"/>
    </xf>
    <xf numFmtId="0" fontId="36" fillId="18" borderId="19" xfId="49" applyFont="1" applyFill="1" applyBorder="1" applyAlignment="1" applyProtection="1">
      <alignment horizontal="center" vertical="center" wrapText="1"/>
    </xf>
    <xf numFmtId="0" fontId="23" fillId="19" borderId="12" xfId="0" applyFont="1" applyFill="1" applyBorder="1" applyAlignment="1">
      <alignment horizontal="center" vertical="center"/>
    </xf>
    <xf numFmtId="0" fontId="39" fillId="19" borderId="16" xfId="49" applyFont="1" applyFill="1" applyBorder="1" applyAlignment="1" applyProtection="1">
      <alignment horizontal="center" vertical="center" wrapText="1"/>
    </xf>
    <xf numFmtId="0" fontId="0" fillId="0" borderId="0" xfId="49" applyFont="1" applyFill="1" applyBorder="1" applyAlignment="1" applyProtection="1">
      <alignment vertical="center" wrapText="1"/>
    </xf>
    <xf numFmtId="0" fontId="0" fillId="0" borderId="0" xfId="49" applyFont="1" applyFill="1" applyBorder="1" applyAlignment="1">
      <alignment vertical="center"/>
      <protection locked="0"/>
    </xf>
    <xf numFmtId="0" fontId="23" fillId="0" borderId="12" xfId="0" applyFont="1" applyFill="1" applyBorder="1" applyAlignment="1">
      <alignment horizontal="center" vertical="center"/>
    </xf>
    <xf numFmtId="0" fontId="39" fillId="19" borderId="17" xfId="49" applyFont="1" applyFill="1" applyBorder="1" applyAlignment="1" applyProtection="1">
      <alignment horizontal="center" vertical="center" wrapText="1"/>
    </xf>
    <xf numFmtId="0" fontId="0" fillId="0" borderId="0" xfId="49" applyFont="1" applyFill="1" applyBorder="1" applyAlignment="1" applyProtection="1">
      <alignment vertical="center"/>
    </xf>
    <xf numFmtId="0" fontId="0" fillId="0" borderId="0" xfId="49" applyFont="1" applyAlignment="1" applyProtection="1">
      <alignment vertical="center"/>
    </xf>
    <xf numFmtId="0" fontId="23" fillId="20" borderId="12" xfId="0" applyFont="1" applyFill="1" applyBorder="1" applyAlignment="1">
      <alignment horizontal="center" vertical="center"/>
    </xf>
    <xf numFmtId="0" fontId="39" fillId="20" borderId="17" xfId="49" applyFont="1" applyFill="1" applyBorder="1" applyAlignment="1" applyProtection="1">
      <alignment horizontal="center" vertical="center" wrapText="1"/>
    </xf>
    <xf numFmtId="0" fontId="0" fillId="21" borderId="20" xfId="49" applyFont="1" applyFill="1" applyBorder="1" applyAlignment="1" applyProtection="1">
      <alignment horizontal="center" vertical="center"/>
    </xf>
    <xf numFmtId="0" fontId="0" fillId="21" borderId="10" xfId="49" applyFont="1" applyFill="1" applyBorder="1" applyAlignment="1" applyProtection="1">
      <alignment horizontal="center" vertical="center"/>
    </xf>
    <xf numFmtId="0" fontId="0" fillId="21" borderId="16" xfId="49" applyFont="1" applyFill="1" applyBorder="1" applyAlignment="1" applyProtection="1">
      <alignment horizontal="center" vertical="center"/>
    </xf>
    <xf numFmtId="0" fontId="0" fillId="21" borderId="21" xfId="49" applyFont="1" applyFill="1" applyBorder="1" applyAlignment="1" applyProtection="1">
      <alignment horizontal="center" vertical="center"/>
    </xf>
    <xf numFmtId="0" fontId="0" fillId="21" borderId="0" xfId="49" applyFont="1" applyFill="1" applyAlignment="1" applyProtection="1">
      <alignment horizontal="center" vertical="center"/>
    </xf>
    <xf numFmtId="0" fontId="0" fillId="21" borderId="17" xfId="49" applyFont="1" applyFill="1" applyBorder="1" applyAlignment="1" applyProtection="1">
      <alignment horizontal="center" vertical="center"/>
    </xf>
    <xf numFmtId="0" fontId="0" fillId="21" borderId="22" xfId="49" applyFont="1" applyFill="1" applyBorder="1" applyAlignment="1" applyProtection="1">
      <alignment horizontal="center" vertical="center"/>
    </xf>
    <xf numFmtId="0" fontId="0" fillId="21" borderId="18" xfId="49" applyFont="1" applyFill="1" applyBorder="1" applyAlignment="1" applyProtection="1">
      <alignment horizontal="center" vertical="center"/>
    </xf>
    <xf numFmtId="0" fontId="0" fillId="21" borderId="19" xfId="49" applyFont="1" applyFill="1" applyBorder="1" applyAlignment="1" applyProtection="1">
      <alignment horizontal="center" vertical="center"/>
    </xf>
    <xf numFmtId="0" fontId="0" fillId="10" borderId="20" xfId="49" applyFont="1" applyFill="1" applyBorder="1" applyAlignment="1" applyProtection="1">
      <alignment horizontal="center" vertical="center" wrapText="1"/>
    </xf>
    <xf numFmtId="0" fontId="0" fillId="10" borderId="10" xfId="49" applyFont="1" applyFill="1" applyBorder="1" applyAlignment="1" applyProtection="1">
      <alignment horizontal="center" vertical="center"/>
    </xf>
    <xf numFmtId="0" fontId="0" fillId="10" borderId="16" xfId="49" applyFont="1" applyFill="1" applyBorder="1" applyAlignment="1" applyProtection="1">
      <alignment horizontal="center" vertical="center"/>
    </xf>
    <xf numFmtId="0" fontId="0" fillId="10" borderId="21" xfId="49" applyFont="1" applyFill="1" applyBorder="1" applyAlignment="1" applyProtection="1">
      <alignment horizontal="center" vertical="center"/>
    </xf>
    <xf numFmtId="0" fontId="0" fillId="10" borderId="0" xfId="49" applyFont="1" applyFill="1" applyAlignment="1" applyProtection="1">
      <alignment horizontal="center" vertical="center"/>
    </xf>
    <xf numFmtId="0" fontId="0" fillId="10" borderId="17" xfId="49" applyFont="1" applyFill="1" applyBorder="1" applyAlignment="1" applyProtection="1">
      <alignment horizontal="center" vertical="center"/>
    </xf>
    <xf numFmtId="0" fontId="17" fillId="0" borderId="12" xfId="49" applyFont="1" applyBorder="1" applyAlignment="1" applyProtection="1">
      <alignment horizontal="center" vertical="center"/>
    </xf>
    <xf numFmtId="0" fontId="23" fillId="21" borderId="12" xfId="0" applyFont="1" applyFill="1" applyBorder="1" applyAlignment="1">
      <alignment horizontal="center" vertical="center"/>
    </xf>
    <xf numFmtId="0" fontId="0" fillId="10" borderId="22" xfId="49" applyFont="1" applyFill="1" applyBorder="1" applyAlignment="1" applyProtection="1">
      <alignment horizontal="center" vertical="center"/>
    </xf>
    <xf numFmtId="0" fontId="0" fillId="10" borderId="18" xfId="49" applyFont="1" applyFill="1" applyBorder="1" applyAlignment="1" applyProtection="1">
      <alignment horizontal="center" vertical="center"/>
    </xf>
    <xf numFmtId="0" fontId="0" fillId="10" borderId="19" xfId="49" applyFont="1" applyFill="1" applyBorder="1" applyAlignment="1" applyProtection="1">
      <alignment horizontal="center" vertical="center"/>
    </xf>
    <xf numFmtId="0" fontId="23" fillId="10" borderId="12" xfId="0" applyFont="1" applyFill="1" applyBorder="1" applyAlignment="1">
      <alignment horizontal="center" vertical="center"/>
    </xf>
    <xf numFmtId="0" fontId="0" fillId="0" borderId="21" xfId="49" applyFont="1" applyFill="1" applyBorder="1" applyAlignment="1" applyProtection="1">
      <alignment vertical="center"/>
    </xf>
    <xf numFmtId="0" fontId="23" fillId="22" borderId="12" xfId="0" applyFont="1" applyFill="1" applyBorder="1" applyAlignment="1">
      <alignment horizontal="center" vertical="center"/>
    </xf>
    <xf numFmtId="0" fontId="30" fillId="22" borderId="17" xfId="49" applyFont="1" applyFill="1" applyBorder="1" applyAlignment="1" applyProtection="1">
      <alignment horizontal="center" vertical="center" wrapText="1"/>
    </xf>
    <xf numFmtId="0" fontId="0" fillId="0" borderId="21" xfId="49" applyFont="1" applyBorder="1" applyAlignment="1" applyProtection="1">
      <alignment vertical="center"/>
    </xf>
    <xf numFmtId="0" fontId="30" fillId="22" borderId="19" xfId="49" applyFont="1" applyFill="1" applyBorder="1" applyAlignment="1" applyProtection="1">
      <alignment horizontal="center" vertical="center" wrapText="1"/>
    </xf>
    <xf numFmtId="0" fontId="23" fillId="23" borderId="12" xfId="0" applyFont="1" applyFill="1" applyBorder="1" applyAlignment="1">
      <alignment horizontal="center" vertical="center"/>
    </xf>
    <xf numFmtId="0" fontId="40" fillId="23" borderId="0" xfId="49" applyFont="1" applyFill="1" applyAlignment="1" applyProtection="1">
      <alignment horizontal="center" vertical="center" wrapText="1"/>
    </xf>
    <xf numFmtId="0" fontId="41" fillId="24" borderId="4" xfId="49" applyFont="1" applyFill="1" applyBorder="1" applyAlignment="1" applyProtection="1">
      <alignment horizontal="center" vertical="center"/>
    </xf>
    <xf numFmtId="0" fontId="41" fillId="24" borderId="5" xfId="49" applyFont="1" applyFill="1" applyBorder="1" applyAlignment="1" applyProtection="1">
      <alignment horizontal="center" vertical="center"/>
    </xf>
    <xf numFmtId="0" fontId="41" fillId="24" borderId="11" xfId="49" applyFont="1" applyFill="1" applyBorder="1" applyAlignment="1" applyProtection="1">
      <alignment horizontal="center" vertical="center"/>
    </xf>
    <xf numFmtId="0" fontId="18" fillId="16" borderId="9" xfId="49" applyFont="1" applyFill="1" applyBorder="1" applyAlignment="1" applyProtection="1">
      <alignment horizontal="center" vertical="center"/>
    </xf>
    <xf numFmtId="0" fontId="18" fillId="16" borderId="10" xfId="49" applyFont="1" applyFill="1" applyBorder="1" applyAlignment="1" applyProtection="1">
      <alignment horizontal="center" vertical="center"/>
    </xf>
    <xf numFmtId="0" fontId="18" fillId="16" borderId="15" xfId="49" applyFont="1" applyFill="1" applyBorder="1" applyAlignment="1" applyProtection="1">
      <alignment horizontal="center" vertical="center"/>
    </xf>
    <xf numFmtId="0" fontId="18" fillId="0" borderId="6" xfId="49" applyFont="1" applyFill="1" applyBorder="1" applyAlignment="1" applyProtection="1">
      <alignment horizontal="center" vertical="center"/>
    </xf>
    <xf numFmtId="0" fontId="18" fillId="0" borderId="0" xfId="49" applyFont="1" applyFill="1" applyBorder="1" applyAlignment="1" applyProtection="1">
      <alignment horizontal="center" vertical="center"/>
    </xf>
    <xf numFmtId="0" fontId="18" fillId="0" borderId="0" xfId="49" applyFont="1" applyFill="1" applyAlignment="1" applyProtection="1">
      <alignment horizontal="center" vertical="center"/>
    </xf>
    <xf numFmtId="0" fontId="18" fillId="0" borderId="12" xfId="49" applyFont="1" applyFill="1" applyBorder="1" applyAlignment="1" applyProtection="1">
      <alignment horizontal="center" vertical="center"/>
    </xf>
    <xf numFmtId="0" fontId="40" fillId="23" borderId="18" xfId="49" applyFont="1" applyFill="1" applyBorder="1" applyAlignment="1" applyProtection="1">
      <alignment horizontal="center" vertical="center" wrapText="1"/>
    </xf>
    <xf numFmtId="49" fontId="1" fillId="0" borderId="0" xfId="0" applyNumberFormat="1" applyFont="1" applyFill="1" applyBorder="1" applyProtection="1">
      <alignment vertical="center"/>
      <protection locked="0"/>
    </xf>
    <xf numFmtId="0" fontId="18" fillId="0" borderId="0" xfId="49" applyFont="1" applyFill="1" applyBorder="1" applyAlignment="1">
      <alignment vertical="center" wrapText="1"/>
      <protection locked="0"/>
    </xf>
    <xf numFmtId="0" fontId="18" fillId="0" borderId="0" xfId="49" applyFont="1" applyFill="1" applyBorder="1" applyAlignment="1">
      <alignment vertical="center"/>
      <protection locked="0"/>
    </xf>
    <xf numFmtId="0" fontId="23" fillId="25" borderId="6" xfId="0" applyNumberFormat="1" applyFont="1" applyFill="1" applyBorder="1" applyAlignment="1">
      <alignment horizontal="left" vertical="center"/>
    </xf>
    <xf numFmtId="0" fontId="17" fillId="25" borderId="0" xfId="49" applyNumberFormat="1" applyFont="1" applyFill="1" applyAlignment="1" applyProtection="1">
      <alignment horizontal="center" vertical="center"/>
    </xf>
    <xf numFmtId="0" fontId="23" fillId="25" borderId="0" xfId="0" applyNumberFormat="1" applyFont="1" applyFill="1" applyBorder="1" applyAlignment="1">
      <alignment horizontal="center" vertical="center"/>
    </xf>
    <xf numFmtId="0" fontId="17" fillId="0" borderId="6" xfId="0" applyNumberFormat="1" applyFont="1" applyFill="1" applyBorder="1" applyAlignment="1">
      <alignment horizontal="left" vertical="center"/>
    </xf>
    <xf numFmtId="0" fontId="17" fillId="0" borderId="0" xfId="0" applyNumberFormat="1" applyFont="1" applyFill="1" applyBorder="1" applyAlignment="1">
      <alignment horizontal="center" vertical="center"/>
    </xf>
    <xf numFmtId="0" fontId="23" fillId="26" borderId="6" xfId="0" applyNumberFormat="1" applyFont="1" applyFill="1" applyBorder="1" applyAlignment="1">
      <alignment horizontal="left" vertical="center"/>
    </xf>
    <xf numFmtId="0" fontId="17" fillId="26" borderId="0" xfId="49" applyNumberFormat="1" applyFont="1" applyFill="1" applyAlignment="1" applyProtection="1">
      <alignment horizontal="center" vertical="center"/>
    </xf>
    <xf numFmtId="0" fontId="23" fillId="26" borderId="0" xfId="0" applyNumberFormat="1" applyFont="1" applyFill="1" applyBorder="1" applyAlignment="1">
      <alignment horizontal="center" vertical="center"/>
    </xf>
    <xf numFmtId="0" fontId="17" fillId="27" borderId="6" xfId="49" applyFont="1" applyFill="1" applyBorder="1" applyAlignment="1" applyProtection="1">
      <alignment vertical="center"/>
    </xf>
    <xf numFmtId="0" fontId="17" fillId="27" borderId="0" xfId="49" applyFont="1" applyFill="1" applyBorder="1" applyAlignment="1" applyProtection="1">
      <alignment horizontal="center" vertical="center"/>
    </xf>
    <xf numFmtId="0" fontId="23" fillId="0" borderId="24" xfId="0" applyNumberFormat="1" applyFont="1" applyFill="1" applyBorder="1" applyAlignment="1" applyProtection="1">
      <alignment horizontal="left" vertical="center"/>
      <protection locked="0"/>
    </xf>
    <xf numFmtId="0" fontId="17" fillId="0" borderId="24" xfId="49" applyNumberFormat="1" applyFont="1" applyFill="1" applyBorder="1" applyAlignment="1">
      <alignment horizontal="center" vertical="center"/>
      <protection locked="0"/>
    </xf>
    <xf numFmtId="0" fontId="23" fillId="0" borderId="24" xfId="0" applyNumberFormat="1" applyFont="1" applyFill="1" applyBorder="1" applyAlignment="1" applyProtection="1">
      <alignment horizontal="center" vertical="center"/>
      <protection locked="0"/>
    </xf>
    <xf numFmtId="0" fontId="17" fillId="0" borderId="0" xfId="49" applyFont="1" applyAlignment="1" applyProtection="1">
      <alignment vertical="center"/>
    </xf>
    <xf numFmtId="0" fontId="42" fillId="28" borderId="4" xfId="49" applyNumberFormat="1" applyFont="1" applyFill="1" applyBorder="1" applyAlignment="1" applyProtection="1">
      <alignment horizontal="center" vertical="center"/>
    </xf>
    <xf numFmtId="0" fontId="42" fillId="28" borderId="5" xfId="49" applyNumberFormat="1" applyFont="1" applyFill="1" applyBorder="1" applyAlignment="1" applyProtection="1">
      <alignment horizontal="center" vertical="center"/>
    </xf>
    <xf numFmtId="0" fontId="43" fillId="0" borderId="25" xfId="49" applyNumberFormat="1" applyFont="1" applyBorder="1" applyAlignment="1" applyProtection="1">
      <alignment horizontal="center" vertical="center"/>
    </xf>
    <xf numFmtId="0" fontId="44" fillId="0" borderId="26" xfId="49" applyNumberFormat="1" applyFont="1" applyBorder="1" applyAlignment="1" applyProtection="1">
      <alignment horizontal="center" vertical="center"/>
    </xf>
    <xf numFmtId="0" fontId="45" fillId="0" borderId="27" xfId="49" applyNumberFormat="1" applyFont="1" applyBorder="1" applyAlignment="1" applyProtection="1">
      <alignment horizontal="center" vertical="center"/>
    </xf>
    <xf numFmtId="0" fontId="7" fillId="0" borderId="28" xfId="49" applyNumberFormat="1" applyFont="1" applyBorder="1" applyAlignment="1" applyProtection="1">
      <alignment horizontal="center" vertical="center"/>
    </xf>
    <xf numFmtId="0" fontId="46" fillId="0" borderId="0" xfId="49" applyNumberFormat="1" applyFont="1" applyBorder="1" applyAlignment="1" applyProtection="1">
      <alignment vertical="center"/>
    </xf>
    <xf numFmtId="49" fontId="17" fillId="0" borderId="0" xfId="49" applyNumberFormat="1" applyFont="1" applyAlignment="1">
      <alignment vertical="center"/>
      <protection locked="0"/>
    </xf>
    <xf numFmtId="0" fontId="7" fillId="0" borderId="0" xfId="49" applyNumberFormat="1" applyFont="1" applyFill="1" applyBorder="1" applyAlignment="1" applyProtection="1">
      <alignment vertical="center"/>
    </xf>
    <xf numFmtId="0" fontId="7" fillId="0" borderId="0" xfId="49" applyNumberFormat="1" applyFont="1" applyFill="1" applyBorder="1" applyAlignment="1" applyProtection="1">
      <alignment vertical="center" wrapText="1"/>
    </xf>
    <xf numFmtId="0" fontId="44" fillId="0" borderId="0" xfId="49" applyNumberFormat="1" applyFont="1" applyFill="1" applyBorder="1" applyAlignment="1" applyProtection="1">
      <alignment vertical="center" wrapText="1"/>
    </xf>
    <xf numFmtId="0" fontId="23" fillId="16" borderId="12" xfId="0" applyNumberFormat="1" applyFont="1" applyFill="1" applyBorder="1" applyAlignment="1">
      <alignment horizontal="center" vertical="center"/>
    </xf>
    <xf numFmtId="58" fontId="17" fillId="16" borderId="12" xfId="0" applyNumberFormat="1" applyFont="1" applyFill="1" applyBorder="1" applyAlignment="1">
      <alignment horizontal="center" vertical="center"/>
    </xf>
    <xf numFmtId="0" fontId="23" fillId="25" borderId="12" xfId="0" applyNumberFormat="1" applyFont="1" applyFill="1" applyBorder="1" applyAlignment="1">
      <alignment horizontal="center" vertical="center"/>
    </xf>
    <xf numFmtId="0" fontId="26" fillId="25" borderId="16" xfId="49" applyNumberFormat="1" applyFont="1" applyFill="1" applyBorder="1" applyAlignment="1" applyProtection="1">
      <alignment horizontal="center" vertical="center" wrapText="1"/>
    </xf>
    <xf numFmtId="0" fontId="18" fillId="0" borderId="13" xfId="49" applyNumberFormat="1" applyFont="1" applyFill="1" applyBorder="1" applyAlignment="1" applyProtection="1">
      <alignment horizontal="center" vertical="center" wrapText="1"/>
    </xf>
    <xf numFmtId="0" fontId="18" fillId="26" borderId="3" xfId="49" applyNumberFormat="1" applyFont="1" applyFill="1" applyBorder="1" applyAlignment="1" applyProtection="1">
      <alignment horizontal="left" vertical="center" wrapText="1"/>
    </xf>
    <xf numFmtId="0" fontId="17" fillId="0" borderId="12" xfId="0" applyNumberFormat="1" applyFont="1" applyFill="1" applyBorder="1" applyAlignment="1">
      <alignment horizontal="center" vertical="center"/>
    </xf>
    <xf numFmtId="0" fontId="23" fillId="26" borderId="12" xfId="0" applyNumberFormat="1" applyFont="1" applyFill="1" applyBorder="1" applyAlignment="1">
      <alignment horizontal="center" vertical="center"/>
    </xf>
    <xf numFmtId="0" fontId="18" fillId="27" borderId="3" xfId="49" applyNumberFormat="1" applyFont="1" applyFill="1" applyBorder="1" applyAlignment="1" applyProtection="1">
      <alignment horizontal="left" vertical="center" wrapText="1"/>
    </xf>
    <xf numFmtId="0" fontId="17" fillId="27" borderId="12" xfId="49" applyFont="1" applyFill="1" applyBorder="1" applyAlignment="1" applyProtection="1">
      <alignment horizontal="center" vertical="center"/>
    </xf>
    <xf numFmtId="0" fontId="39" fillId="0" borderId="13" xfId="49" applyNumberFormat="1" applyFont="1" applyFill="1" applyBorder="1" applyAlignment="1" applyProtection="1">
      <alignment horizontal="center" vertical="center" wrapText="1"/>
    </xf>
    <xf numFmtId="0" fontId="18" fillId="0" borderId="0" xfId="49" applyFont="1" applyAlignment="1" applyProtection="1">
      <alignment vertical="center"/>
    </xf>
    <xf numFmtId="0" fontId="47" fillId="0" borderId="0" xfId="49" applyNumberFormat="1" applyFont="1" applyFill="1" applyBorder="1" applyAlignment="1" applyProtection="1">
      <alignment vertical="center" wrapText="1"/>
    </xf>
    <xf numFmtId="0" fontId="18" fillId="0" borderId="0" xfId="49" applyBorder="1" applyAlignment="1" applyProtection="1">
      <alignment vertical="center"/>
    </xf>
    <xf numFmtId="0" fontId="42" fillId="28" borderId="11" xfId="49" applyNumberFormat="1" applyFont="1" applyFill="1" applyBorder="1" applyAlignment="1" applyProtection="1">
      <alignment horizontal="center" vertical="center"/>
    </xf>
    <xf numFmtId="0" fontId="44" fillId="0" borderId="29" xfId="49" applyNumberFormat="1" applyFont="1" applyBorder="1" applyAlignment="1" applyProtection="1">
      <alignment horizontal="center" vertical="center"/>
    </xf>
    <xf numFmtId="0" fontId="7" fillId="0" borderId="30" xfId="49" applyNumberFormat="1" applyFont="1" applyBorder="1" applyAlignment="1" applyProtection="1">
      <alignment horizontal="center" vertical="center"/>
    </xf>
    <xf numFmtId="0" fontId="18" fillId="0" borderId="0" xfId="49" applyNumberFormat="1" applyFont="1" applyFill="1" applyBorder="1" applyAlignment="1" applyProtection="1">
      <alignment horizontal="center" vertical="center" wrapText="1"/>
    </xf>
    <xf numFmtId="0" fontId="18" fillId="0" borderId="0" xfId="49" applyNumberFormat="1" applyFont="1" applyFill="1" applyBorder="1" applyAlignment="1" applyProtection="1">
      <alignment horizontal="center" vertical="center"/>
    </xf>
    <xf numFmtId="0" fontId="44" fillId="0" borderId="0" xfId="49" applyNumberFormat="1" applyFont="1" applyFill="1" applyBorder="1" applyAlignment="1" applyProtection="1">
      <alignment horizontal="center" vertical="center"/>
    </xf>
    <xf numFmtId="0" fontId="44" fillId="0" borderId="0" xfId="49" applyNumberFormat="1" applyFont="1" applyFill="1" applyBorder="1" applyAlignment="1" applyProtection="1">
      <alignment vertical="center"/>
    </xf>
    <xf numFmtId="0" fontId="48" fillId="0" borderId="9" xfId="0" applyFont="1" applyFill="1" applyBorder="1" applyAlignment="1">
      <alignment horizontal="left" vertical="center"/>
    </xf>
    <xf numFmtId="0" fontId="48" fillId="0" borderId="10" xfId="0" applyFont="1" applyFill="1" applyBorder="1" applyAlignment="1">
      <alignment horizontal="center" vertical="center"/>
    </xf>
    <xf numFmtId="0" fontId="10" fillId="0" borderId="10" xfId="49" applyFont="1" applyBorder="1" applyAlignment="1" applyProtection="1">
      <alignment vertical="center"/>
    </xf>
    <xf numFmtId="0" fontId="48" fillId="0" borderId="6" xfId="0" applyFont="1" applyFill="1" applyBorder="1" applyAlignment="1">
      <alignment horizontal="left" vertical="center"/>
    </xf>
    <xf numFmtId="0" fontId="48" fillId="0" borderId="0" xfId="0" applyFont="1" applyFill="1" applyBorder="1" applyAlignment="1">
      <alignment horizontal="center" vertical="center"/>
    </xf>
    <xf numFmtId="0" fontId="10" fillId="0" borderId="0" xfId="49" applyFont="1" applyAlignment="1" applyProtection="1">
      <alignment vertical="center"/>
    </xf>
    <xf numFmtId="0" fontId="48" fillId="0" borderId="27" xfId="0" applyFont="1" applyFill="1" applyBorder="1" applyAlignment="1">
      <alignment horizontal="left" vertical="center"/>
    </xf>
    <xf numFmtId="0" fontId="48" fillId="0" borderId="28" xfId="0" applyFont="1" applyFill="1" applyBorder="1" applyAlignment="1">
      <alignment horizontal="center" vertical="center"/>
    </xf>
    <xf numFmtId="0" fontId="10" fillId="0" borderId="28" xfId="49" applyFont="1" applyBorder="1" applyAlignment="1" applyProtection="1">
      <alignment vertical="center"/>
    </xf>
    <xf numFmtId="49" fontId="10" fillId="0" borderId="0" xfId="49" applyNumberFormat="1" applyFont="1" applyFill="1" applyAlignment="1" applyProtection="1">
      <alignment vertical="center"/>
    </xf>
    <xf numFmtId="0" fontId="10" fillId="0" borderId="0" xfId="49" applyFont="1" applyFill="1" applyAlignment="1" applyProtection="1">
      <alignment vertical="center"/>
    </xf>
    <xf numFmtId="0" fontId="0" fillId="0" borderId="0" xfId="49" applyFont="1" applyFill="1" applyAlignment="1" applyProtection="1">
      <alignment vertical="center"/>
    </xf>
    <xf numFmtId="49" fontId="42" fillId="28" borderId="4" xfId="49" applyNumberFormat="1" applyFont="1" applyFill="1" applyBorder="1" applyAlignment="1" applyProtection="1">
      <alignment horizontal="center" vertical="center"/>
    </xf>
    <xf numFmtId="49" fontId="42" fillId="28" borderId="5" xfId="49" applyNumberFormat="1" applyFont="1" applyFill="1" applyBorder="1" applyAlignment="1" applyProtection="1">
      <alignment horizontal="center" vertical="center"/>
    </xf>
    <xf numFmtId="49" fontId="43" fillId="0" borderId="9" xfId="49" applyNumberFormat="1" applyFont="1" applyBorder="1" applyAlignment="1" applyProtection="1">
      <alignment horizontal="center" vertical="center" wrapText="1"/>
    </xf>
    <xf numFmtId="49" fontId="43" fillId="0" borderId="10" xfId="49" applyNumberFormat="1" applyFont="1" applyBorder="1" applyAlignment="1" applyProtection="1">
      <alignment horizontal="center" vertical="center" wrapText="1"/>
    </xf>
    <xf numFmtId="49" fontId="43" fillId="0" borderId="6" xfId="49" applyNumberFormat="1" applyFont="1" applyBorder="1" applyAlignment="1" applyProtection="1">
      <alignment horizontal="center" vertical="center" wrapText="1"/>
    </xf>
    <xf numFmtId="49" fontId="43" fillId="0" borderId="0" xfId="49" applyNumberFormat="1" applyFont="1" applyAlignment="1" applyProtection="1">
      <alignment horizontal="center" vertical="center" wrapText="1"/>
    </xf>
    <xf numFmtId="49" fontId="43" fillId="0" borderId="31" xfId="49" applyNumberFormat="1" applyFont="1" applyBorder="1" applyAlignment="1" applyProtection="1">
      <alignment horizontal="center" vertical="center" wrapText="1"/>
    </xf>
    <xf numFmtId="49" fontId="43" fillId="0" borderId="18" xfId="49" applyNumberFormat="1" applyFont="1" applyBorder="1" applyAlignment="1" applyProtection="1">
      <alignment horizontal="center" vertical="center" wrapText="1"/>
    </xf>
    <xf numFmtId="49" fontId="43" fillId="0" borderId="10" xfId="49" applyNumberFormat="1" applyFont="1" applyBorder="1" applyAlignment="1" applyProtection="1">
      <alignment horizontal="center" vertical="center"/>
    </xf>
    <xf numFmtId="49" fontId="43" fillId="0" borderId="6" xfId="49" applyNumberFormat="1" applyFont="1" applyBorder="1" applyAlignment="1" applyProtection="1">
      <alignment horizontal="center" vertical="center"/>
    </xf>
    <xf numFmtId="49" fontId="43" fillId="0" borderId="0" xfId="49" applyNumberFormat="1" applyFont="1" applyAlignment="1" applyProtection="1">
      <alignment horizontal="center" vertical="center"/>
    </xf>
    <xf numFmtId="49" fontId="46" fillId="0" borderId="6" xfId="49" applyNumberFormat="1" applyFont="1" applyBorder="1" applyAlignment="1" applyProtection="1">
      <alignment horizontal="center" vertical="center"/>
    </xf>
    <xf numFmtId="49" fontId="46" fillId="0" borderId="0" xfId="49" applyNumberFormat="1" applyFont="1" applyBorder="1" applyAlignment="1" applyProtection="1">
      <alignment horizontal="center" vertical="center"/>
    </xf>
    <xf numFmtId="49" fontId="45" fillId="0" borderId="6" xfId="49" applyNumberFormat="1" applyFont="1" applyBorder="1" applyAlignment="1" applyProtection="1">
      <alignment horizontal="center" vertical="center" wrapText="1"/>
    </xf>
    <xf numFmtId="49" fontId="45" fillId="0" borderId="0" xfId="49" applyNumberFormat="1" applyFont="1" applyAlignment="1" applyProtection="1">
      <alignment horizontal="center" vertical="center" wrapText="1"/>
    </xf>
    <xf numFmtId="49" fontId="45" fillId="0" borderId="9" xfId="49" applyNumberFormat="1" applyFont="1" applyBorder="1" applyAlignment="1" applyProtection="1">
      <alignment horizontal="center" vertical="center" wrapText="1"/>
    </xf>
    <xf numFmtId="49" fontId="45" fillId="0" borderId="10" xfId="49" applyNumberFormat="1" applyFont="1" applyBorder="1" applyAlignment="1" applyProtection="1">
      <alignment horizontal="center" vertical="center" wrapText="1"/>
    </xf>
    <xf numFmtId="49" fontId="45" fillId="0" borderId="31" xfId="49" applyNumberFormat="1" applyFont="1" applyBorder="1" applyAlignment="1" applyProtection="1">
      <alignment horizontal="center" vertical="center" wrapText="1"/>
    </xf>
    <xf numFmtId="49" fontId="45" fillId="0" borderId="18" xfId="49" applyNumberFormat="1" applyFont="1" applyBorder="1" applyAlignment="1" applyProtection="1">
      <alignment horizontal="center" vertical="center" wrapText="1"/>
    </xf>
    <xf numFmtId="49" fontId="45" fillId="0" borderId="0" xfId="49" applyNumberFormat="1" applyFont="1" applyAlignment="1" applyProtection="1">
      <alignment horizontal="center" vertical="center"/>
    </xf>
    <xf numFmtId="49" fontId="45" fillId="0" borderId="31" xfId="49" applyNumberFormat="1" applyFont="1" applyBorder="1" applyAlignment="1" applyProtection="1">
      <alignment horizontal="center" vertical="center"/>
    </xf>
    <xf numFmtId="49" fontId="45" fillId="0" borderId="18" xfId="49" applyNumberFormat="1" applyFont="1" applyBorder="1" applyAlignment="1" applyProtection="1">
      <alignment horizontal="center" vertical="center"/>
    </xf>
    <xf numFmtId="49" fontId="45" fillId="0" borderId="27" xfId="49" applyNumberFormat="1" applyFont="1" applyBorder="1" applyAlignment="1" applyProtection="1">
      <alignment horizontal="center" vertical="center"/>
    </xf>
    <xf numFmtId="49" fontId="45" fillId="0" borderId="28" xfId="49" applyNumberFormat="1" applyFont="1" applyBorder="1" applyAlignment="1" applyProtection="1">
      <alignment horizontal="center" vertical="center"/>
    </xf>
    <xf numFmtId="0" fontId="49" fillId="29" borderId="4" xfId="0" applyFont="1" applyFill="1" applyBorder="1" applyAlignment="1">
      <alignment horizontal="center" vertical="center"/>
    </xf>
    <xf numFmtId="0" fontId="49" fillId="29" borderId="5" xfId="0" applyFont="1" applyFill="1" applyBorder="1" applyAlignment="1">
      <alignment horizontal="center" vertical="center"/>
    </xf>
    <xf numFmtId="0" fontId="49" fillId="29" borderId="6" xfId="0" applyFont="1" applyFill="1" applyBorder="1" applyAlignment="1">
      <alignment horizontal="center" vertical="center"/>
    </xf>
    <xf numFmtId="0" fontId="49" fillId="29" borderId="0" xfId="0" applyFont="1" applyFill="1" applyAlignment="1">
      <alignment horizontal="center" vertical="center"/>
    </xf>
    <xf numFmtId="0" fontId="49" fillId="29" borderId="27" xfId="0" applyFont="1" applyFill="1" applyBorder="1" applyAlignment="1">
      <alignment horizontal="center" vertical="center"/>
    </xf>
    <xf numFmtId="0" fontId="49" fillId="29" borderId="28" xfId="0" applyFont="1" applyFill="1" applyBorder="1" applyAlignment="1">
      <alignment horizontal="center" vertical="center"/>
    </xf>
    <xf numFmtId="0" fontId="50" fillId="0" borderId="0" xfId="0" applyFont="1" applyFill="1" applyAlignment="1">
      <alignment horizontal="center" vertical="center"/>
    </xf>
    <xf numFmtId="0" fontId="51" fillId="29" borderId="4" xfId="0" applyFont="1" applyFill="1" applyBorder="1" applyAlignment="1">
      <alignment horizontal="center" vertical="center"/>
    </xf>
    <xf numFmtId="0" fontId="51" fillId="29" borderId="5" xfId="0" applyFont="1" applyFill="1" applyBorder="1" applyAlignment="1">
      <alignment horizontal="center" vertical="center"/>
    </xf>
    <xf numFmtId="0" fontId="51" fillId="29" borderId="11" xfId="0" applyFont="1" applyFill="1" applyBorder="1" applyAlignment="1">
      <alignment horizontal="center" vertical="center"/>
    </xf>
    <xf numFmtId="0" fontId="52" fillId="0" borderId="0" xfId="0" applyFont="1" applyFill="1" applyBorder="1">
      <alignment vertical="center"/>
    </xf>
    <xf numFmtId="0" fontId="52" fillId="16" borderId="4" xfId="0" applyFont="1" applyFill="1" applyBorder="1" applyAlignment="1">
      <alignment horizontal="center" vertical="center"/>
    </xf>
    <xf numFmtId="0" fontId="51" fillId="29" borderId="6" xfId="0" applyFont="1" applyFill="1" applyBorder="1" applyAlignment="1">
      <alignment horizontal="center" vertical="center"/>
    </xf>
    <xf numFmtId="0" fontId="51" fillId="29" borderId="0" xfId="0" applyFont="1" applyFill="1" applyAlignment="1">
      <alignment horizontal="center" vertical="center"/>
    </xf>
    <xf numFmtId="0" fontId="51" fillId="29" borderId="12" xfId="0" applyFont="1" applyFill="1" applyBorder="1" applyAlignment="1">
      <alignment horizontal="center" vertical="center"/>
    </xf>
    <xf numFmtId="0" fontId="52" fillId="16" borderId="6" xfId="0" applyFont="1" applyFill="1" applyBorder="1" applyAlignment="1">
      <alignment horizontal="center" vertical="center"/>
    </xf>
    <xf numFmtId="0" fontId="50" fillId="0" borderId="32" xfId="0" applyFont="1" applyFill="1" applyBorder="1" applyAlignment="1">
      <alignment horizontal="center" vertical="center" wrapText="1"/>
    </xf>
    <xf numFmtId="0" fontId="50" fillId="0" borderId="33" xfId="0" applyFont="1" applyFill="1" applyBorder="1" applyAlignment="1">
      <alignment horizontal="center" vertical="center" wrapText="1"/>
    </xf>
    <xf numFmtId="0" fontId="50" fillId="0" borderId="34" xfId="0" applyFont="1" applyFill="1" applyBorder="1" applyAlignment="1">
      <alignment horizontal="center" vertical="center" wrapText="1"/>
    </xf>
    <xf numFmtId="0" fontId="53" fillId="0" borderId="0" xfId="0" applyFont="1" applyFill="1" applyBorder="1" applyAlignment="1">
      <alignment vertical="center" wrapText="1"/>
    </xf>
    <xf numFmtId="0" fontId="53" fillId="0" borderId="32" xfId="0" applyFont="1" applyFill="1" applyBorder="1" applyAlignment="1">
      <alignment horizontal="center" vertical="center" wrapText="1"/>
    </xf>
    <xf numFmtId="0" fontId="50" fillId="0" borderId="6" xfId="0" applyFont="1" applyFill="1" applyBorder="1" applyAlignment="1">
      <alignment horizontal="center" vertical="center" wrapText="1"/>
    </xf>
    <xf numFmtId="0" fontId="50" fillId="0" borderId="0" xfId="0" applyFont="1" applyFill="1" applyAlignment="1">
      <alignment horizontal="center" vertical="center" wrapText="1"/>
    </xf>
    <xf numFmtId="0" fontId="50" fillId="0" borderId="12" xfId="0" applyFont="1" applyFill="1" applyBorder="1" applyAlignment="1">
      <alignment horizontal="center" vertical="center" wrapText="1"/>
    </xf>
    <xf numFmtId="0" fontId="53" fillId="0" borderId="6" xfId="0" applyFont="1" applyFill="1" applyBorder="1" applyAlignment="1">
      <alignment horizontal="center" vertical="center" wrapText="1"/>
    </xf>
    <xf numFmtId="0" fontId="50" fillId="0" borderId="27" xfId="0" applyFont="1" applyFill="1" applyBorder="1" applyAlignment="1">
      <alignment horizontal="center" vertical="center" wrapText="1"/>
    </xf>
    <xf numFmtId="0" fontId="50" fillId="0" borderId="28" xfId="0" applyFont="1" applyFill="1" applyBorder="1" applyAlignment="1">
      <alignment horizontal="center" vertical="center" wrapText="1"/>
    </xf>
    <xf numFmtId="0" fontId="50" fillId="0" borderId="30" xfId="0" applyFont="1" applyFill="1" applyBorder="1" applyAlignment="1">
      <alignment horizontal="center" vertical="center" wrapText="1"/>
    </xf>
    <xf numFmtId="0" fontId="53" fillId="0" borderId="7" xfId="0" applyFont="1" applyFill="1" applyBorder="1" applyAlignment="1">
      <alignment horizontal="center" vertical="center" wrapText="1"/>
    </xf>
    <xf numFmtId="0" fontId="50" fillId="0" borderId="0" xfId="0" applyFont="1" applyFill="1" applyBorder="1" applyAlignment="1">
      <alignment vertical="center" wrapText="1"/>
    </xf>
    <xf numFmtId="0" fontId="54" fillId="0" borderId="6" xfId="0" applyFont="1" applyFill="1" applyBorder="1" applyAlignment="1">
      <alignment horizontal="center" vertical="center" wrapText="1"/>
    </xf>
    <xf numFmtId="0" fontId="51" fillId="29" borderId="4" xfId="0" applyFont="1" applyFill="1" applyBorder="1" applyAlignment="1">
      <alignment horizontal="center" vertical="center" wrapText="1"/>
    </xf>
    <xf numFmtId="0" fontId="51" fillId="29" borderId="5" xfId="0" applyFont="1" applyFill="1" applyBorder="1" applyAlignment="1">
      <alignment horizontal="center" vertical="center" wrapText="1"/>
    </xf>
    <xf numFmtId="0" fontId="51" fillId="29" borderId="11" xfId="0" applyFont="1" applyFill="1" applyBorder="1" applyAlignment="1">
      <alignment horizontal="center" vertical="center" wrapText="1"/>
    </xf>
    <xf numFmtId="0" fontId="52" fillId="0" borderId="0" xfId="0" applyFont="1" applyFill="1" applyBorder="1" applyAlignment="1">
      <alignment vertical="center" wrapText="1"/>
    </xf>
    <xf numFmtId="0" fontId="54" fillId="0" borderId="27" xfId="0" applyFont="1" applyFill="1" applyBorder="1" applyAlignment="1">
      <alignment horizontal="center" vertical="center" wrapText="1"/>
    </xf>
    <xf numFmtId="0" fontId="51" fillId="29" borderId="7" xfId="0" applyFont="1" applyFill="1" applyBorder="1" applyAlignment="1">
      <alignment horizontal="center" vertical="center" wrapText="1"/>
    </xf>
    <xf numFmtId="0" fontId="51" fillId="29" borderId="8" xfId="0" applyFont="1" applyFill="1" applyBorder="1" applyAlignment="1">
      <alignment horizontal="center" vertical="center" wrapText="1"/>
    </xf>
    <xf numFmtId="0" fontId="51" fillId="29" borderId="14" xfId="0" applyFont="1" applyFill="1" applyBorder="1" applyAlignment="1">
      <alignment horizontal="center" vertical="center" wrapText="1"/>
    </xf>
    <xf numFmtId="0" fontId="50" fillId="0" borderId="6" xfId="0" applyFont="1" applyFill="1" applyBorder="1" applyAlignment="1">
      <alignment horizontal="center" vertical="center"/>
    </xf>
    <xf numFmtId="0" fontId="50" fillId="0" borderId="12" xfId="0" applyFont="1" applyFill="1" applyBorder="1" applyAlignment="1">
      <alignment horizontal="center" vertical="center"/>
    </xf>
    <xf numFmtId="0" fontId="53" fillId="0" borderId="0" xfId="0" applyFont="1" applyFill="1" applyBorder="1">
      <alignment vertical="center"/>
    </xf>
    <xf numFmtId="0" fontId="50" fillId="0" borderId="7" xfId="0" applyFont="1" applyFill="1" applyBorder="1" applyAlignment="1">
      <alignment horizontal="center" vertical="center"/>
    </xf>
    <xf numFmtId="0" fontId="50" fillId="0" borderId="8" xfId="0" applyFont="1" applyFill="1" applyBorder="1" applyAlignment="1">
      <alignment horizontal="center" vertical="center"/>
    </xf>
    <xf numFmtId="0" fontId="50" fillId="0" borderId="14" xfId="0" applyFont="1" applyFill="1" applyBorder="1" applyAlignment="1">
      <alignment horizontal="center" vertical="center"/>
    </xf>
    <xf numFmtId="0" fontId="50" fillId="0" borderId="6" xfId="0" applyFont="1" applyFill="1" applyBorder="1" applyAlignment="1">
      <alignment horizontal="left" vertical="center" wrapText="1"/>
    </xf>
    <xf numFmtId="0" fontId="50" fillId="0" borderId="35" xfId="0" applyFont="1" applyFill="1" applyBorder="1" applyAlignment="1">
      <alignment horizontal="left" vertical="center" wrapText="1"/>
    </xf>
    <xf numFmtId="0" fontId="50" fillId="0" borderId="36" xfId="0" applyFont="1" applyFill="1" applyBorder="1" applyAlignment="1">
      <alignment horizontal="left" vertical="center" wrapText="1"/>
    </xf>
    <xf numFmtId="0" fontId="50" fillId="0" borderId="0" xfId="0" applyFont="1" applyFill="1" applyAlignment="1">
      <alignment horizontal="left" vertical="center" wrapText="1"/>
    </xf>
    <xf numFmtId="0" fontId="50" fillId="0" borderId="12" xfId="0" applyFont="1" applyFill="1" applyBorder="1" applyAlignment="1">
      <alignment horizontal="left" vertical="center" wrapText="1"/>
    </xf>
    <xf numFmtId="0" fontId="50" fillId="0" borderId="37" xfId="0" applyFont="1" applyFill="1" applyBorder="1" applyAlignment="1">
      <alignment horizontal="left" vertical="center" wrapText="1"/>
    </xf>
    <xf numFmtId="0" fontId="50" fillId="0" borderId="8" xfId="0" applyFont="1" applyFill="1" applyBorder="1" applyAlignment="1">
      <alignment horizontal="left" vertical="center" wrapText="1"/>
    </xf>
    <xf numFmtId="0" fontId="50" fillId="0" borderId="14" xfId="0" applyFont="1" applyFill="1" applyBorder="1" applyAlignment="1">
      <alignment horizontal="left" vertical="center" wrapText="1"/>
    </xf>
    <xf numFmtId="0" fontId="50" fillId="0" borderId="36" xfId="0" applyFont="1" applyFill="1" applyBorder="1" applyAlignment="1">
      <alignment horizontal="center" vertical="center" wrapText="1"/>
    </xf>
    <xf numFmtId="0" fontId="53" fillId="0" borderId="6" xfId="49" applyFont="1" applyFill="1" applyBorder="1" applyAlignment="1" applyProtection="1">
      <alignment horizontal="center" vertical="center" wrapText="1"/>
    </xf>
    <xf numFmtId="0" fontId="50" fillId="0" borderId="7" xfId="0" applyFont="1" applyFill="1" applyBorder="1" applyAlignment="1">
      <alignment horizontal="left" vertical="center" wrapText="1"/>
    </xf>
    <xf numFmtId="0" fontId="50" fillId="0" borderId="38" xfId="0" applyFont="1" applyFill="1" applyBorder="1" applyAlignment="1">
      <alignment horizontal="left" vertical="center" wrapText="1"/>
    </xf>
    <xf numFmtId="0" fontId="50" fillId="0" borderId="37" xfId="0" applyFont="1" applyFill="1" applyBorder="1" applyAlignment="1">
      <alignment horizontal="center" vertical="center" wrapText="1"/>
    </xf>
    <xf numFmtId="0" fontId="50" fillId="0" borderId="8" xfId="0" applyFont="1" applyFill="1" applyBorder="1" applyAlignment="1">
      <alignment horizontal="center" vertical="center" wrapText="1"/>
    </xf>
    <xf numFmtId="0" fontId="50" fillId="0" borderId="14" xfId="0" applyFont="1" applyFill="1" applyBorder="1" applyAlignment="1">
      <alignment horizontal="center" vertical="center" wrapText="1"/>
    </xf>
    <xf numFmtId="0" fontId="45" fillId="0" borderId="7" xfId="0" applyFont="1" applyFill="1" applyBorder="1" applyAlignment="1">
      <alignment horizontal="center" vertical="center" wrapText="1"/>
    </xf>
    <xf numFmtId="0" fontId="53" fillId="0" borderId="0" xfId="0" applyFont="1" applyFill="1" applyBorder="1" applyAlignment="1">
      <alignment horizontal="center" vertical="center"/>
    </xf>
    <xf numFmtId="0" fontId="53" fillId="0" borderId="27" xfId="0" applyFont="1" applyFill="1" applyBorder="1" applyAlignment="1">
      <alignment horizontal="center" vertical="center" wrapText="1"/>
    </xf>
    <xf numFmtId="0" fontId="49" fillId="30" borderId="4" xfId="0" applyFont="1" applyFill="1" applyBorder="1" applyAlignment="1">
      <alignment horizontal="center" vertical="center"/>
    </xf>
    <xf numFmtId="0" fontId="49" fillId="30" borderId="5" xfId="0" applyFont="1" applyFill="1" applyBorder="1" applyAlignment="1">
      <alignment horizontal="center" vertical="center"/>
    </xf>
    <xf numFmtId="0" fontId="49" fillId="30" borderId="6" xfId="0" applyFont="1" applyFill="1" applyBorder="1" applyAlignment="1">
      <alignment horizontal="center" vertical="center"/>
    </xf>
    <xf numFmtId="0" fontId="49" fillId="30" borderId="0" xfId="0" applyFont="1" applyFill="1" applyBorder="1" applyAlignment="1">
      <alignment horizontal="center" vertical="center"/>
    </xf>
    <xf numFmtId="0" fontId="53" fillId="31" borderId="6" xfId="49" applyNumberFormat="1" applyFont="1" applyFill="1" applyBorder="1" applyAlignment="1" applyProtection="1">
      <alignment horizontal="center" vertical="center"/>
    </xf>
    <xf numFmtId="0" fontId="53" fillId="31" borderId="0" xfId="49" applyNumberFormat="1" applyFont="1" applyFill="1" applyAlignment="1" applyProtection="1">
      <alignment horizontal="center" vertical="center"/>
    </xf>
    <xf numFmtId="0" fontId="53" fillId="31" borderId="0" xfId="49" applyFont="1" applyFill="1" applyAlignment="1" applyProtection="1">
      <alignment horizontal="center" vertical="center"/>
    </xf>
    <xf numFmtId="0" fontId="55" fillId="0" borderId="6" xfId="49" applyNumberFormat="1" applyFont="1" applyFill="1" applyBorder="1" applyAlignment="1" applyProtection="1">
      <alignment horizontal="left" vertical="center" wrapText="1"/>
    </xf>
    <xf numFmtId="0" fontId="55" fillId="0" borderId="0" xfId="49" applyNumberFormat="1" applyFont="1" applyFill="1" applyAlignment="1" applyProtection="1">
      <alignment horizontal="left" vertical="center" wrapText="1"/>
    </xf>
    <xf numFmtId="0" fontId="44" fillId="0" borderId="0" xfId="49" applyFont="1" applyAlignment="1" applyProtection="1">
      <alignment horizontal="center" vertical="center" wrapText="1"/>
    </xf>
    <xf numFmtId="0" fontId="44" fillId="0" borderId="0" xfId="49" applyFont="1" applyAlignment="1" applyProtection="1">
      <alignment horizontal="center" vertical="center"/>
    </xf>
    <xf numFmtId="0" fontId="48" fillId="0" borderId="15" xfId="0" applyFont="1" applyFill="1" applyBorder="1" applyAlignment="1">
      <alignment horizontal="center" vertical="center"/>
    </xf>
    <xf numFmtId="0" fontId="48" fillId="0" borderId="12" xfId="0" applyFont="1" applyFill="1" applyBorder="1" applyAlignment="1">
      <alignment horizontal="center" vertical="center"/>
    </xf>
    <xf numFmtId="0" fontId="0" fillId="0" borderId="15" xfId="49" applyFont="1" applyFill="1" applyBorder="1" applyAlignment="1" applyProtection="1">
      <alignment vertical="center" wrapText="1"/>
    </xf>
    <xf numFmtId="0" fontId="0" fillId="0" borderId="30" xfId="49" applyFont="1" applyFill="1" applyBorder="1" applyAlignment="1" applyProtection="1">
      <alignment vertical="center" wrapText="1"/>
    </xf>
    <xf numFmtId="0" fontId="18" fillId="0" borderId="27" xfId="49" applyFont="1" applyFill="1" applyBorder="1" applyAlignment="1" applyProtection="1">
      <alignment horizontal="center" vertical="center"/>
    </xf>
    <xf numFmtId="0" fontId="18" fillId="0" borderId="28" xfId="49" applyFont="1" applyFill="1" applyBorder="1" applyAlignment="1" applyProtection="1">
      <alignment horizontal="center" vertical="center"/>
    </xf>
    <xf numFmtId="0" fontId="18" fillId="0" borderId="30" xfId="49" applyFont="1" applyFill="1" applyBorder="1" applyAlignment="1" applyProtection="1">
      <alignment horizontal="center" vertical="center"/>
    </xf>
    <xf numFmtId="0" fontId="0" fillId="0" borderId="0" xfId="49" applyFont="1" applyFill="1" applyAlignment="1" applyProtection="1">
      <alignment horizontal="center" vertical="center"/>
    </xf>
    <xf numFmtId="49" fontId="42" fillId="28" borderId="11" xfId="49" applyNumberFormat="1" applyFont="1" applyFill="1" applyBorder="1" applyAlignment="1" applyProtection="1">
      <alignment horizontal="center" vertical="center"/>
    </xf>
    <xf numFmtId="0" fontId="56" fillId="0" borderId="0" xfId="49" applyFont="1" applyFill="1" applyBorder="1" applyAlignment="1" applyProtection="1">
      <alignment vertical="center" wrapText="1"/>
    </xf>
    <xf numFmtId="49" fontId="43" fillId="0" borderId="15" xfId="49" applyNumberFormat="1" applyFont="1" applyBorder="1" applyAlignment="1" applyProtection="1">
      <alignment horizontal="center" vertical="center" wrapText="1"/>
    </xf>
    <xf numFmtId="49" fontId="43" fillId="0" borderId="12" xfId="49" applyNumberFormat="1" applyFont="1" applyBorder="1" applyAlignment="1" applyProtection="1">
      <alignment horizontal="center" vertical="center" wrapText="1"/>
    </xf>
    <xf numFmtId="49" fontId="43" fillId="0" borderId="23" xfId="49" applyNumberFormat="1" applyFont="1" applyBorder="1" applyAlignment="1" applyProtection="1">
      <alignment horizontal="center" vertical="center" wrapText="1"/>
    </xf>
    <xf numFmtId="49" fontId="43" fillId="0" borderId="15" xfId="49" applyNumberFormat="1" applyFont="1" applyBorder="1" applyAlignment="1" applyProtection="1">
      <alignment horizontal="center" vertical="center"/>
    </xf>
    <xf numFmtId="49" fontId="43" fillId="0" borderId="12" xfId="49" applyNumberFormat="1" applyFont="1" applyBorder="1" applyAlignment="1" applyProtection="1">
      <alignment horizontal="center" vertical="center"/>
    </xf>
    <xf numFmtId="49" fontId="46" fillId="0" borderId="12" xfId="49" applyNumberFormat="1" applyFont="1" applyBorder="1" applyAlignment="1" applyProtection="1">
      <alignment horizontal="center" vertical="center"/>
    </xf>
    <xf numFmtId="49" fontId="45" fillId="0" borderId="12" xfId="49" applyNumberFormat="1" applyFont="1" applyBorder="1" applyAlignment="1" applyProtection="1">
      <alignment horizontal="center" vertical="center" wrapText="1"/>
    </xf>
    <xf numFmtId="49" fontId="45" fillId="0" borderId="15" xfId="49" applyNumberFormat="1" applyFont="1" applyBorder="1" applyAlignment="1" applyProtection="1">
      <alignment horizontal="center" vertical="center" wrapText="1"/>
    </xf>
    <xf numFmtId="49" fontId="45" fillId="0" borderId="23" xfId="49" applyNumberFormat="1" applyFont="1" applyBorder="1" applyAlignment="1" applyProtection="1">
      <alignment horizontal="center" vertical="center" wrapText="1"/>
    </xf>
    <xf numFmtId="49" fontId="45" fillId="0" borderId="12" xfId="49" applyNumberFormat="1" applyFont="1" applyBorder="1" applyAlignment="1" applyProtection="1">
      <alignment horizontal="center" vertical="center"/>
    </xf>
    <xf numFmtId="49" fontId="45" fillId="0" borderId="23" xfId="49" applyNumberFormat="1" applyFont="1" applyBorder="1" applyAlignment="1" applyProtection="1">
      <alignment horizontal="center" vertical="center"/>
    </xf>
    <xf numFmtId="49" fontId="45" fillId="0" borderId="30" xfId="49" applyNumberFormat="1" applyFont="1" applyBorder="1" applyAlignment="1" applyProtection="1">
      <alignment horizontal="center" vertical="center"/>
    </xf>
    <xf numFmtId="0" fontId="49" fillId="29" borderId="11" xfId="0" applyFont="1" applyFill="1" applyBorder="1" applyAlignment="1">
      <alignment horizontal="center" vertical="center"/>
    </xf>
    <xf numFmtId="0" fontId="49" fillId="29" borderId="12" xfId="0" applyFont="1" applyFill="1" applyBorder="1" applyAlignment="1">
      <alignment horizontal="center" vertical="center"/>
    </xf>
    <xf numFmtId="0" fontId="49" fillId="29" borderId="30" xfId="0" applyFont="1" applyFill="1" applyBorder="1" applyAlignment="1">
      <alignment horizontal="center" vertical="center"/>
    </xf>
    <xf numFmtId="0" fontId="52" fillId="16" borderId="5" xfId="0" applyFont="1" applyFill="1" applyBorder="1" applyAlignment="1">
      <alignment horizontal="center" vertical="center"/>
    </xf>
    <xf numFmtId="0" fontId="52" fillId="16" borderId="11" xfId="0" applyFont="1" applyFill="1" applyBorder="1" applyAlignment="1">
      <alignment horizontal="center" vertical="center"/>
    </xf>
    <xf numFmtId="0" fontId="52" fillId="16" borderId="0" xfId="0" applyFont="1" applyFill="1" applyAlignment="1">
      <alignment horizontal="center" vertical="center"/>
    </xf>
    <xf numFmtId="0" fontId="52" fillId="16" borderId="12" xfId="0" applyFont="1" applyFill="1" applyBorder="1" applyAlignment="1">
      <alignment horizontal="center" vertical="center"/>
    </xf>
    <xf numFmtId="0" fontId="53" fillId="0" borderId="33" xfId="0" applyFont="1" applyFill="1" applyBorder="1" applyAlignment="1">
      <alignment horizontal="center" vertical="center" wrapText="1"/>
    </xf>
    <xf numFmtId="0" fontId="53" fillId="0" borderId="39" xfId="0" applyFont="1" applyFill="1" applyBorder="1" applyAlignment="1">
      <alignment horizontal="center" vertical="center" wrapText="1"/>
    </xf>
    <xf numFmtId="0" fontId="53" fillId="0" borderId="40" xfId="0" applyFont="1" applyFill="1" applyBorder="1" applyAlignment="1">
      <alignment horizontal="center" vertical="center" wrapText="1"/>
    </xf>
    <xf numFmtId="0" fontId="53" fillId="0" borderId="34" xfId="0" applyFont="1" applyFill="1" applyBorder="1" applyAlignment="1">
      <alignment horizontal="center" vertical="center" wrapText="1"/>
    </xf>
    <xf numFmtId="0" fontId="53" fillId="0" borderId="0" xfId="0" applyFont="1" applyFill="1" applyAlignment="1">
      <alignment horizontal="center" vertical="center" wrapText="1"/>
    </xf>
    <xf numFmtId="0" fontId="53" fillId="0" borderId="38" xfId="0" applyFont="1" applyFill="1" applyBorder="1" applyAlignment="1">
      <alignment horizontal="center" vertical="center" wrapText="1"/>
    </xf>
    <xf numFmtId="0" fontId="53" fillId="0" borderId="35" xfId="0" applyFont="1" applyFill="1" applyBorder="1" applyAlignment="1">
      <alignment horizontal="center" vertical="center" wrapText="1"/>
    </xf>
    <xf numFmtId="0" fontId="53" fillId="0" borderId="41" xfId="0" applyFont="1" applyFill="1" applyBorder="1" applyAlignment="1">
      <alignment horizontal="center" vertical="center" wrapText="1"/>
    </xf>
    <xf numFmtId="0" fontId="53" fillId="0" borderId="42" xfId="0" applyFont="1" applyFill="1" applyBorder="1" applyAlignment="1">
      <alignment horizontal="center" vertical="center" wrapText="1"/>
    </xf>
    <xf numFmtId="0" fontId="53" fillId="0" borderId="43" xfId="0" applyFont="1" applyFill="1" applyBorder="1" applyAlignment="1">
      <alignment horizontal="center" vertical="center" wrapText="1"/>
    </xf>
    <xf numFmtId="0" fontId="53" fillId="0" borderId="14" xfId="0" applyFont="1" applyFill="1" applyBorder="1" applyAlignment="1">
      <alignment horizontal="center" vertical="center" wrapText="1"/>
    </xf>
    <xf numFmtId="0" fontId="53" fillId="0" borderId="8" xfId="0" applyFont="1" applyFill="1" applyBorder="1" applyAlignment="1">
      <alignment horizontal="center" vertical="center" wrapText="1"/>
    </xf>
    <xf numFmtId="0" fontId="54" fillId="0" borderId="0" xfId="0" applyFont="1" applyFill="1" applyAlignment="1">
      <alignment horizontal="center" vertical="center" wrapText="1"/>
    </xf>
    <xf numFmtId="0" fontId="54" fillId="0" borderId="35" xfId="0" applyFont="1" applyFill="1" applyBorder="1" applyAlignment="1">
      <alignment horizontal="center" vertical="center" wrapText="1"/>
    </xf>
    <xf numFmtId="0" fontId="54" fillId="0" borderId="12" xfId="0" applyFont="1" applyFill="1" applyBorder="1" applyAlignment="1">
      <alignment horizontal="center" vertical="center" wrapText="1"/>
    </xf>
    <xf numFmtId="0" fontId="54" fillId="0" borderId="28" xfId="0" applyFont="1" applyFill="1" applyBorder="1" applyAlignment="1">
      <alignment horizontal="center" vertical="center" wrapText="1"/>
    </xf>
    <xf numFmtId="0" fontId="54" fillId="0" borderId="44" xfId="0" applyFont="1" applyFill="1" applyBorder="1" applyAlignment="1">
      <alignment horizontal="center" vertical="center" wrapText="1"/>
    </xf>
    <xf numFmtId="0" fontId="54" fillId="0" borderId="30" xfId="0" applyFont="1" applyFill="1" applyBorder="1" applyAlignment="1">
      <alignment horizontal="center" vertical="center" wrapText="1"/>
    </xf>
    <xf numFmtId="0" fontId="53" fillId="0" borderId="0" xfId="0" applyFont="1" applyFill="1" applyAlignment="1">
      <alignment vertical="center" wrapText="1"/>
    </xf>
    <xf numFmtId="0" fontId="52" fillId="16" borderId="8" xfId="0" applyFont="1" applyFill="1" applyBorder="1" applyAlignment="1">
      <alignment horizontal="center" vertical="center"/>
    </xf>
    <xf numFmtId="0" fontId="52" fillId="16" borderId="14" xfId="0" applyFont="1" applyFill="1" applyBorder="1" applyAlignment="1">
      <alignment horizontal="center" vertical="center"/>
    </xf>
    <xf numFmtId="0" fontId="53" fillId="0" borderId="12" xfId="0" applyFont="1" applyFill="1" applyBorder="1" applyAlignment="1">
      <alignment horizontal="center" vertical="center" wrapText="1"/>
    </xf>
    <xf numFmtId="0" fontId="53" fillId="0" borderId="0" xfId="0" applyFont="1" applyFill="1" applyBorder="1" applyAlignment="1">
      <alignment horizontal="center" vertical="center" wrapText="1"/>
    </xf>
    <xf numFmtId="0" fontId="53" fillId="0" borderId="36" xfId="0" applyFont="1" applyFill="1" applyBorder="1" applyAlignment="1">
      <alignment horizontal="center" vertical="center" wrapText="1"/>
    </xf>
    <xf numFmtId="0" fontId="53" fillId="0" borderId="45" xfId="0" applyFont="1" applyFill="1" applyBorder="1" applyAlignment="1">
      <alignment horizontal="center" vertical="center" wrapText="1"/>
    </xf>
    <xf numFmtId="0" fontId="53" fillId="0" borderId="37" xfId="0" applyFont="1" applyFill="1" applyBorder="1" applyAlignment="1">
      <alignment horizontal="center" vertical="center" wrapText="1"/>
    </xf>
    <xf numFmtId="0" fontId="53" fillId="0" borderId="0" xfId="49" applyFont="1" applyFill="1" applyAlignment="1" applyProtection="1">
      <alignment horizontal="center" vertical="center" wrapText="1"/>
    </xf>
    <xf numFmtId="0" fontId="53" fillId="0" borderId="35" xfId="49" applyFont="1" applyFill="1" applyBorder="1" applyAlignment="1" applyProtection="1">
      <alignment horizontal="center" vertical="center" wrapText="1"/>
    </xf>
    <xf numFmtId="0" fontId="53" fillId="0" borderId="33" xfId="49" applyFont="1" applyBorder="1" applyAlignment="1" applyProtection="1">
      <alignment horizontal="center" vertical="center" wrapText="1"/>
    </xf>
    <xf numFmtId="0" fontId="53" fillId="0" borderId="0" xfId="49" applyFont="1" applyAlignment="1" applyProtection="1">
      <alignment horizontal="center" vertical="center" wrapText="1"/>
    </xf>
    <xf numFmtId="0" fontId="53" fillId="0" borderId="8" xfId="49" applyFont="1" applyBorder="1" applyAlignment="1" applyProtection="1">
      <alignment horizontal="center" vertical="center" wrapText="1"/>
    </xf>
    <xf numFmtId="0" fontId="53" fillId="0" borderId="46" xfId="0" applyFont="1" applyFill="1" applyBorder="1" applyAlignment="1">
      <alignment horizontal="center" vertical="center" wrapText="1"/>
    </xf>
    <xf numFmtId="0" fontId="53" fillId="0" borderId="47" xfId="0" applyFont="1" applyFill="1" applyBorder="1" applyAlignment="1">
      <alignment horizontal="center" vertical="center" wrapText="1"/>
    </xf>
    <xf numFmtId="0" fontId="53" fillId="0" borderId="36" xfId="49" applyFont="1" applyBorder="1" applyAlignment="1" applyProtection="1">
      <alignment horizontal="center" vertical="center" wrapText="1"/>
    </xf>
    <xf numFmtId="0" fontId="53" fillId="0" borderId="12" xfId="49" applyFont="1" applyBorder="1" applyAlignment="1" applyProtection="1">
      <alignment horizontal="center" vertical="center" wrapText="1"/>
    </xf>
    <xf numFmtId="0" fontId="45" fillId="0" borderId="8" xfId="0" applyFont="1" applyFill="1" applyBorder="1" applyAlignment="1">
      <alignment horizontal="center" vertical="center" wrapText="1"/>
    </xf>
    <xf numFmtId="0" fontId="45" fillId="0" borderId="38" xfId="0" applyFont="1" applyFill="1" applyBorder="1" applyAlignment="1">
      <alignment horizontal="center" vertical="center" wrapText="1"/>
    </xf>
    <xf numFmtId="0" fontId="53" fillId="0" borderId="37" xfId="49" applyFont="1" applyBorder="1" applyAlignment="1" applyProtection="1">
      <alignment horizontal="center" vertical="center" wrapText="1"/>
    </xf>
    <xf numFmtId="0" fontId="53" fillId="0" borderId="14" xfId="49" applyFont="1" applyBorder="1" applyAlignment="1" applyProtection="1">
      <alignment horizontal="center" vertical="center" wrapText="1"/>
    </xf>
    <xf numFmtId="0" fontId="53" fillId="0" borderId="28" xfId="0" applyFont="1" applyFill="1" applyBorder="1" applyAlignment="1">
      <alignment horizontal="center" vertical="center" wrapText="1"/>
    </xf>
    <xf numFmtId="0" fontId="53" fillId="0" borderId="44" xfId="0" applyFont="1" applyFill="1" applyBorder="1" applyAlignment="1">
      <alignment horizontal="center" vertical="center" wrapText="1"/>
    </xf>
    <xf numFmtId="0" fontId="53" fillId="0" borderId="48" xfId="0" applyFont="1" applyFill="1" applyBorder="1" applyAlignment="1">
      <alignment horizontal="center" vertical="center" wrapText="1"/>
    </xf>
    <xf numFmtId="0" fontId="53" fillId="0" borderId="30" xfId="0" applyFont="1" applyFill="1" applyBorder="1" applyAlignment="1">
      <alignment horizontal="center" vertical="center" wrapText="1"/>
    </xf>
    <xf numFmtId="0" fontId="49" fillId="30" borderId="11" xfId="0" applyFont="1" applyFill="1" applyBorder="1" applyAlignment="1">
      <alignment horizontal="center" vertical="center"/>
    </xf>
    <xf numFmtId="0" fontId="49" fillId="30" borderId="12" xfId="0" applyFont="1" applyFill="1" applyBorder="1" applyAlignment="1">
      <alignment horizontal="center" vertical="center"/>
    </xf>
    <xf numFmtId="0" fontId="53" fillId="31" borderId="12" xfId="49" applyFont="1" applyFill="1" applyBorder="1" applyAlignment="1" applyProtection="1">
      <alignment horizontal="center" vertical="center"/>
    </xf>
    <xf numFmtId="0" fontId="44" fillId="0" borderId="12" xfId="49" applyFont="1" applyBorder="1" applyAlignment="1" applyProtection="1">
      <alignment horizontal="center" vertical="center"/>
    </xf>
    <xf numFmtId="49" fontId="57" fillId="0" borderId="0" xfId="49" applyNumberFormat="1" applyFont="1" applyFill="1" applyBorder="1" applyAlignment="1">
      <alignment vertical="center"/>
      <protection locked="0"/>
    </xf>
    <xf numFmtId="49" fontId="7" fillId="0" borderId="0" xfId="49" applyNumberFormat="1" applyFont="1" applyFill="1" applyBorder="1" applyAlignment="1">
      <alignment vertical="center"/>
      <protection locked="0"/>
    </xf>
    <xf numFmtId="0" fontId="7" fillId="0" borderId="0" xfId="49" applyFont="1" applyFill="1" applyBorder="1" applyAlignment="1">
      <alignment vertical="center"/>
      <protection locked="0"/>
    </xf>
    <xf numFmtId="49" fontId="58" fillId="0" borderId="0" xfId="49" applyNumberFormat="1" applyFont="1" applyFill="1" applyBorder="1" applyAlignment="1">
      <alignment horizontal="center" vertical="center"/>
      <protection locked="0"/>
    </xf>
    <xf numFmtId="49" fontId="44" fillId="0" borderId="0" xfId="49" applyNumberFormat="1" applyFont="1" applyFill="1" applyBorder="1" applyAlignment="1">
      <alignment horizontal="center" vertical="center" wrapText="1"/>
      <protection locked="0"/>
    </xf>
    <xf numFmtId="49" fontId="44" fillId="0" borderId="0" xfId="49" applyNumberFormat="1" applyFont="1" applyFill="1" applyBorder="1" applyAlignment="1">
      <alignment horizontal="center" vertical="center"/>
      <protection locked="0"/>
    </xf>
    <xf numFmtId="49" fontId="7" fillId="0" borderId="0" xfId="49" applyNumberFormat="1" applyFont="1" applyFill="1" applyBorder="1" applyAlignment="1">
      <alignment horizontal="center" vertical="center"/>
      <protection locked="0"/>
    </xf>
    <xf numFmtId="49" fontId="7" fillId="0" borderId="0" xfId="49" applyNumberFormat="1" applyFont="1" applyFill="1" applyBorder="1" applyAlignment="1">
      <alignment horizontal="center" vertical="center" wrapText="1"/>
      <protection locked="0"/>
    </xf>
    <xf numFmtId="0" fontId="44" fillId="0" borderId="0" xfId="49" applyFont="1" applyFill="1" applyBorder="1" applyAlignment="1">
      <alignment horizontal="center" vertical="center"/>
      <protection locked="0"/>
    </xf>
    <xf numFmtId="0" fontId="17" fillId="0" borderId="0" xfId="49" applyFont="1" applyFill="1" applyBorder="1" applyAlignment="1">
      <alignment vertical="center"/>
      <protection locked="0"/>
    </xf>
    <xf numFmtId="0" fontId="58" fillId="0" borderId="0" xfId="49" applyFont="1" applyFill="1" applyBorder="1" applyAlignment="1">
      <alignment horizontal="center" vertical="center"/>
      <protection locked="0"/>
    </xf>
    <xf numFmtId="0" fontId="45" fillId="0" borderId="0" xfId="49" applyFont="1" applyFill="1" applyBorder="1" applyAlignment="1">
      <alignment horizontal="center" vertical="center"/>
      <protection locked="0"/>
    </xf>
    <xf numFmtId="0" fontId="7" fillId="0" borderId="0" xfId="49" applyFont="1" applyFill="1" applyBorder="1" applyAlignment="1">
      <alignment horizontal="center" vertical="center" wrapText="1"/>
      <protection locked="0"/>
    </xf>
    <xf numFmtId="0" fontId="44" fillId="0" borderId="0" xfId="49" applyFont="1" applyFill="1" applyBorder="1" applyAlignment="1">
      <alignment horizontal="center" vertical="center" wrapText="1"/>
      <protection locked="0"/>
    </xf>
    <xf numFmtId="0" fontId="59" fillId="0" borderId="0" xfId="49" applyFont="1" applyFill="1" applyBorder="1" applyAlignment="1">
      <alignment horizontal="center" vertical="center"/>
      <protection locked="0"/>
    </xf>
    <xf numFmtId="0" fontId="55" fillId="0" borderId="0" xfId="49" applyFont="1" applyFill="1" applyBorder="1" applyAlignment="1">
      <alignment horizontal="center" vertical="center"/>
      <protection locked="0"/>
    </xf>
    <xf numFmtId="0" fontId="53" fillId="0" borderId="0" xfId="49" applyFont="1" applyFill="1" applyBorder="1" applyAlignment="1">
      <alignment horizontal="center" vertical="center" wrapText="1"/>
      <protection locked="0"/>
    </xf>
    <xf numFmtId="0" fontId="53" fillId="0" borderId="0" xfId="49" applyFont="1" applyFill="1" applyBorder="1" applyAlignment="1">
      <alignment horizontal="center" vertical="center"/>
      <protection locked="0"/>
    </xf>
    <xf numFmtId="0" fontId="44" fillId="0" borderId="0" xfId="49" applyFont="1" applyFill="1" applyBorder="1" applyAlignment="1">
      <alignment vertical="center"/>
      <protection locked="0"/>
    </xf>
    <xf numFmtId="0" fontId="54" fillId="0" borderId="0" xfId="49" applyFont="1" applyFill="1" applyBorder="1" applyAlignment="1">
      <alignment horizontal="center" vertical="center" wrapText="1"/>
      <protection locked="0"/>
    </xf>
    <xf numFmtId="0" fontId="60" fillId="0" borderId="0" xfId="49" applyFont="1" applyFill="1" applyBorder="1" applyAlignment="1">
      <alignment horizontal="center" vertical="center" wrapText="1"/>
      <protection locked="0"/>
    </xf>
    <xf numFmtId="0" fontId="44" fillId="0" borderId="0" xfId="49" applyFont="1" applyFill="1" applyBorder="1" applyAlignment="1">
      <alignment vertical="center" wrapText="1"/>
      <protection locked="0"/>
    </xf>
    <xf numFmtId="0" fontId="7" fillId="0" borderId="0" xfId="49" applyFont="1" applyFill="1" applyBorder="1" applyAlignment="1">
      <alignment vertical="center" wrapText="1"/>
      <protection locked="0"/>
    </xf>
    <xf numFmtId="0" fontId="55" fillId="31" borderId="6" xfId="49" applyNumberFormat="1" applyFont="1" applyFill="1" applyBorder="1" applyAlignment="1" applyProtection="1">
      <alignment horizontal="left" vertical="center" wrapText="1"/>
    </xf>
    <xf numFmtId="0" fontId="55" fillId="31" borderId="0" xfId="49" applyNumberFormat="1" applyFont="1" applyFill="1" applyAlignment="1" applyProtection="1">
      <alignment horizontal="left" vertical="center" wrapText="1"/>
    </xf>
    <xf numFmtId="0" fontId="44" fillId="31" borderId="0" xfId="49" applyFont="1" applyFill="1" applyAlignment="1" applyProtection="1">
      <alignment horizontal="center" vertical="center" wrapText="1"/>
    </xf>
    <xf numFmtId="0" fontId="44" fillId="31" borderId="0" xfId="49" applyFont="1" applyFill="1" applyAlignment="1" applyProtection="1">
      <alignment horizontal="center" vertical="center"/>
    </xf>
    <xf numFmtId="0" fontId="55" fillId="0" borderId="27" xfId="49" applyNumberFormat="1" applyFont="1" applyFill="1" applyBorder="1" applyAlignment="1" applyProtection="1">
      <alignment horizontal="left" vertical="center" wrapText="1"/>
    </xf>
    <xf numFmtId="0" fontId="55" fillId="0" borderId="28" xfId="49" applyNumberFormat="1" applyFont="1" applyFill="1" applyBorder="1" applyAlignment="1" applyProtection="1">
      <alignment horizontal="left" vertical="center" wrapText="1"/>
    </xf>
    <xf numFmtId="0" fontId="44" fillId="0" borderId="28" xfId="49" applyFont="1" applyBorder="1" applyAlignment="1" applyProtection="1">
      <alignment horizontal="center" vertical="center"/>
    </xf>
    <xf numFmtId="0" fontId="18" fillId="0" borderId="0" xfId="49" applyBorder="1" applyAlignment="1">
      <alignment vertical="center"/>
      <protection locked="0"/>
    </xf>
    <xf numFmtId="0" fontId="44" fillId="0" borderId="0" xfId="49" applyFont="1" applyBorder="1" applyAlignment="1">
      <alignment vertical="center" wrapText="1"/>
      <protection locked="0"/>
    </xf>
    <xf numFmtId="0" fontId="44" fillId="0" borderId="0" xfId="49" applyFont="1" applyAlignment="1">
      <alignment vertical="center" wrapText="1"/>
      <protection locked="0"/>
    </xf>
    <xf numFmtId="0" fontId="44" fillId="31" borderId="12" xfId="49" applyFont="1" applyFill="1" applyBorder="1" applyAlignment="1" applyProtection="1">
      <alignment horizontal="center" vertical="center"/>
    </xf>
    <xf numFmtId="0" fontId="44" fillId="0" borderId="30" xfId="49" applyFont="1" applyBorder="1" applyAlignment="1" applyProtection="1">
      <alignment horizontal="center" vertical="center"/>
    </xf>
    <xf numFmtId="0" fontId="7" fillId="0" borderId="0" xfId="49" applyFont="1" applyFill="1" applyBorder="1" applyAlignment="1">
      <alignment horizontal="center" vertical="center"/>
      <protection locked="0"/>
    </xf>
    <xf numFmtId="0" fontId="57" fillId="0" borderId="0" xfId="0" applyFont="1" applyFill="1" applyBorder="1" applyAlignment="1" applyProtection="1">
      <alignment horizontal="center" vertical="center"/>
      <protection locked="0"/>
    </xf>
    <xf numFmtId="0" fontId="44" fillId="0" borderId="0" xfId="0" applyFont="1" applyFill="1" applyBorder="1" applyAlignment="1" applyProtection="1">
      <alignment horizontal="center" vertical="center"/>
      <protection locked="0"/>
    </xf>
    <xf numFmtId="0" fontId="52" fillId="0" borderId="0"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wrapText="1"/>
      <protection locked="0"/>
    </xf>
    <xf numFmtId="0" fontId="44" fillId="0" borderId="0" xfId="0" applyFont="1" applyFill="1" applyBorder="1" applyAlignment="1" applyProtection="1">
      <alignment horizontal="center" vertical="center" wrapText="1"/>
      <protection locked="0"/>
    </xf>
    <xf numFmtId="0" fontId="44" fillId="0" borderId="0" xfId="0" applyFont="1" applyFill="1" applyBorder="1" applyProtection="1">
      <alignment vertical="center"/>
      <protection locked="0"/>
    </xf>
    <xf numFmtId="0" fontId="43" fillId="0" borderId="0" xfId="0" applyFont="1" applyFill="1" applyBorder="1" applyAlignment="1" applyProtection="1">
      <alignment horizontal="center" vertical="center"/>
      <protection locked="0"/>
    </xf>
    <xf numFmtId="0" fontId="61" fillId="0" borderId="0" xfId="0" applyFont="1" applyFill="1" applyBorder="1" applyAlignment="1" applyProtection="1">
      <alignment horizontal="center" vertical="center" wrapText="1"/>
      <protection locked="0"/>
    </xf>
    <xf numFmtId="0" fontId="49" fillId="0" borderId="0" xfId="0" applyFont="1" applyFill="1" applyBorder="1" applyProtection="1">
      <alignment vertical="center"/>
      <protection locked="0"/>
    </xf>
    <xf numFmtId="0" fontId="62" fillId="0" borderId="0" xfId="0" applyFont="1" applyFill="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49" fontId="10" fillId="0" borderId="0" xfId="0" applyNumberFormat="1"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7" fillId="0" borderId="0" xfId="49" applyFont="1" applyAlignment="1">
      <alignment vertical="center"/>
      <protection locked="0"/>
    </xf>
    <xf numFmtId="0" fontId="44" fillId="0" borderId="0" xfId="49" applyFont="1" applyAlignment="1">
      <alignment vertical="center"/>
      <protection locked="0"/>
    </xf>
    <xf numFmtId="0" fontId="63" fillId="0" borderId="0" xfId="0" applyFont="1" applyFill="1" applyAlignment="1">
      <alignment horizontal="center" vertical="center"/>
    </xf>
    <xf numFmtId="0" fontId="62" fillId="0" borderId="0" xfId="0" applyFont="1" applyFill="1" applyAlignment="1">
      <alignment horizontal="center" vertical="center"/>
    </xf>
    <xf numFmtId="0" fontId="64" fillId="0" borderId="0" xfId="0" applyFont="1" applyAlignment="1">
      <alignment horizontal="left" vertical="center" wrapText="1"/>
    </xf>
    <xf numFmtId="0" fontId="65" fillId="32" borderId="49" xfId="0" applyFont="1" applyFill="1" applyBorder="1" applyAlignment="1">
      <alignment horizontal="center" vertical="center"/>
    </xf>
    <xf numFmtId="0" fontId="65" fillId="32" borderId="50" xfId="0" applyFont="1" applyFill="1" applyBorder="1" applyAlignment="1">
      <alignment horizontal="center" vertical="center"/>
    </xf>
    <xf numFmtId="0" fontId="64" fillId="0" borderId="0" xfId="0" applyFont="1" applyAlignment="1">
      <alignment horizontal="left" vertical="center"/>
    </xf>
    <xf numFmtId="0" fontId="50" fillId="33" borderId="51" xfId="0" applyFont="1" applyFill="1" applyBorder="1" applyAlignment="1">
      <alignment horizontal="center" vertical="center"/>
    </xf>
    <xf numFmtId="0" fontId="50" fillId="33" borderId="52" xfId="0" applyFont="1" applyFill="1" applyBorder="1" applyAlignment="1">
      <alignment horizontal="center" vertical="center"/>
    </xf>
    <xf numFmtId="178" fontId="66" fillId="34" borderId="53" xfId="0" applyNumberFormat="1" applyFont="1" applyFill="1" applyBorder="1" applyAlignment="1" applyProtection="1">
      <alignment horizontal="center" vertical="center" wrapText="1"/>
      <protection locked="0"/>
    </xf>
    <xf numFmtId="178" fontId="66" fillId="34" borderId="54" xfId="0" applyNumberFormat="1" applyFont="1" applyFill="1" applyBorder="1" applyAlignment="1" applyProtection="1">
      <alignment horizontal="center" vertical="center" wrapText="1"/>
      <protection locked="0"/>
    </xf>
    <xf numFmtId="9" fontId="67" fillId="0" borderId="52" xfId="0" applyNumberFormat="1" applyFont="1" applyFill="1" applyBorder="1" applyAlignment="1">
      <alignment horizontal="center" vertical="center"/>
    </xf>
    <xf numFmtId="178" fontId="68" fillId="0" borderId="52" xfId="0" applyNumberFormat="1" applyFont="1" applyFill="1" applyBorder="1" applyAlignment="1">
      <alignment horizontal="center" vertical="center" wrapText="1"/>
    </xf>
    <xf numFmtId="178" fontId="66" fillId="34" borderId="6" xfId="0" applyNumberFormat="1" applyFont="1" applyFill="1" applyBorder="1" applyAlignment="1" applyProtection="1">
      <alignment horizontal="center" vertical="center" wrapText="1"/>
      <protection locked="0"/>
    </xf>
    <xf numFmtId="178" fontId="66" fillId="34" borderId="0" xfId="0" applyNumberFormat="1" applyFont="1" applyFill="1" applyAlignment="1" applyProtection="1">
      <alignment horizontal="center" vertical="center" wrapText="1"/>
      <protection locked="0"/>
    </xf>
    <xf numFmtId="0" fontId="50" fillId="33" borderId="55" xfId="0" applyFont="1" applyFill="1" applyBorder="1" applyAlignment="1">
      <alignment horizontal="center" vertical="center"/>
    </xf>
    <xf numFmtId="178" fontId="69" fillId="0" borderId="51" xfId="0" applyNumberFormat="1" applyFont="1" applyFill="1" applyBorder="1" applyAlignment="1">
      <alignment horizontal="left" vertical="center" wrapText="1"/>
    </xf>
    <xf numFmtId="178" fontId="69" fillId="0" borderId="52" xfId="0" applyNumberFormat="1" applyFont="1" applyFill="1" applyBorder="1" applyAlignment="1">
      <alignment horizontal="left" vertical="center" wrapText="1"/>
    </xf>
    <xf numFmtId="178" fontId="69" fillId="0" borderId="55" xfId="0" applyNumberFormat="1" applyFont="1" applyFill="1" applyBorder="1" applyAlignment="1">
      <alignment horizontal="left" vertical="center" wrapText="1"/>
    </xf>
    <xf numFmtId="0" fontId="19" fillId="0" borderId="0" xfId="0" applyFont="1">
      <alignment vertical="center"/>
    </xf>
    <xf numFmtId="178" fontId="70" fillId="0" borderId="52" xfId="0" applyNumberFormat="1" applyFont="1" applyFill="1" applyBorder="1" applyAlignment="1">
      <alignment horizontal="left" vertical="center" wrapText="1" indent="1"/>
    </xf>
    <xf numFmtId="178" fontId="70" fillId="0" borderId="53" xfId="0" applyNumberFormat="1" applyFont="1" applyFill="1" applyBorder="1" applyAlignment="1">
      <alignment horizontal="left" vertical="top" wrapText="1"/>
    </xf>
    <xf numFmtId="178" fontId="70" fillId="0" borderId="54" xfId="0" applyNumberFormat="1" applyFont="1" applyFill="1" applyBorder="1" applyAlignment="1">
      <alignment horizontal="left" vertical="top" wrapText="1"/>
    </xf>
    <xf numFmtId="178" fontId="70" fillId="0" borderId="6" xfId="0" applyNumberFormat="1" applyFont="1" applyFill="1" applyBorder="1" applyAlignment="1">
      <alignment horizontal="left" vertical="top" wrapText="1"/>
    </xf>
    <xf numFmtId="178" fontId="70" fillId="0" borderId="0" xfId="0" applyNumberFormat="1" applyFont="1" applyFill="1" applyAlignment="1">
      <alignment horizontal="left" vertical="top" wrapText="1"/>
    </xf>
    <xf numFmtId="178" fontId="70" fillId="0" borderId="27" xfId="0" applyNumberFormat="1" applyFont="1" applyFill="1" applyBorder="1" applyAlignment="1">
      <alignment horizontal="left" vertical="top" wrapText="1"/>
    </xf>
    <xf numFmtId="178" fontId="70" fillId="0" borderId="28" xfId="0" applyNumberFormat="1" applyFont="1" applyFill="1" applyBorder="1" applyAlignment="1">
      <alignment horizontal="left" vertical="top" wrapText="1"/>
    </xf>
    <xf numFmtId="0" fontId="70" fillId="0" borderId="0" xfId="0" applyFont="1" applyFill="1" applyAlignment="1">
      <alignment vertical="top" wrapText="1"/>
    </xf>
    <xf numFmtId="0" fontId="49" fillId="33" borderId="4" xfId="0" applyFont="1" applyFill="1" applyBorder="1" applyAlignment="1">
      <alignment horizontal="center" vertical="center"/>
    </xf>
    <xf numFmtId="0" fontId="49" fillId="33" borderId="5" xfId="0" applyFont="1" applyFill="1" applyBorder="1" applyAlignment="1">
      <alignment horizontal="center" vertical="center"/>
    </xf>
    <xf numFmtId="0" fontId="65" fillId="32" borderId="56" xfId="0" applyFont="1" applyFill="1" applyBorder="1" applyAlignment="1">
      <alignment horizontal="center" vertical="center"/>
    </xf>
    <xf numFmtId="0" fontId="64" fillId="0" borderId="57" xfId="0" applyFont="1" applyBorder="1" applyAlignment="1">
      <alignment horizontal="left" vertical="center" wrapText="1"/>
    </xf>
    <xf numFmtId="0" fontId="71" fillId="32" borderId="4" xfId="0" applyFont="1" applyFill="1" applyBorder="1" applyAlignment="1">
      <alignment horizontal="center" vertical="center"/>
    </xf>
    <xf numFmtId="0" fontId="71" fillId="32" borderId="5" xfId="0" applyFont="1" applyFill="1" applyBorder="1" applyAlignment="1">
      <alignment horizontal="center" vertical="center"/>
    </xf>
    <xf numFmtId="0" fontId="50" fillId="33" borderId="58" xfId="0" applyFont="1" applyFill="1" applyBorder="1" applyAlignment="1">
      <alignment horizontal="center" vertical="center"/>
    </xf>
    <xf numFmtId="0" fontId="62" fillId="33" borderId="6" xfId="0" applyFont="1" applyFill="1" applyBorder="1" applyAlignment="1">
      <alignment horizontal="center" vertical="center"/>
    </xf>
    <xf numFmtId="0" fontId="62" fillId="33" borderId="0" xfId="0" applyFont="1" applyFill="1" applyAlignment="1">
      <alignment horizontal="center" vertical="center"/>
    </xf>
    <xf numFmtId="178" fontId="23" fillId="0" borderId="52" xfId="0" applyNumberFormat="1" applyFont="1" applyFill="1" applyBorder="1" applyAlignment="1">
      <alignment horizontal="left" vertical="center" wrapText="1"/>
    </xf>
    <xf numFmtId="178" fontId="23" fillId="0" borderId="54" xfId="0" applyNumberFormat="1" applyFont="1" applyFill="1" applyBorder="1" applyAlignment="1">
      <alignment horizontal="left" vertical="center" wrapText="1"/>
    </xf>
    <xf numFmtId="178" fontId="23" fillId="0" borderId="59" xfId="0" applyNumberFormat="1" applyFont="1" applyFill="1" applyBorder="1" applyAlignment="1">
      <alignment horizontal="left" vertical="center" wrapText="1"/>
    </xf>
    <xf numFmtId="49" fontId="62" fillId="0" borderId="6" xfId="0" applyNumberFormat="1" applyFont="1" applyFill="1" applyBorder="1" applyAlignment="1">
      <alignment vertical="top" wrapText="1"/>
    </xf>
    <xf numFmtId="49" fontId="62" fillId="0" borderId="0" xfId="0" applyNumberFormat="1" applyFont="1" applyFill="1" applyAlignment="1">
      <alignment horizontal="left" vertical="top" wrapText="1"/>
    </xf>
    <xf numFmtId="178" fontId="23" fillId="0" borderId="0" xfId="0" applyNumberFormat="1" applyFont="1" applyFill="1" applyAlignment="1">
      <alignment horizontal="left" vertical="center" wrapText="1"/>
    </xf>
    <xf numFmtId="178" fontId="23" fillId="0" borderId="12" xfId="0" applyNumberFormat="1" applyFont="1" applyFill="1" applyBorder="1" applyAlignment="1">
      <alignment horizontal="left" vertical="center" wrapText="1"/>
    </xf>
    <xf numFmtId="49" fontId="62" fillId="0" borderId="6" xfId="0" applyNumberFormat="1" applyFont="1" applyFill="1" applyBorder="1">
      <alignment vertical="center"/>
    </xf>
    <xf numFmtId="49" fontId="62" fillId="0" borderId="0" xfId="0" applyNumberFormat="1" applyFont="1" applyFill="1" applyBorder="1" applyAlignment="1">
      <alignment horizontal="left" vertical="center"/>
    </xf>
    <xf numFmtId="49" fontId="62" fillId="0" borderId="6" xfId="0" applyNumberFormat="1" applyFont="1" applyFill="1" applyBorder="1" applyAlignment="1">
      <alignment vertical="center" wrapText="1"/>
    </xf>
    <xf numFmtId="49" fontId="62" fillId="0" borderId="0" xfId="0" applyNumberFormat="1" applyFont="1" applyFill="1" applyAlignment="1">
      <alignment horizontal="left" vertical="center" wrapText="1"/>
    </xf>
    <xf numFmtId="49" fontId="62" fillId="0" borderId="6" xfId="0" applyNumberFormat="1" applyFont="1" applyFill="1" applyBorder="1" applyAlignment="1">
      <alignment horizontal="left" vertical="center" wrapText="1"/>
    </xf>
    <xf numFmtId="49" fontId="62" fillId="0" borderId="0" xfId="0" applyNumberFormat="1" applyFont="1" applyFill="1" applyBorder="1" applyAlignment="1">
      <alignment horizontal="left" vertical="center" wrapText="1"/>
    </xf>
    <xf numFmtId="49" fontId="62" fillId="0" borderId="0" xfId="0" applyNumberFormat="1" applyFont="1" applyFill="1" applyAlignment="1">
      <alignment vertical="center" wrapText="1"/>
    </xf>
    <xf numFmtId="0" fontId="50" fillId="33" borderId="60" xfId="0" applyFont="1" applyFill="1" applyBorder="1" applyAlignment="1">
      <alignment horizontal="center" vertical="center"/>
    </xf>
    <xf numFmtId="178" fontId="69" fillId="0" borderId="52" xfId="0" applyNumberFormat="1" applyFont="1" applyFill="1" applyBorder="1" applyAlignment="1">
      <alignment horizontal="left" vertical="top" wrapText="1" indent="1"/>
    </xf>
    <xf numFmtId="178" fontId="69" fillId="0" borderId="60" xfId="0" applyNumberFormat="1" applyFont="1" applyFill="1" applyBorder="1" applyAlignment="1">
      <alignment horizontal="left" vertical="top" wrapText="1" indent="1"/>
    </xf>
    <xf numFmtId="178" fontId="69" fillId="0" borderId="58" xfId="0" applyNumberFormat="1" applyFont="1" applyFill="1" applyBorder="1" applyAlignment="1">
      <alignment horizontal="left" vertical="top" wrapText="1" indent="1"/>
    </xf>
    <xf numFmtId="0" fontId="62" fillId="0" borderId="6" xfId="0" applyFont="1" applyFill="1" applyBorder="1" applyAlignment="1">
      <alignment horizontal="center" vertical="center"/>
    </xf>
    <xf numFmtId="0" fontId="62" fillId="0" borderId="0" xfId="0" applyFont="1" applyFill="1" applyAlignment="1">
      <alignment horizontal="left" vertical="center" wrapText="1"/>
    </xf>
    <xf numFmtId="0" fontId="62" fillId="0" borderId="0" xfId="0" applyFont="1" applyFill="1" applyAlignment="1">
      <alignment horizontal="left" vertical="center"/>
    </xf>
    <xf numFmtId="178" fontId="70" fillId="0" borderId="60" xfId="0" applyNumberFormat="1" applyFont="1" applyFill="1" applyBorder="1" applyAlignment="1">
      <alignment horizontal="left" vertical="center" wrapText="1" indent="1"/>
    </xf>
    <xf numFmtId="178" fontId="70" fillId="0" borderId="58" xfId="0" applyNumberFormat="1" applyFont="1" applyFill="1" applyBorder="1" applyAlignment="1">
      <alignment horizontal="left" vertical="center" wrapText="1" indent="1"/>
    </xf>
    <xf numFmtId="0" fontId="72" fillId="0" borderId="0" xfId="0" applyFont="1" applyAlignment="1">
      <alignment vertical="center" wrapText="1"/>
    </xf>
    <xf numFmtId="49" fontId="62" fillId="0" borderId="0" xfId="0" applyNumberFormat="1" applyFont="1" applyFill="1" applyAlignment="1">
      <alignment horizontal="left" vertical="center"/>
    </xf>
    <xf numFmtId="178" fontId="70" fillId="0" borderId="59" xfId="0" applyNumberFormat="1" applyFont="1" applyFill="1" applyBorder="1" applyAlignment="1">
      <alignment horizontal="left" vertical="top" wrapText="1"/>
    </xf>
    <xf numFmtId="178" fontId="70" fillId="0" borderId="12" xfId="0" applyNumberFormat="1" applyFont="1" applyFill="1" applyBorder="1" applyAlignment="1">
      <alignment horizontal="left" vertical="top" wrapText="1"/>
    </xf>
    <xf numFmtId="49" fontId="62" fillId="0" borderId="27" xfId="0" applyNumberFormat="1" applyFont="1" applyFill="1" applyBorder="1" applyAlignment="1">
      <alignment vertical="center" wrapText="1"/>
    </xf>
    <xf numFmtId="49" fontId="62" fillId="0" borderId="28" xfId="0" applyNumberFormat="1" applyFont="1" applyFill="1" applyBorder="1" applyAlignment="1">
      <alignment horizontal="left" vertical="center" wrapText="1"/>
    </xf>
    <xf numFmtId="0" fontId="73" fillId="0" borderId="0" xfId="0" applyFont="1" applyFill="1" applyAlignment="1">
      <alignment horizontal="center" vertical="center"/>
    </xf>
    <xf numFmtId="178" fontId="70" fillId="0" borderId="30" xfId="0" applyNumberFormat="1" applyFont="1" applyFill="1" applyBorder="1" applyAlignment="1">
      <alignment horizontal="left" vertical="top" wrapText="1"/>
    </xf>
    <xf numFmtId="0" fontId="71" fillId="32" borderId="11" xfId="0" applyFont="1" applyFill="1" applyBorder="1" applyAlignment="1">
      <alignment horizontal="center" vertical="center"/>
    </xf>
    <xf numFmtId="0" fontId="62" fillId="33" borderId="12" xfId="0" applyFont="1" applyFill="1" applyBorder="1" applyAlignment="1">
      <alignment horizontal="center" vertical="center"/>
    </xf>
    <xf numFmtId="49" fontId="62" fillId="0" borderId="12" xfId="0" applyNumberFormat="1" applyFont="1" applyFill="1" applyBorder="1" applyAlignment="1">
      <alignment horizontal="left" vertical="top" wrapText="1"/>
    </xf>
    <xf numFmtId="49" fontId="62" fillId="0" borderId="12" xfId="0" applyNumberFormat="1" applyFont="1" applyFill="1" applyBorder="1" applyAlignment="1">
      <alignment horizontal="left" vertical="center"/>
    </xf>
    <xf numFmtId="49" fontId="62" fillId="0" borderId="12" xfId="0" applyNumberFormat="1" applyFont="1" applyFill="1" applyBorder="1" applyAlignment="1">
      <alignment horizontal="left" vertical="center" wrapText="1"/>
    </xf>
    <xf numFmtId="49" fontId="62" fillId="0" borderId="12" xfId="0" applyNumberFormat="1" applyFont="1" applyFill="1" applyBorder="1" applyAlignment="1">
      <alignment vertical="center" wrapText="1"/>
    </xf>
    <xf numFmtId="0" fontId="62" fillId="0" borderId="12" xfId="0" applyFont="1" applyFill="1" applyBorder="1" applyAlignment="1">
      <alignment horizontal="center" vertical="center"/>
    </xf>
    <xf numFmtId="0" fontId="62" fillId="0" borderId="12" xfId="0" applyFont="1" applyFill="1" applyBorder="1" applyAlignment="1">
      <alignment horizontal="left" vertical="center"/>
    </xf>
    <xf numFmtId="49" fontId="62" fillId="0" borderId="30" xfId="0" applyNumberFormat="1" applyFont="1" applyFill="1" applyBorder="1" applyAlignment="1">
      <alignment horizontal="left" vertical="center" wrapText="1"/>
    </xf>
    <xf numFmtId="0" fontId="49" fillId="33" borderId="11" xfId="0" applyFont="1" applyFill="1" applyBorder="1" applyAlignment="1">
      <alignment horizontal="center" vertical="center"/>
    </xf>
    <xf numFmtId="0" fontId="49" fillId="33" borderId="6" xfId="0" applyFont="1" applyFill="1" applyBorder="1" applyAlignment="1">
      <alignment horizontal="center" vertical="center"/>
    </xf>
    <xf numFmtId="0" fontId="49" fillId="33" borderId="0" xfId="0" applyFont="1" applyFill="1" applyAlignment="1">
      <alignment horizontal="center" vertical="center"/>
    </xf>
    <xf numFmtId="0" fontId="49" fillId="33" borderId="27" xfId="0" applyFont="1" applyFill="1" applyBorder="1" applyAlignment="1">
      <alignment horizontal="center" vertical="center"/>
    </xf>
    <xf numFmtId="0" fontId="49" fillId="33" borderId="28" xfId="0" applyFont="1" applyFill="1" applyBorder="1" applyAlignment="1">
      <alignment horizontal="center" vertical="center"/>
    </xf>
    <xf numFmtId="0" fontId="74" fillId="33" borderId="4" xfId="0" applyFont="1" applyFill="1" applyBorder="1" applyAlignment="1">
      <alignment horizontal="center" vertical="center"/>
    </xf>
    <xf numFmtId="0" fontId="74" fillId="33" borderId="5" xfId="0" applyFont="1" applyFill="1" applyBorder="1" applyAlignment="1">
      <alignment horizontal="center" vertical="center"/>
    </xf>
    <xf numFmtId="0" fontId="74" fillId="33" borderId="27" xfId="0" applyFont="1" applyFill="1" applyBorder="1" applyAlignment="1">
      <alignment horizontal="center" vertical="center"/>
    </xf>
    <xf numFmtId="0" fontId="74" fillId="33" borderId="28" xfId="0" applyFont="1" applyFill="1" applyBorder="1" applyAlignment="1">
      <alignment horizontal="center" vertical="center"/>
    </xf>
    <xf numFmtId="0" fontId="75" fillId="33" borderId="4" xfId="0" applyFont="1" applyFill="1" applyBorder="1" applyAlignment="1">
      <alignment horizontal="center" vertical="center"/>
    </xf>
    <xf numFmtId="0" fontId="75" fillId="33" borderId="5" xfId="0" applyFont="1" applyFill="1" applyBorder="1" applyAlignment="1">
      <alignment horizontal="center" vertical="center"/>
    </xf>
    <xf numFmtId="0" fontId="75" fillId="33" borderId="6" xfId="0" applyFont="1" applyFill="1" applyBorder="1" applyAlignment="1">
      <alignment horizontal="center" vertical="center"/>
    </xf>
    <xf numFmtId="0" fontId="75" fillId="33" borderId="0" xfId="0" applyFont="1" applyFill="1" applyAlignment="1">
      <alignment horizontal="center" vertical="center"/>
    </xf>
    <xf numFmtId="0" fontId="76" fillId="0" borderId="32" xfId="0" applyFont="1" applyFill="1" applyBorder="1" applyAlignment="1">
      <alignment horizontal="center" vertical="center" wrapText="1"/>
    </xf>
    <xf numFmtId="0" fontId="76" fillId="0" borderId="33" xfId="0" applyFont="1" applyFill="1" applyBorder="1" applyAlignment="1">
      <alignment horizontal="center" vertical="center" wrapText="1"/>
    </xf>
    <xf numFmtId="0" fontId="76" fillId="0" borderId="45" xfId="0" applyFont="1" applyFill="1" applyBorder="1" applyAlignment="1">
      <alignment horizontal="center" vertical="center" wrapText="1"/>
    </xf>
    <xf numFmtId="0" fontId="76" fillId="0" borderId="6" xfId="0" applyFont="1" applyFill="1" applyBorder="1" applyAlignment="1">
      <alignment horizontal="center" vertical="center" wrapText="1"/>
    </xf>
    <xf numFmtId="0" fontId="76" fillId="0" borderId="0" xfId="0" applyFont="1" applyFill="1" applyAlignment="1">
      <alignment horizontal="center" vertical="center" wrapText="1"/>
    </xf>
    <xf numFmtId="0" fontId="76" fillId="0" borderId="36" xfId="0" applyFont="1" applyFill="1" applyBorder="1" applyAlignment="1">
      <alignment horizontal="center" vertical="center" wrapText="1"/>
    </xf>
    <xf numFmtId="0" fontId="50" fillId="0" borderId="6" xfId="0" applyFont="1" applyFill="1" applyBorder="1" applyAlignment="1">
      <alignment horizontal="center" vertical="top" wrapText="1"/>
    </xf>
    <xf numFmtId="0" fontId="50" fillId="0" borderId="0" xfId="0" applyFont="1" applyFill="1" applyAlignment="1">
      <alignment horizontal="center" vertical="top"/>
    </xf>
    <xf numFmtId="0" fontId="50" fillId="0" borderId="0" xfId="0" applyFont="1" applyFill="1" applyBorder="1" applyAlignment="1">
      <alignment horizontal="center" vertical="top"/>
    </xf>
    <xf numFmtId="0" fontId="50" fillId="0" borderId="36" xfId="0" applyFont="1" applyFill="1" applyBorder="1" applyAlignment="1">
      <alignment horizontal="center" vertical="top" wrapText="1"/>
    </xf>
    <xf numFmtId="0" fontId="50" fillId="0" borderId="7" xfId="0" applyFont="1" applyFill="1" applyBorder="1" applyAlignment="1">
      <alignment horizontal="center" vertical="top"/>
    </xf>
    <xf numFmtId="0" fontId="50" fillId="0" borderId="8" xfId="0" applyFont="1" applyFill="1" applyBorder="1" applyAlignment="1">
      <alignment horizontal="center" vertical="top"/>
    </xf>
    <xf numFmtId="0" fontId="50" fillId="0" borderId="37" xfId="0" applyFont="1" applyFill="1" applyBorder="1" applyAlignment="1">
      <alignment horizontal="center" vertical="top"/>
    </xf>
    <xf numFmtId="0" fontId="76" fillId="0" borderId="27" xfId="0" applyFont="1" applyFill="1" applyBorder="1" applyAlignment="1">
      <alignment horizontal="center" vertical="center" wrapText="1"/>
    </xf>
    <xf numFmtId="0" fontId="76" fillId="0" borderId="28" xfId="0" applyFont="1" applyFill="1" applyBorder="1" applyAlignment="1">
      <alignment horizontal="center" vertical="center" wrapText="1"/>
    </xf>
    <xf numFmtId="0" fontId="77" fillId="33" borderId="6" xfId="0" applyFont="1" applyFill="1" applyBorder="1" applyAlignment="1">
      <alignment horizontal="center" vertical="center" wrapText="1"/>
    </xf>
    <xf numFmtId="0" fontId="77" fillId="33" borderId="0" xfId="0" applyFont="1" applyFill="1" applyBorder="1" applyAlignment="1">
      <alignment horizontal="center" vertical="center" wrapText="1"/>
    </xf>
    <xf numFmtId="0" fontId="77" fillId="33" borderId="0" xfId="0" applyFont="1" applyFill="1" applyAlignment="1">
      <alignment horizontal="center" vertical="center" wrapText="1"/>
    </xf>
    <xf numFmtId="0" fontId="78" fillId="0" borderId="6" xfId="0" applyFont="1" applyFill="1" applyBorder="1" applyAlignment="1">
      <alignment horizontal="center" vertical="center"/>
    </xf>
    <xf numFmtId="0" fontId="78" fillId="0" borderId="0" xfId="0" applyFont="1" applyFill="1" applyAlignment="1">
      <alignment horizontal="center" vertical="center"/>
    </xf>
    <xf numFmtId="0" fontId="50" fillId="0" borderId="27" xfId="0" applyFont="1" applyFill="1" applyBorder="1" applyAlignment="1">
      <alignment horizontal="center" vertical="center"/>
    </xf>
    <xf numFmtId="0" fontId="50" fillId="0" borderId="28" xfId="0" applyFont="1" applyFill="1" applyBorder="1" applyAlignment="1">
      <alignment horizontal="center" vertical="center"/>
    </xf>
    <xf numFmtId="0" fontId="74" fillId="33" borderId="6" xfId="0" applyFont="1" applyFill="1" applyBorder="1" applyAlignment="1">
      <alignment horizontal="center" vertical="center"/>
    </xf>
    <xf numFmtId="0" fontId="74" fillId="33" borderId="0" xfId="0" applyFont="1" applyFill="1" applyAlignment="1">
      <alignment horizontal="center" vertical="center"/>
    </xf>
    <xf numFmtId="0" fontId="53" fillId="0" borderId="0" xfId="0" applyFont="1" applyFill="1">
      <alignment vertical="center"/>
    </xf>
    <xf numFmtId="0" fontId="74" fillId="33" borderId="11" xfId="0" applyFont="1" applyFill="1" applyBorder="1" applyAlignment="1">
      <alignment horizontal="center" vertical="center"/>
    </xf>
    <xf numFmtId="0" fontId="74" fillId="0" borderId="0" xfId="0" applyFont="1" applyFill="1">
      <alignment vertical="center"/>
    </xf>
    <xf numFmtId="0" fontId="74" fillId="33" borderId="12" xfId="0" applyFont="1" applyFill="1" applyBorder="1" applyAlignment="1">
      <alignment horizontal="center" vertical="center"/>
    </xf>
    <xf numFmtId="0" fontId="75" fillId="33" borderId="11" xfId="0" applyFont="1" applyFill="1" applyBorder="1" applyAlignment="1">
      <alignment horizontal="center" vertical="center"/>
    </xf>
    <xf numFmtId="0" fontId="75" fillId="33" borderId="0" xfId="0" applyFont="1" applyFill="1" applyBorder="1" applyAlignment="1">
      <alignment horizontal="center" vertical="center"/>
    </xf>
    <xf numFmtId="0" fontId="75" fillId="33" borderId="12" xfId="0" applyFont="1" applyFill="1" applyBorder="1" applyAlignment="1">
      <alignment horizontal="center" vertical="center"/>
    </xf>
    <xf numFmtId="0" fontId="75" fillId="33" borderId="7" xfId="0" applyFont="1" applyFill="1" applyBorder="1" applyAlignment="1">
      <alignment horizontal="center" vertical="center"/>
    </xf>
    <xf numFmtId="0" fontId="75" fillId="33" borderId="8" xfId="0" applyFont="1" applyFill="1" applyBorder="1" applyAlignment="1">
      <alignment horizontal="center" vertical="center"/>
    </xf>
    <xf numFmtId="0" fontId="76" fillId="0" borderId="34" xfId="0" applyFont="1" applyFill="1" applyBorder="1" applyAlignment="1">
      <alignment horizontal="center" vertical="center" wrapText="1"/>
    </xf>
    <xf numFmtId="0" fontId="76" fillId="0" borderId="12" xfId="0" applyFont="1" applyFill="1" applyBorder="1" applyAlignment="1">
      <alignment horizontal="center" vertical="center" wrapText="1"/>
    </xf>
    <xf numFmtId="0" fontId="50" fillId="0" borderId="12" xfId="0" applyFont="1" applyFill="1" applyBorder="1" applyAlignment="1">
      <alignment horizontal="center" vertical="top"/>
    </xf>
    <xf numFmtId="0" fontId="50" fillId="0" borderId="14" xfId="0" applyFont="1" applyFill="1" applyBorder="1" applyAlignment="1">
      <alignment horizontal="center" vertical="top"/>
    </xf>
    <xf numFmtId="0" fontId="76" fillId="0" borderId="30" xfId="0" applyFont="1" applyFill="1" applyBorder="1" applyAlignment="1">
      <alignment horizontal="center" vertical="center" wrapText="1"/>
    </xf>
    <xf numFmtId="0" fontId="77" fillId="33" borderId="12" xfId="0" applyFont="1" applyFill="1" applyBorder="1" applyAlignment="1">
      <alignment horizontal="center" vertical="center" wrapText="1"/>
    </xf>
    <xf numFmtId="0" fontId="79" fillId="0" borderId="0" xfId="0" applyFont="1" applyFill="1" applyBorder="1" applyAlignment="1">
      <alignment vertical="center" wrapText="1"/>
    </xf>
    <xf numFmtId="0" fontId="80" fillId="0" borderId="0" xfId="0" applyFont="1" applyFill="1">
      <alignment vertical="center"/>
    </xf>
    <xf numFmtId="0" fontId="78" fillId="0" borderId="12" xfId="0" applyFont="1" applyFill="1" applyBorder="1" applyAlignment="1">
      <alignment horizontal="center" vertical="center"/>
    </xf>
    <xf numFmtId="0" fontId="78" fillId="0" borderId="0" xfId="0" applyFont="1" applyFill="1" applyBorder="1">
      <alignment vertical="center"/>
    </xf>
    <xf numFmtId="0" fontId="51" fillId="0" borderId="0" xfId="0" applyFont="1" applyFill="1" applyBorder="1">
      <alignment vertical="center"/>
    </xf>
    <xf numFmtId="0" fontId="50" fillId="0" borderId="30" xfId="0" applyFont="1" applyFill="1" applyBorder="1" applyAlignment="1">
      <alignment horizontal="center" vertical="center"/>
    </xf>
    <xf numFmtId="0" fontId="50" fillId="0" borderId="0" xfId="0" applyFont="1" applyFill="1" applyBorder="1">
      <alignment vertical="center"/>
    </xf>
    <xf numFmtId="0" fontId="62" fillId="0" borderId="0" xfId="0" applyFont="1" applyFill="1" applyBorder="1">
      <alignment vertical="center"/>
    </xf>
    <xf numFmtId="0" fontId="62" fillId="0" borderId="0" xfId="0" applyFont="1" applyFill="1" applyBorder="1" applyAlignment="1">
      <alignment horizontal="center" vertical="center"/>
    </xf>
    <xf numFmtId="0" fontId="74" fillId="0" borderId="0" xfId="0" applyFont="1" applyFill="1" applyBorder="1">
      <alignment vertical="center"/>
    </xf>
    <xf numFmtId="0" fontId="76" fillId="0" borderId="0" xfId="0" applyFont="1" applyFill="1" applyBorder="1" applyAlignment="1">
      <alignment vertical="center" wrapText="1"/>
    </xf>
    <xf numFmtId="0" fontId="44" fillId="0" borderId="0" xfId="0" applyFont="1" applyFill="1" applyAlignment="1">
      <alignment vertical="center" wrapText="1"/>
    </xf>
    <xf numFmtId="0" fontId="75" fillId="0" borderId="0" xfId="0" applyFont="1" applyFill="1" applyBorder="1">
      <alignment vertical="center"/>
    </xf>
    <xf numFmtId="0" fontId="81" fillId="0" borderId="6" xfId="0" applyFont="1" applyFill="1" applyBorder="1" applyAlignment="1">
      <alignment horizontal="center" vertical="center" wrapText="1"/>
    </xf>
    <xf numFmtId="0" fontId="81" fillId="0" borderId="0" xfId="0" applyFont="1" applyFill="1" applyAlignment="1">
      <alignment horizontal="center" vertical="center" wrapText="1"/>
    </xf>
    <xf numFmtId="0" fontId="53" fillId="0" borderId="61" xfId="0" applyFont="1" applyFill="1" applyBorder="1" applyAlignment="1">
      <alignment horizontal="center" vertical="center" wrapText="1"/>
    </xf>
    <xf numFmtId="0" fontId="53" fillId="0" borderId="3" xfId="0" applyFont="1" applyFill="1" applyBorder="1" applyAlignment="1">
      <alignment horizontal="center" vertical="center"/>
    </xf>
    <xf numFmtId="0" fontId="53" fillId="0" borderId="3" xfId="0" applyFont="1" applyFill="1" applyBorder="1" applyAlignment="1">
      <alignment horizontal="center" vertical="center" wrapText="1"/>
    </xf>
    <xf numFmtId="0" fontId="53" fillId="0" borderId="61" xfId="0" applyFont="1" applyFill="1" applyBorder="1" applyAlignment="1">
      <alignment horizontal="center" vertical="center"/>
    </xf>
    <xf numFmtId="0" fontId="76" fillId="0" borderId="35" xfId="0" applyFont="1" applyFill="1" applyBorder="1" applyAlignment="1">
      <alignment horizontal="center" vertical="center" wrapText="1"/>
    </xf>
    <xf numFmtId="0" fontId="76" fillId="0" borderId="0" xfId="0" applyFont="1" applyFill="1" applyBorder="1" applyAlignment="1">
      <alignment horizontal="center" vertical="center" wrapText="1"/>
    </xf>
    <xf numFmtId="0" fontId="50" fillId="0" borderId="35" xfId="0" applyFont="1" applyFill="1" applyBorder="1" applyAlignment="1">
      <alignment horizontal="center" vertical="top"/>
    </xf>
    <xf numFmtId="0" fontId="50" fillId="0" borderId="0" xfId="0" applyFont="1" applyFill="1" applyBorder="1" applyAlignment="1">
      <alignment horizontal="center" vertical="top" wrapText="1"/>
    </xf>
    <xf numFmtId="0" fontId="50" fillId="0" borderId="38" xfId="0" applyFont="1" applyFill="1" applyBorder="1" applyAlignment="1">
      <alignment horizontal="center" vertical="top"/>
    </xf>
    <xf numFmtId="0" fontId="81" fillId="0" borderId="12" xfId="0" applyFont="1" applyFill="1" applyBorder="1" applyAlignment="1">
      <alignment horizontal="center" vertical="center" wrapText="1"/>
    </xf>
    <xf numFmtId="0" fontId="53" fillId="0" borderId="62" xfId="0" applyFont="1" applyFill="1" applyBorder="1" applyAlignment="1">
      <alignment horizontal="center" vertical="center"/>
    </xf>
    <xf numFmtId="0" fontId="49" fillId="33" borderId="12" xfId="0" applyFont="1" applyFill="1" applyBorder="1" applyAlignment="1">
      <alignment horizontal="center" vertical="center"/>
    </xf>
    <xf numFmtId="0" fontId="49" fillId="33" borderId="30" xfId="0" applyFont="1" applyFill="1" applyBorder="1" applyAlignment="1">
      <alignment horizontal="center" vertical="center"/>
    </xf>
    <xf numFmtId="0" fontId="74" fillId="33" borderId="30" xfId="0" applyFont="1" applyFill="1" applyBorder="1" applyAlignment="1">
      <alignment horizontal="center" vertical="center"/>
    </xf>
    <xf numFmtId="0" fontId="75" fillId="33" borderId="14" xfId="0" applyFont="1" applyFill="1" applyBorder="1" applyAlignment="1">
      <alignment horizontal="center" vertical="center"/>
    </xf>
    <xf numFmtId="0" fontId="43" fillId="0" borderId="6" xfId="0" applyFont="1" applyFill="1" applyBorder="1" applyAlignment="1">
      <alignment horizontal="center" vertical="center"/>
    </xf>
    <xf numFmtId="0" fontId="43" fillId="0" borderId="0" xfId="0" applyFont="1" applyFill="1" applyAlignment="1">
      <alignment horizontal="center" vertical="center"/>
    </xf>
    <xf numFmtId="0" fontId="53" fillId="0" borderId="9" xfId="0" applyFont="1" applyFill="1" applyBorder="1">
      <alignment vertical="center"/>
    </xf>
    <xf numFmtId="0" fontId="53" fillId="0" borderId="10" xfId="0" applyFont="1" applyFill="1" applyBorder="1" applyAlignment="1">
      <alignment horizontal="center" vertical="center" wrapText="1"/>
    </xf>
    <xf numFmtId="0" fontId="53" fillId="0" borderId="6" xfId="0" applyFont="1" applyFill="1" applyBorder="1">
      <alignment vertical="center"/>
    </xf>
    <xf numFmtId="0" fontId="53" fillId="0" borderId="31" xfId="0" applyFont="1" applyFill="1" applyBorder="1">
      <alignment vertical="center"/>
    </xf>
    <xf numFmtId="0" fontId="53" fillId="0" borderId="18" xfId="0" applyFont="1" applyFill="1" applyBorder="1" applyAlignment="1">
      <alignment horizontal="center" vertical="center" wrapText="1"/>
    </xf>
    <xf numFmtId="0" fontId="53" fillId="0" borderId="27" xfId="0" applyFont="1" applyFill="1" applyBorder="1">
      <alignment vertical="center"/>
    </xf>
    <xf numFmtId="0" fontId="43" fillId="0" borderId="12" xfId="0" applyFont="1" applyFill="1" applyBorder="1" applyAlignment="1">
      <alignment horizontal="center" vertical="center"/>
    </xf>
    <xf numFmtId="0" fontId="53" fillId="0" borderId="15" xfId="0" applyFont="1" applyFill="1" applyBorder="1" applyAlignment="1">
      <alignment horizontal="center" vertical="center" wrapText="1"/>
    </xf>
    <xf numFmtId="0" fontId="53" fillId="0" borderId="23" xfId="0" applyFont="1" applyFill="1" applyBorder="1" applyAlignment="1">
      <alignment horizontal="center" vertical="center" wrapText="1"/>
    </xf>
    <xf numFmtId="0" fontId="82" fillId="0" borderId="0" xfId="0" applyFont="1" applyFill="1" applyAlignment="1">
      <alignment horizontal="left"/>
    </xf>
    <xf numFmtId="0" fontId="83" fillId="0" borderId="0" xfId="0" applyFont="1" applyFill="1" applyAlignment="1">
      <alignment horizontal="center" vertical="center" wrapText="1"/>
    </xf>
    <xf numFmtId="0" fontId="83" fillId="0" borderId="0" xfId="0" applyFont="1" applyFill="1" applyAlignment="1">
      <alignment horizontal="left" vertical="center" wrapText="1"/>
    </xf>
    <xf numFmtId="49" fontId="83" fillId="0" borderId="0" xfId="0" applyNumberFormat="1" applyFont="1" applyFill="1" applyAlignment="1">
      <alignment horizontal="center" vertical="center" wrapText="1"/>
    </xf>
    <xf numFmtId="0" fontId="83" fillId="0" borderId="0" xfId="0" applyFont="1" applyFill="1" applyAlignment="1">
      <alignment horizontal="center" vertical="center"/>
    </xf>
    <xf numFmtId="0" fontId="84" fillId="0" borderId="0" xfId="0" applyFont="1" applyFill="1" applyAlignment="1">
      <alignment horizontal="center" vertical="center"/>
    </xf>
    <xf numFmtId="0" fontId="85" fillId="34" borderId="4" xfId="0" applyFont="1" applyFill="1" applyBorder="1" applyAlignment="1">
      <alignment horizontal="center" vertical="center" wrapText="1"/>
    </xf>
    <xf numFmtId="0" fontId="85" fillId="34" borderId="5" xfId="0" applyFont="1" applyFill="1" applyBorder="1" applyAlignment="1">
      <alignment horizontal="center" vertical="center" wrapText="1"/>
    </xf>
    <xf numFmtId="49" fontId="85" fillId="34" borderId="5" xfId="0" applyNumberFormat="1" applyFont="1" applyFill="1" applyBorder="1" applyAlignment="1" applyProtection="1">
      <alignment horizontal="center" vertical="center" wrapText="1"/>
      <protection locked="0"/>
    </xf>
    <xf numFmtId="0" fontId="85" fillId="34" borderId="11" xfId="0" applyFont="1" applyFill="1" applyBorder="1" applyAlignment="1">
      <alignment horizontal="center" vertical="center" wrapText="1"/>
    </xf>
    <xf numFmtId="0" fontId="83" fillId="34" borderId="0" xfId="0" applyFont="1" applyFill="1" applyBorder="1" applyAlignment="1">
      <alignment horizontal="center" vertical="center" wrapText="1"/>
    </xf>
    <xf numFmtId="0" fontId="83" fillId="3" borderId="6" xfId="0" applyFont="1" applyFill="1" applyBorder="1" applyAlignment="1">
      <alignment horizontal="center" vertical="center" wrapText="1"/>
    </xf>
    <xf numFmtId="0" fontId="86" fillId="3" borderId="0" xfId="0" applyFont="1" applyFill="1" applyBorder="1" applyAlignment="1">
      <alignment horizontal="center" vertical="center" wrapText="1"/>
    </xf>
    <xf numFmtId="49" fontId="86" fillId="3" borderId="0" xfId="0" applyNumberFormat="1" applyFont="1" applyFill="1" applyBorder="1" applyAlignment="1">
      <alignment horizontal="center" vertical="center" wrapText="1"/>
    </xf>
    <xf numFmtId="0" fontId="86" fillId="3" borderId="12" xfId="0" applyFont="1" applyFill="1" applyBorder="1" applyAlignment="1">
      <alignment horizontal="center" vertical="center" wrapText="1"/>
    </xf>
    <xf numFmtId="0" fontId="87" fillId="2" borderId="6" xfId="0" applyFont="1" applyFill="1" applyBorder="1" applyAlignment="1">
      <alignment horizontal="center" vertical="center" wrapText="1" readingOrder="1"/>
    </xf>
    <xf numFmtId="0" fontId="83" fillId="3" borderId="0" xfId="0" applyFont="1" applyFill="1" applyBorder="1" applyAlignment="1" applyProtection="1">
      <alignment vertical="center" wrapText="1"/>
      <protection locked="0"/>
    </xf>
    <xf numFmtId="0" fontId="88" fillId="3" borderId="0" xfId="0" applyFont="1" applyFill="1" applyBorder="1" applyAlignment="1" applyProtection="1">
      <alignment horizontal="center" vertical="center" wrapText="1"/>
      <protection locked="0"/>
    </xf>
    <xf numFmtId="49" fontId="83" fillId="3" borderId="0" xfId="0" applyNumberFormat="1" applyFont="1" applyFill="1" applyBorder="1" applyAlignment="1" applyProtection="1">
      <alignment horizontal="center" vertical="center" wrapText="1"/>
      <protection locked="0"/>
    </xf>
    <xf numFmtId="0" fontId="84" fillId="3" borderId="0" xfId="0" applyNumberFormat="1" applyFont="1" applyFill="1" applyBorder="1" applyAlignment="1" applyProtection="1">
      <alignment horizontal="center" vertical="center" wrapText="1"/>
      <protection locked="0" hidden="1"/>
    </xf>
    <xf numFmtId="0" fontId="83" fillId="3" borderId="0" xfId="0" applyFont="1" applyFill="1" applyBorder="1" applyAlignment="1" applyProtection="1">
      <alignment horizontal="center" vertical="center" wrapText="1"/>
      <protection locked="0"/>
    </xf>
    <xf numFmtId="0" fontId="83" fillId="3" borderId="12" xfId="0" applyFont="1" applyFill="1" applyBorder="1" applyAlignment="1" applyProtection="1">
      <alignment horizontal="left" vertical="center" wrapText="1"/>
      <protection locked="0"/>
    </xf>
    <xf numFmtId="0" fontId="83" fillId="3" borderId="0" xfId="0" applyFont="1" applyFill="1" applyBorder="1" applyAlignment="1">
      <alignment horizontal="left" vertical="center" wrapText="1"/>
    </xf>
    <xf numFmtId="49" fontId="83" fillId="3" borderId="0" xfId="0" applyNumberFormat="1" applyFont="1" applyFill="1" applyBorder="1" applyAlignment="1">
      <alignment horizontal="center" vertical="center" wrapText="1"/>
    </xf>
    <xf numFmtId="0" fontId="83" fillId="3" borderId="0" xfId="0" applyFont="1" applyFill="1" applyBorder="1" applyAlignment="1">
      <alignment horizontal="center" vertical="center" wrapText="1"/>
    </xf>
    <xf numFmtId="0" fontId="83" fillId="3" borderId="12" xfId="0" applyFont="1" applyFill="1" applyBorder="1" applyAlignment="1">
      <alignment horizontal="left" vertical="center" wrapText="1"/>
    </xf>
    <xf numFmtId="0" fontId="83" fillId="2" borderId="0" xfId="0" applyFont="1" applyFill="1" applyAlignment="1">
      <alignment horizontal="left" vertical="center" wrapText="1"/>
    </xf>
    <xf numFmtId="0" fontId="83" fillId="2" borderId="0" xfId="0" applyFont="1" applyFill="1" applyAlignment="1">
      <alignment horizontal="center" vertical="center"/>
    </xf>
    <xf numFmtId="0" fontId="89" fillId="3" borderId="4" xfId="25" applyFont="1" applyFill="1" applyBorder="1" applyAlignment="1" applyProtection="1">
      <alignment horizontal="center" vertical="center" wrapText="1"/>
    </xf>
    <xf numFmtId="0" fontId="18" fillId="3" borderId="6" xfId="0" applyFont="1" applyFill="1" applyBorder="1" applyAlignment="1">
      <alignment horizontal="center" vertical="center" wrapText="1" readingOrder="1"/>
    </xf>
    <xf numFmtId="0" fontId="69" fillId="3" borderId="6" xfId="0" applyFont="1" applyFill="1" applyBorder="1" applyAlignment="1">
      <alignment horizontal="center" vertical="center" wrapText="1"/>
    </xf>
    <xf numFmtId="0" fontId="69" fillId="3" borderId="4" xfId="0" applyFont="1" applyFill="1" applyBorder="1" applyAlignment="1">
      <alignment horizontal="center" vertical="center" wrapText="1"/>
    </xf>
    <xf numFmtId="0" fontId="23" fillId="3" borderId="27" xfId="0" applyFont="1" applyFill="1" applyBorder="1" applyAlignment="1" applyProtection="1">
      <alignment horizontal="center" vertical="center" wrapText="1"/>
      <protection locked="0"/>
    </xf>
    <xf numFmtId="0" fontId="83" fillId="2" borderId="0" xfId="0" applyFont="1" applyFill="1" applyAlignment="1">
      <alignment horizontal="center" vertical="center" wrapText="1"/>
    </xf>
    <xf numFmtId="0" fontId="90" fillId="34" borderId="0" xfId="0" applyFont="1" applyFill="1" applyAlignment="1">
      <alignment horizontal="center" vertical="center"/>
    </xf>
    <xf numFmtId="0" fontId="83" fillId="34" borderId="0" xfId="0" applyFont="1" applyFill="1" applyBorder="1" applyAlignment="1">
      <alignment horizontal="center" vertical="center"/>
    </xf>
    <xf numFmtId="0" fontId="91" fillId="3" borderId="63" xfId="25" applyFont="1" applyFill="1" applyBorder="1" applyAlignment="1" applyProtection="1">
      <alignment horizontal="center" vertical="center" wrapText="1"/>
    </xf>
    <xf numFmtId="0" fontId="91" fillId="3" borderId="64" xfId="25" applyFont="1" applyFill="1" applyBorder="1" applyAlignment="1" applyProtection="1">
      <alignment horizontal="center" vertical="center" wrapText="1"/>
    </xf>
    <xf numFmtId="0" fontId="84" fillId="2" borderId="0" xfId="0" applyFont="1" applyFill="1" applyBorder="1" applyAlignment="1">
      <alignment horizontal="center" vertical="center" wrapText="1"/>
    </xf>
    <xf numFmtId="0" fontId="84" fillId="2" borderId="0" xfId="0" applyFont="1" applyFill="1" applyBorder="1" applyAlignment="1">
      <alignment horizontal="center" vertical="center"/>
    </xf>
    <xf numFmtId="0" fontId="83" fillId="3" borderId="61" xfId="0" applyFont="1" applyFill="1" applyBorder="1" applyAlignment="1" applyProtection="1">
      <alignment horizontal="center" vertical="center" wrapText="1"/>
      <protection locked="0"/>
    </xf>
    <xf numFmtId="0" fontId="83" fillId="3" borderId="62" xfId="0" applyFont="1" applyFill="1" applyBorder="1" applyAlignment="1" applyProtection="1">
      <alignment horizontal="center" vertical="center" wrapText="1"/>
      <protection locked="0"/>
    </xf>
    <xf numFmtId="0" fontId="84" fillId="2" borderId="0" xfId="0" applyFont="1" applyFill="1" applyAlignment="1">
      <alignment horizontal="left" vertical="center"/>
    </xf>
    <xf numFmtId="0" fontId="84" fillId="2" borderId="0" xfId="0" applyFont="1" applyFill="1" applyBorder="1" applyAlignment="1">
      <alignment horizontal="centerContinuous" vertical="center"/>
    </xf>
    <xf numFmtId="0" fontId="84" fillId="2" borderId="0" xfId="0" applyFont="1" applyFill="1" applyAlignment="1">
      <alignment horizontal="center" vertical="center"/>
    </xf>
    <xf numFmtId="0" fontId="88" fillId="3" borderId="65" xfId="0" applyFont="1" applyFill="1" applyBorder="1" applyAlignment="1">
      <alignment horizontal="left" vertical="center" wrapText="1"/>
    </xf>
    <xf numFmtId="0" fontId="83" fillId="3" borderId="66" xfId="0" applyFont="1" applyFill="1" applyBorder="1" applyAlignment="1" applyProtection="1">
      <alignment vertical="center" wrapText="1"/>
      <protection locked="0"/>
    </xf>
    <xf numFmtId="0" fontId="89" fillId="3" borderId="5" xfId="25" applyFont="1" applyFill="1" applyBorder="1" applyAlignment="1" applyProtection="1">
      <alignment horizontal="center" vertical="center" wrapText="1"/>
    </xf>
    <xf numFmtId="0" fontId="89" fillId="3" borderId="11" xfId="25" applyFont="1" applyFill="1" applyBorder="1" applyAlignment="1" applyProtection="1">
      <alignment horizontal="center" vertical="center" wrapText="1"/>
    </xf>
    <xf numFmtId="0" fontId="18" fillId="3" borderId="0" xfId="0" applyFont="1" applyFill="1" applyBorder="1" applyAlignment="1">
      <alignment horizontal="center" vertical="center"/>
    </xf>
    <xf numFmtId="0" fontId="18" fillId="3" borderId="12" xfId="0" applyFont="1" applyFill="1" applyBorder="1" applyAlignment="1">
      <alignment horizontal="center" vertical="center"/>
    </xf>
    <xf numFmtId="0" fontId="69" fillId="3" borderId="36" xfId="0" applyFont="1" applyFill="1" applyBorder="1" applyAlignment="1" applyProtection="1">
      <alignment horizontal="center" vertical="center" wrapText="1"/>
      <protection locked="0"/>
    </xf>
    <xf numFmtId="0" fontId="69" fillId="3" borderId="67" xfId="0" applyFont="1" applyFill="1" applyBorder="1" applyAlignment="1" applyProtection="1">
      <alignment horizontal="center" vertical="center" wrapText="1"/>
      <protection locked="0"/>
    </xf>
    <xf numFmtId="0" fontId="69" fillId="3" borderId="5" xfId="0" applyFont="1" applyFill="1" applyBorder="1" applyAlignment="1">
      <alignment horizontal="center" vertical="center" wrapText="1"/>
    </xf>
    <xf numFmtId="0" fontId="69" fillId="3" borderId="11" xfId="0" applyFont="1" applyFill="1" applyBorder="1" applyAlignment="1">
      <alignment horizontal="center" vertical="center" wrapText="1"/>
    </xf>
    <xf numFmtId="0" fontId="83" fillId="2" borderId="0" xfId="0" applyFont="1" applyFill="1" applyAlignment="1">
      <alignment vertical="center" wrapText="1"/>
    </xf>
    <xf numFmtId="0" fontId="23" fillId="3" borderId="28" xfId="0" applyFont="1" applyFill="1" applyBorder="1" applyAlignment="1" applyProtection="1">
      <alignment horizontal="center" vertical="center" wrapText="1"/>
      <protection locked="0"/>
    </xf>
    <xf numFmtId="0" fontId="23" fillId="3" borderId="30" xfId="0" applyFont="1" applyFill="1" applyBorder="1" applyAlignment="1" applyProtection="1">
      <alignment horizontal="center" vertical="center" wrapText="1"/>
      <protection locked="0"/>
    </xf>
    <xf numFmtId="0" fontId="84" fillId="2" borderId="0" xfId="0" applyFont="1" applyFill="1" applyAlignment="1">
      <alignment horizontal="left" vertical="center" wrapText="1"/>
    </xf>
    <xf numFmtId="0" fontId="84" fillId="34" borderId="0" xfId="0" applyFont="1" applyFill="1" applyBorder="1" applyAlignment="1">
      <alignment horizontal="center" vertical="center"/>
    </xf>
    <xf numFmtId="0" fontId="19" fillId="2" borderId="0" xfId="0" applyFont="1" applyFill="1">
      <alignment vertical="center"/>
    </xf>
    <xf numFmtId="0" fontId="83" fillId="3" borderId="27" xfId="0" applyFont="1" applyFill="1" applyBorder="1" applyAlignment="1">
      <alignment horizontal="center" vertical="center" wrapText="1"/>
    </xf>
    <xf numFmtId="0" fontId="83" fillId="3" borderId="28" xfId="0" applyFont="1" applyFill="1" applyBorder="1" applyAlignment="1">
      <alignment horizontal="left" vertical="center" wrapText="1"/>
    </xf>
    <xf numFmtId="49" fontId="83" fillId="3" borderId="28" xfId="0" applyNumberFormat="1" applyFont="1" applyFill="1" applyBorder="1" applyAlignment="1">
      <alignment horizontal="center" vertical="center" wrapText="1"/>
    </xf>
    <xf numFmtId="0" fontId="83" fillId="3" borderId="28" xfId="0" applyFont="1" applyFill="1" applyBorder="1" applyAlignment="1">
      <alignment horizontal="center" vertical="center" wrapText="1"/>
    </xf>
    <xf numFmtId="0" fontId="83" fillId="3" borderId="30" xfId="0" applyFont="1" applyFill="1" applyBorder="1" applyAlignment="1">
      <alignment horizontal="left" vertical="center" wrapText="1"/>
    </xf>
    <xf numFmtId="0" fontId="83" fillId="33" borderId="4" xfId="0" applyFont="1" applyFill="1" applyBorder="1" applyAlignment="1">
      <alignment horizontal="center" vertical="center"/>
    </xf>
    <xf numFmtId="0" fontId="83" fillId="33" borderId="5" xfId="0" applyFont="1" applyFill="1" applyBorder="1" applyAlignment="1">
      <alignment horizontal="left" vertical="center"/>
    </xf>
    <xf numFmtId="49" fontId="83" fillId="33" borderId="5" xfId="0" applyNumberFormat="1" applyFont="1" applyFill="1" applyBorder="1" applyAlignment="1">
      <alignment horizontal="center" vertical="center"/>
    </xf>
    <xf numFmtId="0" fontId="83" fillId="33" borderId="5" xfId="0" applyFont="1" applyFill="1" applyBorder="1" applyAlignment="1">
      <alignment horizontal="center" vertical="center" wrapText="1"/>
    </xf>
    <xf numFmtId="0" fontId="83" fillId="33" borderId="5" xfId="0" applyFont="1" applyFill="1" applyBorder="1" applyAlignment="1">
      <alignment horizontal="center" vertical="center"/>
    </xf>
    <xf numFmtId="0" fontId="83" fillId="33" borderId="11" xfId="0" applyFont="1" applyFill="1" applyBorder="1" applyAlignment="1">
      <alignment horizontal="left" vertical="center"/>
    </xf>
    <xf numFmtId="0" fontId="92" fillId="2" borderId="0" xfId="0" applyFont="1" applyFill="1" applyAlignment="1">
      <alignment horizontal="center" vertical="center" wrapText="1"/>
    </xf>
    <xf numFmtId="0" fontId="83" fillId="33" borderId="6" xfId="0" applyFont="1" applyFill="1" applyBorder="1" applyAlignment="1">
      <alignment horizontal="center" vertical="center"/>
    </xf>
    <xf numFmtId="0" fontId="83" fillId="33" borderId="0" xfId="0" applyFont="1" applyFill="1" applyBorder="1" applyAlignment="1">
      <alignment horizontal="left" vertical="center"/>
    </xf>
    <xf numFmtId="49" fontId="83" fillId="33" borderId="0" xfId="0" applyNumberFormat="1" applyFont="1" applyFill="1" applyBorder="1" applyAlignment="1">
      <alignment horizontal="center" vertical="center"/>
    </xf>
    <xf numFmtId="0" fontId="83" fillId="33" borderId="0" xfId="0" applyFont="1" applyFill="1" applyBorder="1" applyAlignment="1">
      <alignment horizontal="center" vertical="center" wrapText="1"/>
    </xf>
    <xf numFmtId="0" fontId="83" fillId="33" borderId="0" xfId="0" applyFont="1" applyFill="1" applyBorder="1" applyAlignment="1">
      <alignment horizontal="center" vertical="center"/>
    </xf>
    <xf numFmtId="0" fontId="83" fillId="33" borderId="12" xfId="0" applyFont="1" applyFill="1" applyBorder="1" applyAlignment="1">
      <alignment horizontal="left" vertical="center" wrapText="1"/>
    </xf>
    <xf numFmtId="49" fontId="83" fillId="33" borderId="0" xfId="0" applyNumberFormat="1" applyFont="1" applyFill="1" applyAlignment="1">
      <alignment horizontal="center" vertical="center"/>
    </xf>
    <xf numFmtId="0" fontId="83" fillId="33" borderId="0" xfId="0" applyFont="1" applyFill="1" applyAlignment="1">
      <alignment horizontal="center" vertical="center" wrapText="1"/>
    </xf>
    <xf numFmtId="0" fontId="83" fillId="33" borderId="0" xfId="0" applyFont="1" applyFill="1" applyAlignment="1">
      <alignment horizontal="center" vertical="center"/>
    </xf>
    <xf numFmtId="0" fontId="83" fillId="33" borderId="12" xfId="0" applyFont="1" applyFill="1" applyBorder="1" applyAlignment="1">
      <alignment horizontal="left" vertical="center"/>
    </xf>
    <xf numFmtId="0" fontId="93" fillId="2" borderId="0" xfId="0" applyFont="1" applyFill="1" applyAlignment="1">
      <alignment horizontal="center" vertical="center" wrapText="1"/>
    </xf>
    <xf numFmtId="0" fontId="84" fillId="2" borderId="0" xfId="0" applyFont="1" applyFill="1" applyAlignment="1">
      <alignment horizontal="centerContinuous" vertical="center"/>
    </xf>
    <xf numFmtId="0" fontId="83" fillId="2" borderId="0" xfId="0" applyFont="1" applyFill="1">
      <alignment vertical="center"/>
    </xf>
    <xf numFmtId="49" fontId="83" fillId="33" borderId="0" xfId="0" applyNumberFormat="1" applyFont="1" applyFill="1" applyBorder="1" applyAlignment="1">
      <alignment horizontal="center" vertical="center" wrapText="1"/>
    </xf>
    <xf numFmtId="49" fontId="83" fillId="33" borderId="0" xfId="0" applyNumberFormat="1" applyFont="1" applyFill="1" applyAlignment="1">
      <alignment horizontal="center" vertical="center" wrapText="1"/>
    </xf>
    <xf numFmtId="0" fontId="83" fillId="33" borderId="27" xfId="0" applyFont="1" applyFill="1" applyBorder="1" applyAlignment="1">
      <alignment horizontal="center" vertical="center"/>
    </xf>
    <xf numFmtId="0" fontId="83" fillId="33" borderId="28" xfId="0" applyFont="1" applyFill="1" applyBorder="1" applyAlignment="1">
      <alignment horizontal="left" vertical="center"/>
    </xf>
    <xf numFmtId="49" fontId="83" fillId="33" borderId="28" xfId="0" applyNumberFormat="1" applyFont="1" applyFill="1" applyBorder="1" applyAlignment="1">
      <alignment horizontal="center" vertical="center"/>
    </xf>
    <xf numFmtId="0" fontId="83" fillId="33" borderId="28" xfId="0" applyFont="1" applyFill="1" applyBorder="1" applyAlignment="1">
      <alignment horizontal="center" vertical="center" wrapText="1"/>
    </xf>
    <xf numFmtId="0" fontId="83" fillId="33" borderId="28" xfId="0" applyFont="1" applyFill="1" applyBorder="1" applyAlignment="1">
      <alignment horizontal="center" vertical="center"/>
    </xf>
    <xf numFmtId="0" fontId="83" fillId="33" borderId="30" xfId="0" applyFont="1" applyFill="1" applyBorder="1" applyAlignment="1">
      <alignment horizontal="left" vertical="center"/>
    </xf>
    <xf numFmtId="0" fontId="83" fillId="35" borderId="4" xfId="0" applyFont="1" applyFill="1" applyBorder="1" applyAlignment="1">
      <alignment horizontal="center" vertical="center"/>
    </xf>
    <xf numFmtId="0" fontId="83" fillId="35" borderId="5" xfId="0" applyFont="1" applyFill="1" applyBorder="1" applyAlignment="1">
      <alignment horizontal="left" vertical="center"/>
    </xf>
    <xf numFmtId="49" fontId="83" fillId="35" borderId="5" xfId="0" applyNumberFormat="1" applyFont="1" applyFill="1" applyBorder="1" applyAlignment="1">
      <alignment horizontal="center" vertical="center"/>
    </xf>
    <xf numFmtId="0" fontId="83" fillId="35" borderId="5" xfId="0" applyFont="1" applyFill="1" applyBorder="1" applyAlignment="1">
      <alignment horizontal="center" vertical="center" wrapText="1"/>
    </xf>
    <xf numFmtId="0" fontId="83" fillId="35" borderId="5" xfId="0" applyFont="1" applyFill="1" applyBorder="1" applyAlignment="1">
      <alignment horizontal="center" vertical="center"/>
    </xf>
    <xf numFmtId="0" fontId="83" fillId="35" borderId="11" xfId="0" applyFont="1" applyFill="1" applyBorder="1" applyAlignment="1">
      <alignment horizontal="left" vertical="center" wrapText="1"/>
    </xf>
    <xf numFmtId="0" fontId="83" fillId="34" borderId="6" xfId="0" applyFont="1" applyFill="1" applyBorder="1" applyAlignment="1">
      <alignment horizontal="center" vertical="center"/>
    </xf>
    <xf numFmtId="0" fontId="83" fillId="34" borderId="0" xfId="0" applyFont="1" applyFill="1" applyBorder="1" applyAlignment="1">
      <alignment horizontal="left" vertical="center"/>
    </xf>
    <xf numFmtId="49" fontId="83" fillId="34" borderId="0" xfId="0" applyNumberFormat="1" applyFont="1" applyFill="1" applyAlignment="1">
      <alignment horizontal="center" vertical="center"/>
    </xf>
    <xf numFmtId="0" fontId="83" fillId="34" borderId="0" xfId="0" applyFont="1" applyFill="1" applyAlignment="1">
      <alignment horizontal="center" vertical="center" wrapText="1"/>
    </xf>
    <xf numFmtId="0" fontId="83" fillId="34" borderId="0" xfId="0" applyFont="1" applyFill="1" applyAlignment="1">
      <alignment horizontal="center" vertical="center"/>
    </xf>
    <xf numFmtId="0" fontId="83" fillId="34" borderId="12" xfId="0" applyFont="1" applyFill="1" applyBorder="1" applyAlignment="1">
      <alignment horizontal="left" vertical="center"/>
    </xf>
    <xf numFmtId="0" fontId="83" fillId="35" borderId="6" xfId="0" applyFont="1" applyFill="1" applyBorder="1" applyAlignment="1">
      <alignment horizontal="center" vertical="center"/>
    </xf>
    <xf numFmtId="0" fontId="83" fillId="35" borderId="0" xfId="0" applyFont="1" applyFill="1" applyBorder="1" applyAlignment="1">
      <alignment horizontal="left" vertical="center"/>
    </xf>
    <xf numFmtId="49" fontId="83" fillId="35" borderId="0" xfId="0" applyNumberFormat="1" applyFont="1" applyFill="1" applyBorder="1" applyAlignment="1">
      <alignment horizontal="center" vertical="center"/>
    </xf>
    <xf numFmtId="0" fontId="83" fillId="35" borderId="0" xfId="0" applyFont="1" applyFill="1" applyBorder="1" applyAlignment="1">
      <alignment horizontal="center" vertical="center" wrapText="1"/>
    </xf>
    <xf numFmtId="0" fontId="83" fillId="35" borderId="0" xfId="0" applyFont="1" applyFill="1" applyBorder="1" applyAlignment="1">
      <alignment horizontal="center" vertical="center"/>
    </xf>
    <xf numFmtId="0" fontId="83" fillId="35" borderId="12" xfId="0" applyFont="1" applyFill="1" applyBorder="1" applyAlignment="1">
      <alignment horizontal="left" vertical="center" wrapText="1"/>
    </xf>
    <xf numFmtId="0" fontId="83" fillId="34" borderId="12" xfId="0" applyFont="1" applyFill="1" applyBorder="1" applyAlignment="1">
      <alignment horizontal="left" vertical="center" wrapText="1"/>
    </xf>
    <xf numFmtId="0" fontId="83" fillId="35" borderId="27" xfId="0" applyFont="1" applyFill="1" applyBorder="1" applyAlignment="1">
      <alignment horizontal="center" vertical="center"/>
    </xf>
    <xf numFmtId="0" fontId="83" fillId="35" borderId="28" xfId="0" applyFont="1" applyFill="1" applyBorder="1" applyAlignment="1">
      <alignment horizontal="left" vertical="center"/>
    </xf>
    <xf numFmtId="49" fontId="83" fillId="35" borderId="28" xfId="0" applyNumberFormat="1" applyFont="1" applyFill="1" applyBorder="1" applyAlignment="1">
      <alignment horizontal="center" vertical="center"/>
    </xf>
    <xf numFmtId="0" fontId="83" fillId="35" borderId="28" xfId="0" applyFont="1" applyFill="1" applyBorder="1" applyAlignment="1">
      <alignment horizontal="center" vertical="center" wrapText="1"/>
    </xf>
    <xf numFmtId="0" fontId="83" fillId="35" borderId="28" xfId="0" applyFont="1" applyFill="1" applyBorder="1" applyAlignment="1">
      <alignment horizontal="center" vertical="center"/>
    </xf>
    <xf numFmtId="0" fontId="83" fillId="35" borderId="30" xfId="0" applyFont="1" applyFill="1" applyBorder="1" applyAlignment="1">
      <alignment horizontal="left" vertical="center" wrapText="1"/>
    </xf>
    <xf numFmtId="0" fontId="83" fillId="2" borderId="6" xfId="0" applyFont="1" applyFill="1" applyBorder="1" applyAlignment="1">
      <alignment horizontal="center" vertical="center"/>
    </xf>
    <xf numFmtId="0" fontId="83" fillId="2" borderId="0" xfId="0" applyFont="1" applyFill="1" applyBorder="1" applyAlignment="1">
      <alignment horizontal="left" vertical="center"/>
    </xf>
    <xf numFmtId="49" fontId="83" fillId="2" borderId="0" xfId="0" applyNumberFormat="1" applyFont="1" applyFill="1" applyAlignment="1">
      <alignment horizontal="center" vertical="center"/>
    </xf>
    <xf numFmtId="0" fontId="83" fillId="2" borderId="12" xfId="0" applyFont="1" applyFill="1" applyBorder="1" applyAlignment="1">
      <alignment horizontal="left" vertical="center"/>
    </xf>
    <xf numFmtId="0" fontId="83" fillId="36" borderId="6" xfId="0" applyFont="1" applyFill="1" applyBorder="1" applyAlignment="1">
      <alignment horizontal="center" vertical="center"/>
    </xf>
    <xf numFmtId="0" fontId="83" fillId="36" borderId="0" xfId="0" applyFont="1" applyFill="1" applyBorder="1" applyAlignment="1">
      <alignment horizontal="left" vertical="center"/>
    </xf>
    <xf numFmtId="49" fontId="83" fillId="36" borderId="0" xfId="0" applyNumberFormat="1" applyFont="1" applyFill="1" applyBorder="1" applyAlignment="1">
      <alignment horizontal="center" vertical="center"/>
    </xf>
    <xf numFmtId="0" fontId="83" fillId="36" borderId="0" xfId="0" applyFont="1" applyFill="1" applyBorder="1" applyAlignment="1">
      <alignment horizontal="center" vertical="center" wrapText="1"/>
    </xf>
    <xf numFmtId="0" fontId="83" fillId="36" borderId="0" xfId="0" applyFont="1" applyFill="1" applyBorder="1" applyAlignment="1">
      <alignment horizontal="center" vertical="center"/>
    </xf>
    <xf numFmtId="0" fontId="83" fillId="36" borderId="12" xfId="0" applyFont="1" applyFill="1" applyBorder="1" applyAlignment="1">
      <alignment horizontal="left" vertical="center" wrapText="1"/>
    </xf>
    <xf numFmtId="0" fontId="83" fillId="2" borderId="12" xfId="0" applyFont="1" applyFill="1" applyBorder="1" applyAlignment="1">
      <alignment horizontal="left" vertical="center" wrapText="1"/>
    </xf>
    <xf numFmtId="0" fontId="94" fillId="2" borderId="49" xfId="0" applyFont="1" applyFill="1" applyBorder="1" applyAlignment="1">
      <alignment horizontal="center" vertical="center" wrapText="1"/>
    </xf>
    <xf numFmtId="0" fontId="94" fillId="2" borderId="50" xfId="0" applyFont="1" applyFill="1" applyBorder="1" applyAlignment="1">
      <alignment horizontal="center" vertical="center" wrapText="1"/>
    </xf>
    <xf numFmtId="0" fontId="70" fillId="2" borderId="51" xfId="0" applyFont="1" applyFill="1" applyBorder="1" applyAlignment="1">
      <alignment horizontal="center" vertical="center" wrapText="1"/>
    </xf>
    <xf numFmtId="0" fontId="70" fillId="2" borderId="52" xfId="0" applyFont="1" applyFill="1" applyBorder="1" applyAlignment="1">
      <alignment horizontal="center" vertical="center" wrapText="1"/>
    </xf>
    <xf numFmtId="0" fontId="83" fillId="2" borderId="3" xfId="0" applyFont="1" applyFill="1" applyBorder="1">
      <alignment vertical="center"/>
    </xf>
    <xf numFmtId="0" fontId="84" fillId="2" borderId="3" xfId="0" applyFont="1" applyFill="1" applyBorder="1" applyAlignment="1">
      <alignment horizontal="center" vertical="center"/>
    </xf>
    <xf numFmtId="0" fontId="84" fillId="2" borderId="68" xfId="0" applyFont="1" applyFill="1" applyBorder="1" applyAlignment="1">
      <alignment horizontal="center" vertical="center"/>
    </xf>
    <xf numFmtId="0" fontId="70" fillId="2" borderId="69" xfId="0" applyFont="1" applyFill="1" applyBorder="1" applyAlignment="1">
      <alignment horizontal="center" vertical="center" wrapText="1"/>
    </xf>
    <xf numFmtId="0" fontId="70" fillId="2" borderId="70" xfId="0" applyFont="1" applyFill="1" applyBorder="1" applyAlignment="1">
      <alignment horizontal="center" vertical="center" wrapText="1"/>
    </xf>
    <xf numFmtId="0" fontId="94" fillId="2" borderId="0" xfId="0" applyFont="1" applyFill="1" applyAlignment="1">
      <alignment horizontal="left" vertical="center" wrapText="1"/>
    </xf>
    <xf numFmtId="0" fontId="83" fillId="2" borderId="1" xfId="0" applyFont="1" applyFill="1" applyBorder="1">
      <alignment vertical="center"/>
    </xf>
    <xf numFmtId="0" fontId="84" fillId="2" borderId="1" xfId="0" applyFont="1" applyFill="1" applyBorder="1" applyAlignment="1">
      <alignment horizontal="center" vertical="center"/>
    </xf>
    <xf numFmtId="0" fontId="83" fillId="2" borderId="0" xfId="0" applyFont="1" applyFill="1" applyBorder="1" applyAlignment="1">
      <alignment horizontal="center" vertical="center" wrapText="1"/>
    </xf>
    <xf numFmtId="0" fontId="83" fillId="2" borderId="0" xfId="0" applyFont="1" applyFill="1" applyBorder="1">
      <alignment vertical="center"/>
    </xf>
    <xf numFmtId="0" fontId="18" fillId="2" borderId="0" xfId="0" applyFont="1" applyFill="1" applyAlignment="1">
      <alignment horizontal="left" vertical="center" wrapText="1" indent="1"/>
    </xf>
    <xf numFmtId="0" fontId="94" fillId="2" borderId="56" xfId="0" applyFont="1" applyFill="1" applyBorder="1">
      <alignment vertical="center"/>
    </xf>
    <xf numFmtId="0" fontId="94" fillId="2" borderId="58" xfId="0" applyFont="1" applyFill="1" applyBorder="1">
      <alignment vertical="center"/>
    </xf>
    <xf numFmtId="0" fontId="94" fillId="2" borderId="71" xfId="0" applyFont="1" applyFill="1" applyBorder="1">
      <alignment vertical="center"/>
    </xf>
    <xf numFmtId="0" fontId="83" fillId="2" borderId="0" xfId="0" applyFont="1" applyFill="1" applyBorder="1" applyAlignment="1">
      <alignment horizontal="center" vertical="center"/>
    </xf>
    <xf numFmtId="0" fontId="83" fillId="36" borderId="0" xfId="0" applyFont="1" applyFill="1" applyAlignment="1">
      <alignment horizontal="left" vertical="center"/>
    </xf>
    <xf numFmtId="0" fontId="83" fillId="2" borderId="27" xfId="0" applyFont="1" applyFill="1" applyBorder="1" applyAlignment="1">
      <alignment horizontal="center" vertical="center"/>
    </xf>
    <xf numFmtId="0" fontId="83" fillId="2" borderId="28" xfId="0" applyFont="1" applyFill="1" applyBorder="1" applyAlignment="1">
      <alignment horizontal="left" vertical="center"/>
    </xf>
    <xf numFmtId="49" fontId="83" fillId="2" borderId="28" xfId="0" applyNumberFormat="1" applyFont="1" applyFill="1" applyBorder="1" applyAlignment="1">
      <alignment horizontal="center" vertical="center"/>
    </xf>
    <xf numFmtId="0" fontId="83" fillId="2" borderId="28" xfId="0" applyFont="1" applyFill="1" applyBorder="1" applyAlignment="1">
      <alignment horizontal="center" vertical="center" wrapText="1"/>
    </xf>
    <xf numFmtId="0" fontId="83" fillId="2" borderId="28" xfId="0" applyFont="1" applyFill="1" applyBorder="1" applyAlignment="1">
      <alignment horizontal="center" vertical="center"/>
    </xf>
    <xf numFmtId="0" fontId="83" fillId="2" borderId="30" xfId="0" applyFont="1" applyFill="1" applyBorder="1" applyAlignment="1">
      <alignment horizontal="left" vertical="center"/>
    </xf>
    <xf numFmtId="49" fontId="83" fillId="32" borderId="4" xfId="0" applyNumberFormat="1" applyFont="1" applyFill="1" applyBorder="1" applyAlignment="1">
      <alignment horizontal="center" vertical="center"/>
    </xf>
    <xf numFmtId="49" fontId="83" fillId="32" borderId="5" xfId="0" applyNumberFormat="1" applyFont="1" applyFill="1" applyBorder="1" applyAlignment="1">
      <alignment horizontal="left" vertical="center"/>
    </xf>
    <xf numFmtId="49" fontId="83" fillId="32" borderId="5" xfId="0" applyNumberFormat="1" applyFont="1" applyFill="1" applyBorder="1" applyAlignment="1">
      <alignment horizontal="center" vertical="center"/>
    </xf>
    <xf numFmtId="49" fontId="83" fillId="32" borderId="5" xfId="0" applyNumberFormat="1" applyFont="1" applyFill="1" applyBorder="1" applyAlignment="1">
      <alignment horizontal="center" vertical="center" wrapText="1"/>
    </xf>
    <xf numFmtId="0" fontId="83" fillId="32" borderId="5" xfId="0" applyNumberFormat="1" applyFont="1" applyFill="1" applyBorder="1" applyAlignment="1">
      <alignment horizontal="center" vertical="center"/>
    </xf>
    <xf numFmtId="49" fontId="83" fillId="32" borderId="11" xfId="0" applyNumberFormat="1" applyFont="1" applyFill="1" applyBorder="1" applyAlignment="1">
      <alignment horizontal="left" vertical="center" wrapText="1"/>
    </xf>
    <xf numFmtId="49" fontId="83" fillId="32" borderId="6" xfId="0" applyNumberFormat="1" applyFont="1" applyFill="1" applyBorder="1" applyAlignment="1">
      <alignment horizontal="center" vertical="center"/>
    </xf>
    <xf numFmtId="49" fontId="83" fillId="32" borderId="0" xfId="0" applyNumberFormat="1" applyFont="1" applyFill="1" applyBorder="1" applyAlignment="1">
      <alignment horizontal="left" vertical="center"/>
    </xf>
    <xf numFmtId="49" fontId="83" fillId="32" borderId="0" xfId="0" applyNumberFormat="1" applyFont="1" applyFill="1" applyBorder="1" applyAlignment="1">
      <alignment horizontal="center" vertical="center"/>
    </xf>
    <xf numFmtId="49" fontId="83" fillId="32" borderId="0" xfId="0" applyNumberFormat="1" applyFont="1" applyFill="1" applyBorder="1" applyAlignment="1">
      <alignment horizontal="center" vertical="center" wrapText="1"/>
    </xf>
    <xf numFmtId="0" fontId="83" fillId="32" borderId="0" xfId="0" applyNumberFormat="1" applyFont="1" applyFill="1" applyBorder="1" applyAlignment="1">
      <alignment horizontal="center" vertical="center"/>
    </xf>
    <xf numFmtId="49" fontId="83" fillId="32" borderId="12" xfId="0" applyNumberFormat="1" applyFont="1" applyFill="1" applyBorder="1" applyAlignment="1">
      <alignment horizontal="left" vertical="center" wrapText="1"/>
    </xf>
    <xf numFmtId="49" fontId="83" fillId="32" borderId="0" xfId="0" applyNumberFormat="1" applyFont="1" applyFill="1" applyAlignment="1">
      <alignment horizontal="center" vertical="center"/>
    </xf>
    <xf numFmtId="49" fontId="83" fillId="32" borderId="0" xfId="0" applyNumberFormat="1" applyFont="1" applyFill="1" applyAlignment="1">
      <alignment horizontal="center" vertical="center" wrapText="1"/>
    </xf>
    <xf numFmtId="0" fontId="83" fillId="32" borderId="0" xfId="0" applyNumberFormat="1" applyFont="1" applyFill="1" applyAlignment="1">
      <alignment horizontal="center" vertical="center"/>
    </xf>
    <xf numFmtId="49" fontId="83" fillId="32" borderId="12" xfId="0" applyNumberFormat="1" applyFont="1" applyFill="1" applyBorder="1" applyAlignment="1">
      <alignment horizontal="left" vertical="center"/>
    </xf>
    <xf numFmtId="49" fontId="83" fillId="32" borderId="27" xfId="0" applyNumberFormat="1" applyFont="1" applyFill="1" applyBorder="1" applyAlignment="1">
      <alignment horizontal="center" vertical="center"/>
    </xf>
    <xf numFmtId="49" fontId="83" fillId="32" borderId="28" xfId="0" applyNumberFormat="1" applyFont="1" applyFill="1" applyBorder="1" applyAlignment="1">
      <alignment horizontal="left" vertical="center"/>
    </xf>
    <xf numFmtId="49" fontId="83" fillId="32" borderId="28" xfId="0" applyNumberFormat="1" applyFont="1" applyFill="1" applyBorder="1" applyAlignment="1">
      <alignment horizontal="center" vertical="center"/>
    </xf>
    <xf numFmtId="49" fontId="83" fillId="32" borderId="28" xfId="0" applyNumberFormat="1" applyFont="1" applyFill="1" applyBorder="1" applyAlignment="1">
      <alignment horizontal="center" vertical="center" wrapText="1"/>
    </xf>
    <xf numFmtId="0" fontId="83" fillId="32" borderId="28" xfId="0" applyNumberFormat="1" applyFont="1" applyFill="1" applyBorder="1" applyAlignment="1">
      <alignment horizontal="center" vertical="center" wrapText="1"/>
    </xf>
    <xf numFmtId="49" fontId="83" fillId="32" borderId="30" xfId="0" applyNumberFormat="1" applyFont="1" applyFill="1" applyBorder="1" applyAlignment="1">
      <alignment horizontal="left" vertical="center" wrapText="1"/>
    </xf>
    <xf numFmtId="49" fontId="83" fillId="37" borderId="6" xfId="0" applyNumberFormat="1" applyFont="1" applyFill="1" applyBorder="1" applyAlignment="1">
      <alignment horizontal="center" vertical="center"/>
    </xf>
    <xf numFmtId="0" fontId="83" fillId="37" borderId="0" xfId="0" applyFont="1" applyFill="1" applyAlignment="1">
      <alignment horizontal="left" vertical="center" wrapText="1"/>
    </xf>
    <xf numFmtId="49" fontId="83" fillId="37" borderId="0" xfId="0" applyNumberFormat="1" applyFont="1" applyFill="1" applyAlignment="1">
      <alignment horizontal="left" vertical="center" wrapText="1"/>
    </xf>
    <xf numFmtId="49" fontId="83" fillId="37" borderId="0" xfId="0" applyNumberFormat="1" applyFont="1" applyFill="1" applyAlignment="1">
      <alignment horizontal="center" vertical="center" wrapText="1"/>
    </xf>
    <xf numFmtId="0" fontId="83" fillId="37" borderId="0" xfId="0" applyFont="1" applyFill="1" applyAlignment="1">
      <alignment horizontal="center" vertical="center" wrapText="1"/>
    </xf>
    <xf numFmtId="0" fontId="83" fillId="38" borderId="0" xfId="0" applyFont="1" applyFill="1" applyAlignment="1">
      <alignment horizontal="center" vertical="center" wrapText="1"/>
    </xf>
    <xf numFmtId="49" fontId="83" fillId="37" borderId="27" xfId="0" applyNumberFormat="1" applyFont="1" applyFill="1" applyBorder="1" applyAlignment="1">
      <alignment horizontal="center" vertical="center"/>
    </xf>
    <xf numFmtId="0" fontId="18" fillId="2" borderId="0" xfId="0" applyFont="1" applyFill="1" applyAlignment="1">
      <alignment horizontal="center" vertical="center" wrapText="1"/>
    </xf>
    <xf numFmtId="0" fontId="84" fillId="37" borderId="0" xfId="0" applyFont="1" applyFill="1" applyAlignment="1">
      <alignment horizontal="left" vertical="center" wrapText="1"/>
    </xf>
    <xf numFmtId="0" fontId="83" fillId="37" borderId="0" xfId="0" applyFont="1" applyFill="1" applyAlignment="1">
      <alignment horizontal="center" vertical="center"/>
    </xf>
    <xf numFmtId="0" fontId="84" fillId="37" borderId="0" xfId="0" applyFont="1" applyFill="1" applyAlignment="1">
      <alignment horizontal="center" vertical="center"/>
    </xf>
    <xf numFmtId="0" fontId="18" fillId="0" borderId="3" xfId="0" applyFont="1" applyFill="1" applyBorder="1">
      <alignment vertical="center"/>
    </xf>
    <xf numFmtId="0" fontId="69" fillId="0" borderId="3" xfId="0" applyFont="1" applyFill="1" applyBorder="1" applyAlignment="1">
      <alignment vertical="center" shrinkToFit="1"/>
    </xf>
    <xf numFmtId="0" fontId="69" fillId="0" borderId="3" xfId="0" applyFont="1" applyFill="1" applyBorder="1" applyAlignment="1">
      <alignment vertical="center" wrapText="1"/>
    </xf>
    <xf numFmtId="0" fontId="17" fillId="0" borderId="3" xfId="0" applyFont="1" applyFill="1" applyBorder="1">
      <alignment vertical="center"/>
    </xf>
    <xf numFmtId="0" fontId="95" fillId="0" borderId="3" xfId="0" applyFont="1" applyFill="1" applyBorder="1" applyAlignment="1"/>
    <xf numFmtId="0" fontId="96" fillId="0" borderId="3" xfId="0" applyFont="1" applyFill="1" applyBorder="1" applyAlignment="1"/>
    <xf numFmtId="16" fontId="96" fillId="0" borderId="3" xfId="0" applyNumberFormat="1" applyFont="1" applyFill="1" applyBorder="1" applyAlignment="1"/>
    <xf numFmtId="0" fontId="96" fillId="39" borderId="3" xfId="0" applyFont="1" applyFill="1" applyBorder="1" applyAlignment="1"/>
    <xf numFmtId="0" fontId="97" fillId="0" borderId="3" xfId="0" applyFont="1" applyFill="1" applyBorder="1">
      <alignment vertical="center"/>
    </xf>
    <xf numFmtId="0" fontId="97" fillId="0" borderId="3" xfId="0" applyFont="1" applyFill="1" applyBorder="1" applyAlignment="1">
      <alignment horizontal="left"/>
    </xf>
    <xf numFmtId="0" fontId="98" fillId="0" borderId="3" xfId="0" applyFont="1" applyFill="1" applyBorder="1" applyAlignment="1">
      <alignment horizontal="left"/>
    </xf>
    <xf numFmtId="0" fontId="99" fillId="0" borderId="3" xfId="0" applyFont="1" applyFill="1" applyBorder="1" applyAlignment="1">
      <alignment horizontal="left"/>
    </xf>
    <xf numFmtId="0" fontId="17" fillId="3" borderId="3" xfId="0" applyFont="1" applyFill="1" applyBorder="1">
      <alignment vertical="center"/>
    </xf>
    <xf numFmtId="0" fontId="98" fillId="3" borderId="3" xfId="0" applyFont="1" applyFill="1" applyBorder="1" applyAlignment="1">
      <alignment horizontal="left"/>
    </xf>
    <xf numFmtId="0" fontId="100" fillId="3" borderId="3" xfId="0" applyFont="1" applyFill="1" applyBorder="1" applyAlignment="1">
      <alignment horizontal="left"/>
    </xf>
    <xf numFmtId="0" fontId="17" fillId="2" borderId="3" xfId="0" applyFont="1" applyFill="1" applyBorder="1">
      <alignment vertical="center"/>
    </xf>
    <xf numFmtId="0" fontId="98" fillId="2" borderId="3" xfId="0" applyFont="1" applyFill="1" applyBorder="1" applyAlignment="1">
      <alignment horizontal="left"/>
    </xf>
    <xf numFmtId="0" fontId="99" fillId="2" borderId="3" xfId="0" applyFont="1" applyFill="1" applyBorder="1" applyAlignment="1">
      <alignment horizontal="left"/>
    </xf>
    <xf numFmtId="0" fontId="98" fillId="40" borderId="3" xfId="0" applyFont="1" applyFill="1" applyBorder="1" applyAlignment="1">
      <alignment horizontal="left"/>
    </xf>
    <xf numFmtId="0" fontId="98" fillId="11" borderId="3" xfId="0" applyFont="1" applyFill="1" applyBorder="1" applyAlignment="1">
      <alignment horizontal="left"/>
    </xf>
    <xf numFmtId="0" fontId="98" fillId="41" borderId="3" xfId="0" applyFont="1" applyFill="1" applyBorder="1" applyAlignment="1">
      <alignment horizontal="left"/>
    </xf>
    <xf numFmtId="0" fontId="101" fillId="0" borderId="3" xfId="0" applyFont="1" applyFill="1" applyBorder="1">
      <alignment vertical="center"/>
    </xf>
    <xf numFmtId="0" fontId="17" fillId="33" borderId="3" xfId="0" applyFont="1" applyFill="1" applyBorder="1">
      <alignment vertical="center"/>
    </xf>
    <xf numFmtId="0" fontId="98" fillId="33" borderId="3" xfId="0" applyFont="1" applyFill="1" applyBorder="1" applyAlignment="1">
      <alignment horizontal="left"/>
    </xf>
    <xf numFmtId="0" fontId="98" fillId="25" borderId="3" xfId="0" applyFont="1" applyFill="1" applyBorder="1" applyAlignment="1">
      <alignment horizontal="left"/>
    </xf>
    <xf numFmtId="0" fontId="100" fillId="0" borderId="3" xfId="0" applyFont="1" applyFill="1" applyBorder="1" applyAlignment="1">
      <alignment horizontal="left"/>
    </xf>
    <xf numFmtId="0" fontId="17" fillId="42" borderId="3" xfId="0" applyFont="1" applyFill="1" applyBorder="1">
      <alignment vertical="center"/>
    </xf>
    <xf numFmtId="0" fontId="98" fillId="42" borderId="3" xfId="0" applyFont="1" applyFill="1" applyBorder="1" applyAlignment="1">
      <alignment horizontal="left"/>
    </xf>
    <xf numFmtId="0" fontId="98" fillId="43" borderId="3" xfId="0" applyFont="1" applyFill="1" applyBorder="1" applyAlignment="1">
      <alignment horizontal="left"/>
    </xf>
    <xf numFmtId="0" fontId="98" fillId="12" borderId="3" xfId="0" applyFont="1" applyFill="1" applyBorder="1" applyAlignment="1">
      <alignment horizontal="left"/>
    </xf>
    <xf numFmtId="0" fontId="98" fillId="16" borderId="3" xfId="0" applyFont="1" applyFill="1" applyBorder="1" applyAlignment="1">
      <alignment horizontal="left"/>
    </xf>
    <xf numFmtId="0" fontId="99" fillId="16" borderId="3" xfId="0" applyFont="1" applyFill="1" applyBorder="1" applyAlignment="1">
      <alignment horizontal="left"/>
    </xf>
    <xf numFmtId="0" fontId="99" fillId="11" borderId="3" xfId="0" applyFont="1" applyFill="1" applyBorder="1" applyAlignment="1">
      <alignment horizontal="left"/>
    </xf>
    <xf numFmtId="0" fontId="102" fillId="0" borderId="3" xfId="0" applyFont="1" applyFill="1" applyBorder="1" applyAlignment="1">
      <alignment horizontal="left"/>
    </xf>
    <xf numFmtId="0" fontId="99" fillId="43" borderId="3" xfId="0" applyFont="1" applyFill="1" applyBorder="1" applyAlignment="1">
      <alignment horizontal="left"/>
    </xf>
    <xf numFmtId="0" fontId="100" fillId="2" borderId="3" xfId="0" applyFont="1" applyFill="1" applyBorder="1" applyAlignment="1">
      <alignment horizontal="left"/>
    </xf>
    <xf numFmtId="0" fontId="103" fillId="41" borderId="3" xfId="0" applyFont="1" applyFill="1" applyBorder="1" applyAlignment="1">
      <alignment horizontal="left"/>
    </xf>
    <xf numFmtId="0" fontId="103" fillId="0" borderId="3" xfId="0" applyFont="1" applyFill="1" applyBorder="1" applyAlignment="1">
      <alignment horizontal="left"/>
    </xf>
    <xf numFmtId="0" fontId="100" fillId="25" borderId="3" xfId="0" applyFont="1" applyFill="1" applyBorder="1" applyAlignment="1">
      <alignment horizontal="left"/>
    </xf>
    <xf numFmtId="0" fontId="99" fillId="41" borderId="3" xfId="0" applyFont="1" applyFill="1" applyBorder="1" applyAlignment="1">
      <alignment horizontal="left"/>
    </xf>
    <xf numFmtId="0" fontId="99" fillId="3" borderId="3" xfId="0" applyFont="1" applyFill="1" applyBorder="1" applyAlignment="1">
      <alignment horizontal="left"/>
    </xf>
    <xf numFmtId="0" fontId="100" fillId="43" borderId="3" xfId="0" applyFont="1" applyFill="1" applyBorder="1" applyAlignment="1">
      <alignment horizontal="left"/>
    </xf>
    <xf numFmtId="0" fontId="100" fillId="16" borderId="3" xfId="0" applyFont="1" applyFill="1" applyBorder="1" applyAlignment="1">
      <alignment horizontal="left"/>
    </xf>
    <xf numFmtId="0" fontId="48" fillId="0" borderId="3" xfId="0" applyFont="1" applyFill="1" applyBorder="1" applyAlignment="1">
      <alignment horizontal="left"/>
    </xf>
    <xf numFmtId="0" fontId="102" fillId="3" borderId="3" xfId="0" applyFont="1" applyFill="1" applyBorder="1" applyAlignment="1">
      <alignment horizontal="left"/>
    </xf>
    <xf numFmtId="0" fontId="99" fillId="33" borderId="3" xfId="0" applyFont="1" applyFill="1" applyBorder="1" applyAlignment="1">
      <alignment horizontal="left"/>
    </xf>
    <xf numFmtId="0" fontId="99" fillId="25" borderId="3" xfId="0" applyFont="1" applyFill="1" applyBorder="1" applyAlignment="1">
      <alignment horizontal="left"/>
    </xf>
    <xf numFmtId="0" fontId="33" fillId="0" borderId="3" xfId="0" applyFont="1" applyFill="1" applyBorder="1" applyAlignment="1">
      <alignment vertical="center" shrinkToFit="1"/>
    </xf>
    <xf numFmtId="0" fontId="99" fillId="42" borderId="3" xfId="0" applyFont="1" applyFill="1" applyBorder="1" applyAlignment="1">
      <alignment horizontal="left"/>
    </xf>
    <xf numFmtId="0" fontId="101" fillId="12" borderId="3" xfId="0" applyFont="1" applyFill="1" applyBorder="1" applyAlignment="1">
      <alignment horizontal="left"/>
    </xf>
    <xf numFmtId="0" fontId="99" fillId="12" borderId="3" xfId="0" applyFont="1" applyFill="1" applyBorder="1" applyAlignment="1">
      <alignment horizontal="left"/>
    </xf>
    <xf numFmtId="0" fontId="104" fillId="0" borderId="3" xfId="0" applyFont="1" applyFill="1" applyBorder="1" applyAlignment="1">
      <alignment horizontal="left"/>
    </xf>
    <xf numFmtId="0" fontId="48" fillId="3" borderId="3" xfId="0" applyFont="1" applyFill="1" applyBorder="1" applyAlignment="1">
      <alignment horizontal="left"/>
    </xf>
    <xf numFmtId="0" fontId="99" fillId="40" borderId="3" xfId="0" applyFont="1" applyFill="1" applyBorder="1" applyAlignment="1">
      <alignment horizontal="left"/>
    </xf>
    <xf numFmtId="0" fontId="33" fillId="0" borderId="68" xfId="0" applyFont="1" applyFill="1" applyBorder="1" applyAlignment="1">
      <alignment vertical="center" shrinkToFit="1"/>
    </xf>
    <xf numFmtId="0" fontId="69" fillId="0" borderId="68" xfId="0" applyFont="1" applyFill="1" applyBorder="1" applyAlignment="1">
      <alignment vertical="center" wrapText="1"/>
    </xf>
    <xf numFmtId="0" fontId="95" fillId="0" borderId="68" xfId="0" applyFont="1" applyFill="1" applyBorder="1" applyAlignment="1"/>
    <xf numFmtId="0" fontId="96" fillId="0" borderId="68" xfId="0" applyFont="1" applyFill="1" applyBorder="1" applyAlignment="1"/>
    <xf numFmtId="0" fontId="96" fillId="39" borderId="68" xfId="0" applyFont="1" applyFill="1" applyBorder="1" applyAlignment="1"/>
    <xf numFmtId="0" fontId="97" fillId="0" borderId="68" xfId="0" applyFont="1" applyFill="1" applyBorder="1">
      <alignment vertical="center"/>
    </xf>
    <xf numFmtId="0" fontId="97" fillId="0" borderId="68" xfId="0" applyFont="1" applyFill="1" applyBorder="1" applyAlignment="1">
      <alignment horizontal="left"/>
    </xf>
    <xf numFmtId="0" fontId="98" fillId="0" borderId="68" xfId="0" applyFont="1" applyFill="1" applyBorder="1" applyAlignment="1">
      <alignment horizontal="left"/>
    </xf>
    <xf numFmtId="0" fontId="98" fillId="3" borderId="68" xfId="0" applyFont="1" applyFill="1" applyBorder="1" applyAlignment="1">
      <alignment horizontal="left"/>
    </xf>
    <xf numFmtId="0" fontId="100" fillId="3" borderId="68" xfId="0" applyFont="1" applyFill="1" applyBorder="1" applyAlignment="1">
      <alignment horizontal="left"/>
    </xf>
    <xf numFmtId="0" fontId="98" fillId="2" borderId="68" xfId="0" applyFont="1" applyFill="1" applyBorder="1" applyAlignment="1">
      <alignment horizontal="left"/>
    </xf>
    <xf numFmtId="0" fontId="98" fillId="40" borderId="68" xfId="0" applyFont="1" applyFill="1" applyBorder="1" applyAlignment="1">
      <alignment horizontal="left"/>
    </xf>
    <xf numFmtId="0" fontId="98" fillId="11" borderId="68" xfId="0" applyFont="1" applyFill="1" applyBorder="1" applyAlignment="1">
      <alignment horizontal="left"/>
    </xf>
    <xf numFmtId="0" fontId="98" fillId="41" borderId="68" xfId="0" applyFont="1" applyFill="1" applyBorder="1" applyAlignment="1">
      <alignment horizontal="left"/>
    </xf>
    <xf numFmtId="0" fontId="98" fillId="33" borderId="68" xfId="0" applyFont="1" applyFill="1" applyBorder="1" applyAlignment="1">
      <alignment horizontal="left"/>
    </xf>
    <xf numFmtId="0" fontId="98" fillId="25" borderId="68" xfId="0" applyFont="1" applyFill="1" applyBorder="1" applyAlignment="1">
      <alignment horizontal="left"/>
    </xf>
    <xf numFmtId="0" fontId="100" fillId="0" borderId="68" xfId="0" applyFont="1" applyFill="1" applyBorder="1" applyAlignment="1">
      <alignment horizontal="left"/>
    </xf>
    <xf numFmtId="0" fontId="98" fillId="42" borderId="68" xfId="0" applyFont="1" applyFill="1" applyBorder="1" applyAlignment="1">
      <alignment horizontal="left"/>
    </xf>
    <xf numFmtId="0" fontId="98" fillId="43" borderId="68" xfId="0" applyFont="1" applyFill="1" applyBorder="1" applyAlignment="1">
      <alignment horizontal="left"/>
    </xf>
    <xf numFmtId="0" fontId="99" fillId="0" borderId="68" xfId="0" applyFont="1" applyFill="1" applyBorder="1" applyAlignment="1">
      <alignment horizontal="left"/>
    </xf>
    <xf numFmtId="0" fontId="98" fillId="12" borderId="68" xfId="0" applyFont="1" applyFill="1" applyBorder="1" applyAlignment="1">
      <alignment horizontal="left"/>
    </xf>
    <xf numFmtId="0" fontId="98" fillId="16" borderId="68" xfId="0" applyFont="1" applyFill="1" applyBorder="1" applyAlignment="1">
      <alignment horizontal="left"/>
    </xf>
    <xf numFmtId="0" fontId="83" fillId="37" borderId="3" xfId="0" applyFont="1" applyFill="1" applyBorder="1" applyAlignment="1">
      <alignment horizontal="left" vertical="center" wrapText="1"/>
    </xf>
    <xf numFmtId="0" fontId="83" fillId="37" borderId="68" xfId="0" applyFont="1" applyFill="1" applyBorder="1" applyAlignment="1">
      <alignment horizontal="left" vertical="center" wrapText="1"/>
    </xf>
    <xf numFmtId="0" fontId="105" fillId="0" borderId="3" xfId="0" applyFont="1" applyFill="1" applyBorder="1" applyAlignment="1"/>
    <xf numFmtId="0" fontId="105" fillId="0" borderId="68" xfId="0" applyFont="1" applyFill="1" applyBorder="1" applyAlignment="1"/>
    <xf numFmtId="0" fontId="105" fillId="39" borderId="3" xfId="0" applyFont="1" applyFill="1" applyBorder="1" applyAlignment="1"/>
    <xf numFmtId="0" fontId="105" fillId="39" borderId="68" xfId="0" applyFont="1" applyFill="1" applyBorder="1" applyAlignment="1"/>
    <xf numFmtId="0" fontId="18" fillId="0" borderId="68" xfId="0" applyFont="1" applyFill="1" applyBorder="1">
      <alignment vertical="center"/>
    </xf>
    <xf numFmtId="0" fontId="98" fillId="0" borderId="3" xfId="0" applyFont="1" applyFill="1" applyBorder="1" applyAlignment="1"/>
    <xf numFmtId="0" fontId="98" fillId="0" borderId="68" xfId="0" applyFont="1" applyFill="1" applyBorder="1" applyAlignment="1"/>
    <xf numFmtId="0" fontId="98" fillId="3" borderId="3" xfId="0" applyFont="1" applyFill="1" applyBorder="1" applyAlignment="1"/>
    <xf numFmtId="0" fontId="98" fillId="3" borderId="68" xfId="0" applyFont="1" applyFill="1" applyBorder="1" applyAlignment="1"/>
    <xf numFmtId="0" fontId="98" fillId="2" borderId="3" xfId="0" applyFont="1" applyFill="1" applyBorder="1" applyAlignment="1"/>
    <xf numFmtId="0" fontId="98" fillId="40" borderId="3" xfId="0" applyFont="1" applyFill="1" applyBorder="1" applyAlignment="1"/>
    <xf numFmtId="0" fontId="98" fillId="40" borderId="68" xfId="0" applyFont="1" applyFill="1" applyBorder="1" applyAlignment="1"/>
    <xf numFmtId="0" fontId="98" fillId="11" borderId="3" xfId="0" applyFont="1" applyFill="1" applyBorder="1" applyAlignment="1"/>
    <xf numFmtId="0" fontId="98" fillId="11" borderId="68" xfId="0" applyFont="1" applyFill="1" applyBorder="1" applyAlignment="1"/>
    <xf numFmtId="0" fontId="98" fillId="41" borderId="3" xfId="0" applyFont="1" applyFill="1" applyBorder="1" applyAlignment="1"/>
    <xf numFmtId="0" fontId="98" fillId="41" borderId="68" xfId="0" applyFont="1" applyFill="1" applyBorder="1" applyAlignment="1"/>
    <xf numFmtId="0" fontId="98" fillId="33" borderId="3" xfId="0" applyFont="1" applyFill="1" applyBorder="1" applyAlignment="1"/>
    <xf numFmtId="0" fontId="98" fillId="33" borderId="68" xfId="0" applyFont="1" applyFill="1" applyBorder="1" applyAlignment="1"/>
    <xf numFmtId="0" fontId="98" fillId="25" borderId="3" xfId="0" applyFont="1" applyFill="1" applyBorder="1" applyAlignment="1"/>
    <xf numFmtId="0" fontId="98" fillId="25" borderId="68" xfId="0" applyFont="1" applyFill="1" applyBorder="1" applyAlignment="1"/>
    <xf numFmtId="0" fontId="98" fillId="42" borderId="3" xfId="0" applyFont="1" applyFill="1" applyBorder="1" applyAlignment="1"/>
    <xf numFmtId="0" fontId="98" fillId="42" borderId="68" xfId="0" applyFont="1" applyFill="1" applyBorder="1" applyAlignment="1"/>
    <xf numFmtId="0" fontId="98" fillId="43" borderId="3" xfId="0" applyFont="1" applyFill="1" applyBorder="1" applyAlignment="1"/>
    <xf numFmtId="0" fontId="98" fillId="43" borderId="68" xfId="0" applyFont="1" applyFill="1" applyBorder="1" applyAlignment="1"/>
    <xf numFmtId="0" fontId="48" fillId="0" borderId="3" xfId="0" applyFont="1" applyFill="1" applyBorder="1" applyAlignment="1"/>
    <xf numFmtId="0" fontId="98" fillId="12" borderId="3" xfId="0" applyFont="1" applyFill="1" applyBorder="1" applyAlignment="1"/>
    <xf numFmtId="0" fontId="98" fillId="16" borderId="3" xfId="0" applyFont="1" applyFill="1" applyBorder="1" applyAlignment="1"/>
    <xf numFmtId="0" fontId="98" fillId="16" borderId="68" xfId="0" applyFont="1" applyFill="1" applyBorder="1" applyAlignment="1"/>
    <xf numFmtId="0" fontId="48" fillId="16" borderId="3" xfId="0" applyFont="1" applyFill="1" applyBorder="1" applyAlignment="1"/>
    <xf numFmtId="0" fontId="33" fillId="0" borderId="0" xfId="0" applyFont="1" applyFill="1" applyAlignment="1">
      <alignment vertical="center" shrinkToFit="1"/>
    </xf>
    <xf numFmtId="0" fontId="48" fillId="3" borderId="68" xfId="0" applyFont="1" applyFill="1" applyBorder="1" applyAlignment="1"/>
    <xf numFmtId="0" fontId="48" fillId="3" borderId="3" xfId="0" applyFont="1" applyFill="1" applyBorder="1" applyAlignment="1"/>
    <xf numFmtId="0" fontId="48" fillId="2" borderId="68" xfId="0" applyFont="1" applyFill="1" applyBorder="1" applyAlignment="1">
      <alignment horizontal="left"/>
    </xf>
    <xf numFmtId="0" fontId="18" fillId="2" borderId="3" xfId="0" applyFont="1" applyFill="1" applyBorder="1">
      <alignment vertical="center"/>
    </xf>
    <xf numFmtId="0" fontId="48" fillId="2" borderId="3" xfId="0" applyFont="1" applyFill="1" applyBorder="1" applyAlignment="1">
      <alignment horizontal="left"/>
    </xf>
    <xf numFmtId="0" fontId="98" fillId="12" borderId="68" xfId="0" applyFont="1" applyFill="1" applyBorder="1" applyAlignment="1"/>
    <xf numFmtId="0" fontId="48" fillId="16" borderId="68" xfId="0" applyFont="1" applyFill="1" applyBorder="1" applyAlignment="1"/>
    <xf numFmtId="0" fontId="48" fillId="0" borderId="68" xfId="0" applyFont="1" applyFill="1" applyBorder="1" applyAlignment="1"/>
    <xf numFmtId="0" fontId="97" fillId="0" borderId="0" xfId="0" applyFont="1" applyFill="1">
      <alignment vertical="center"/>
    </xf>
    <xf numFmtId="0" fontId="97" fillId="39" borderId="3" xfId="0" applyFont="1" applyFill="1" applyBorder="1">
      <alignment vertical="center"/>
    </xf>
    <xf numFmtId="0" fontId="97" fillId="39" borderId="0" xfId="0" applyFont="1" applyFill="1">
      <alignment vertical="center"/>
    </xf>
    <xf numFmtId="0" fontId="18" fillId="0" borderId="0" xfId="0" applyFont="1" applyFill="1">
      <alignment vertical="center"/>
    </xf>
    <xf numFmtId="0" fontId="18" fillId="3" borderId="3" xfId="0" applyFont="1" applyFill="1" applyBorder="1">
      <alignment vertical="center"/>
    </xf>
    <xf numFmtId="0" fontId="18" fillId="40" borderId="3" xfId="0" applyFont="1" applyFill="1" applyBorder="1">
      <alignment vertical="center"/>
    </xf>
    <xf numFmtId="0" fontId="18" fillId="11" borderId="3" xfId="0" applyFont="1" applyFill="1" applyBorder="1">
      <alignment vertical="center"/>
    </xf>
    <xf numFmtId="0" fontId="18" fillId="41" borderId="3" xfId="0" applyFont="1" applyFill="1" applyBorder="1">
      <alignment vertical="center"/>
    </xf>
    <xf numFmtId="0" fontId="18" fillId="25" borderId="3" xfId="0" applyFont="1" applyFill="1" applyBorder="1">
      <alignment vertical="center"/>
    </xf>
    <xf numFmtId="0" fontId="18" fillId="43" borderId="3" xfId="0" applyFont="1" applyFill="1" applyBorder="1">
      <alignment vertical="center"/>
    </xf>
    <xf numFmtId="0" fontId="18" fillId="33" borderId="3" xfId="0" applyFont="1" applyFill="1" applyBorder="1">
      <alignment vertical="center"/>
    </xf>
    <xf numFmtId="0" fontId="18" fillId="12" borderId="3" xfId="0" applyFont="1" applyFill="1" applyBorder="1">
      <alignment vertical="center"/>
    </xf>
    <xf numFmtId="0" fontId="18" fillId="16" borderId="3" xfId="0" applyFont="1" applyFill="1" applyBorder="1">
      <alignment vertical="center"/>
    </xf>
    <xf numFmtId="0" fontId="98" fillId="44" borderId="3" xfId="0" applyFont="1" applyFill="1" applyBorder="1" applyAlignment="1">
      <alignment horizontal="left"/>
    </xf>
    <xf numFmtId="0" fontId="17" fillId="45" borderId="3" xfId="0" applyFont="1" applyFill="1" applyBorder="1">
      <alignment vertical="center"/>
    </xf>
    <xf numFmtId="0" fontId="101" fillId="45" borderId="3" xfId="0" applyFont="1" applyFill="1" applyBorder="1">
      <alignment vertical="center"/>
    </xf>
    <xf numFmtId="0" fontId="104" fillId="45" borderId="3" xfId="0" applyFont="1" applyFill="1" applyBorder="1" applyAlignment="1">
      <alignment horizontal="left"/>
    </xf>
    <xf numFmtId="0" fontId="18" fillId="45" borderId="3" xfId="0" applyFont="1" applyFill="1" applyBorder="1">
      <alignment vertical="center"/>
    </xf>
    <xf numFmtId="0" fontId="101" fillId="3" borderId="3" xfId="0" applyFont="1" applyFill="1" applyBorder="1">
      <alignment vertical="center"/>
    </xf>
    <xf numFmtId="0" fontId="17" fillId="34" borderId="3" xfId="0" applyFont="1" applyFill="1" applyBorder="1">
      <alignment vertical="center"/>
    </xf>
    <xf numFmtId="0" fontId="18" fillId="34" borderId="3" xfId="0" applyFont="1" applyFill="1" applyBorder="1">
      <alignment vertical="center"/>
    </xf>
    <xf numFmtId="0" fontId="98" fillId="34" borderId="3" xfId="0" applyFont="1" applyFill="1" applyBorder="1" applyAlignment="1">
      <alignment horizontal="left"/>
    </xf>
    <xf numFmtId="0" fontId="99" fillId="34" borderId="3" xfId="0" applyFont="1" applyFill="1" applyBorder="1" applyAlignment="1">
      <alignment horizontal="left"/>
    </xf>
    <xf numFmtId="0" fontId="17" fillId="46" borderId="3" xfId="0" applyFont="1" applyFill="1" applyBorder="1">
      <alignment vertical="center"/>
    </xf>
    <xf numFmtId="0" fontId="18" fillId="46" borderId="3" xfId="0" applyFont="1" applyFill="1" applyBorder="1">
      <alignment vertical="center"/>
    </xf>
    <xf numFmtId="0" fontId="98" fillId="46" borderId="3" xfId="0" applyFont="1" applyFill="1" applyBorder="1" applyAlignment="1">
      <alignment horizontal="left"/>
    </xf>
    <xf numFmtId="0" fontId="101" fillId="46" borderId="3" xfId="0" applyFont="1" applyFill="1" applyBorder="1">
      <alignment vertical="center"/>
    </xf>
    <xf numFmtId="0" fontId="99" fillId="46" borderId="3" xfId="0" applyFont="1" applyFill="1" applyBorder="1" applyAlignment="1">
      <alignment horizontal="left"/>
    </xf>
    <xf numFmtId="0" fontId="101" fillId="44" borderId="3" xfId="0" applyFont="1" applyFill="1" applyBorder="1">
      <alignment vertical="center"/>
    </xf>
    <xf numFmtId="0" fontId="98" fillId="44" borderId="68" xfId="0" applyFont="1" applyFill="1" applyBorder="1" applyAlignment="1">
      <alignment horizontal="left"/>
    </xf>
    <xf numFmtId="0" fontId="101" fillId="0" borderId="68" xfId="0" applyFont="1" applyFill="1" applyBorder="1">
      <alignment vertical="center"/>
    </xf>
    <xf numFmtId="0" fontId="101" fillId="45" borderId="68" xfId="0" applyFont="1" applyFill="1" applyBorder="1">
      <alignment vertical="center"/>
    </xf>
    <xf numFmtId="0" fontId="18" fillId="45" borderId="68" xfId="0" applyFont="1" applyFill="1" applyBorder="1">
      <alignment vertical="center"/>
    </xf>
    <xf numFmtId="0" fontId="18" fillId="3" borderId="68" xfId="0" applyFont="1" applyFill="1" applyBorder="1">
      <alignment vertical="center"/>
    </xf>
    <xf numFmtId="0" fontId="18" fillId="34" borderId="68" xfId="0" applyFont="1" applyFill="1" applyBorder="1">
      <alignment vertical="center"/>
    </xf>
    <xf numFmtId="0" fontId="18" fillId="46" borderId="68" xfId="0" applyFont="1" applyFill="1" applyBorder="1">
      <alignment vertical="center"/>
    </xf>
    <xf numFmtId="0" fontId="98" fillId="44" borderId="3" xfId="0" applyFont="1" applyFill="1" applyBorder="1" applyAlignment="1"/>
    <xf numFmtId="0" fontId="98" fillId="44" borderId="68" xfId="0" applyFont="1" applyFill="1" applyBorder="1" applyAlignment="1"/>
    <xf numFmtId="0" fontId="98" fillId="44" borderId="0" xfId="0" applyFont="1" applyFill="1" applyAlignment="1"/>
    <xf numFmtId="0" fontId="98" fillId="0" borderId="0" xfId="0" applyFont="1" applyFill="1" applyAlignment="1"/>
    <xf numFmtId="0" fontId="18" fillId="45" borderId="0" xfId="0" applyFont="1" applyFill="1">
      <alignment vertical="center"/>
    </xf>
    <xf numFmtId="0" fontId="18" fillId="3" borderId="0" xfId="0" applyFont="1" applyFill="1">
      <alignment vertical="center"/>
    </xf>
    <xf numFmtId="0" fontId="18" fillId="34" borderId="0" xfId="0" applyFont="1" applyFill="1">
      <alignment vertical="center"/>
    </xf>
    <xf numFmtId="0" fontId="18" fillId="46" borderId="0" xfId="0" applyFont="1" applyFill="1">
      <alignment vertical="center"/>
    </xf>
    <xf numFmtId="177" fontId="0" fillId="0" borderId="0" xfId="0" applyNumberFormat="1">
      <alignment vertical="center"/>
    </xf>
    <xf numFmtId="177" fontId="1" fillId="47" borderId="3" xfId="0" applyNumberFormat="1" applyFont="1" applyFill="1" applyBorder="1">
      <alignment vertical="center"/>
    </xf>
    <xf numFmtId="177" fontId="1" fillId="0" borderId="3" xfId="0" applyNumberFormat="1" applyFont="1" applyFill="1" applyBorder="1" applyAlignment="1" applyProtection="1">
      <alignment horizontal="center" vertical="center"/>
      <protection locked="0"/>
    </xf>
    <xf numFmtId="177" fontId="1" fillId="48" borderId="3" xfId="0" applyNumberFormat="1" applyFont="1" applyFill="1" applyBorder="1" applyAlignment="1" applyProtection="1">
      <alignment horizontal="center" vertical="center"/>
      <protection locked="0"/>
    </xf>
    <xf numFmtId="177" fontId="1" fillId="48" borderId="3" xfId="0" applyNumberFormat="1" applyFont="1" applyFill="1" applyBorder="1" applyProtection="1">
      <alignment vertical="center"/>
      <protection locked="0"/>
    </xf>
    <xf numFmtId="177" fontId="1" fillId="2" borderId="3" xfId="0" applyNumberFormat="1" applyFont="1" applyFill="1" applyBorder="1" applyAlignment="1">
      <alignment horizontal="center" vertical="center"/>
    </xf>
    <xf numFmtId="177" fontId="1" fillId="2" borderId="3" xfId="0" applyNumberFormat="1" applyFont="1" applyFill="1" applyBorder="1">
      <alignment vertical="center"/>
    </xf>
    <xf numFmtId="177" fontId="1" fillId="3" borderId="3" xfId="0" applyNumberFormat="1" applyFont="1" applyFill="1" applyBorder="1" applyProtection="1">
      <alignment vertical="center"/>
      <protection locked="0"/>
    </xf>
    <xf numFmtId="177" fontId="1" fillId="33" borderId="3" xfId="0" applyNumberFormat="1" applyFont="1" applyFill="1" applyBorder="1" applyProtection="1">
      <alignment vertical="center"/>
      <protection locked="0"/>
    </xf>
    <xf numFmtId="177" fontId="1" fillId="33" borderId="3" xfId="0" applyNumberFormat="1" applyFont="1" applyFill="1" applyBorder="1" applyAlignment="1" applyProtection="1">
      <alignment horizontal="center" vertical="center"/>
      <protection locked="0"/>
    </xf>
    <xf numFmtId="177" fontId="1" fillId="47" borderId="3" xfId="0" applyNumberFormat="1" applyFont="1" applyFill="1" applyBorder="1" applyAlignment="1">
      <alignment horizontal="center" vertical="center"/>
    </xf>
    <xf numFmtId="177" fontId="1" fillId="2" borderId="3" xfId="0" applyNumberFormat="1" applyFont="1" applyFill="1" applyBorder="1" applyAlignment="1" applyProtection="1">
      <alignment horizontal="center" vertical="center"/>
      <protection locked="0"/>
    </xf>
    <xf numFmtId="177" fontId="1" fillId="47" borderId="1" xfId="0" applyNumberFormat="1" applyFont="1" applyFill="1" applyBorder="1" applyAlignment="1">
      <alignment horizontal="center" vertical="center"/>
    </xf>
    <xf numFmtId="177" fontId="1" fillId="47" borderId="72" xfId="0" applyNumberFormat="1" applyFont="1" applyFill="1" applyBorder="1" applyAlignment="1">
      <alignment horizontal="center" vertical="center"/>
    </xf>
    <xf numFmtId="177" fontId="1" fillId="49" borderId="3" xfId="0" applyNumberFormat="1" applyFont="1" applyFill="1" applyBorder="1">
      <alignment vertical="center"/>
    </xf>
    <xf numFmtId="177" fontId="1" fillId="49" borderId="3" xfId="0" applyNumberFormat="1" applyFont="1" applyFill="1" applyBorder="1" applyAlignment="1">
      <alignment horizontal="center" vertical="center"/>
    </xf>
    <xf numFmtId="177" fontId="1" fillId="33" borderId="3" xfId="0" applyNumberFormat="1" applyFont="1" applyFill="1" applyBorder="1" applyAlignment="1">
      <alignment horizontal="center" vertical="center"/>
    </xf>
    <xf numFmtId="177" fontId="1" fillId="3" borderId="3" xfId="0" applyNumberFormat="1" applyFont="1" applyFill="1" applyBorder="1" applyAlignment="1">
      <alignment horizontal="center" vertical="center"/>
    </xf>
    <xf numFmtId="177" fontId="1" fillId="4" borderId="3" xfId="0" applyNumberFormat="1" applyFont="1" applyFill="1" applyBorder="1">
      <alignment vertical="center"/>
    </xf>
    <xf numFmtId="177" fontId="5" fillId="3" borderId="3" xfId="0" applyNumberFormat="1" applyFont="1" applyFill="1" applyBorder="1" applyAlignment="1">
      <alignment horizontal="center" vertical="center"/>
    </xf>
    <xf numFmtId="177" fontId="1" fillId="4" borderId="3" xfId="0" applyNumberFormat="1" applyFont="1" applyFill="1" applyBorder="1" applyAlignment="1" applyProtection="1">
      <alignment horizontal="center" vertical="center"/>
      <protection locked="0"/>
    </xf>
    <xf numFmtId="177" fontId="1" fillId="0" borderId="3" xfId="0" applyNumberFormat="1" applyFont="1" applyFill="1" applyBorder="1" applyAlignment="1">
      <alignment horizontal="center" vertical="center"/>
    </xf>
    <xf numFmtId="177" fontId="1" fillId="50" borderId="3" xfId="0" applyNumberFormat="1" applyFont="1" applyFill="1" applyBorder="1" applyAlignment="1">
      <alignment horizontal="center" vertical="center" wrapText="1"/>
    </xf>
    <xf numFmtId="177" fontId="1" fillId="46" borderId="3" xfId="0" applyNumberFormat="1" applyFont="1" applyFill="1" applyBorder="1" applyAlignment="1">
      <alignment horizontal="center" vertical="center" wrapText="1"/>
    </xf>
    <xf numFmtId="177" fontId="1" fillId="2" borderId="3" xfId="0" applyNumberFormat="1" applyFont="1" applyFill="1" applyBorder="1" applyAlignment="1" applyProtection="1">
      <alignment horizontal="center" vertical="center" wrapText="1"/>
      <protection locked="0"/>
    </xf>
    <xf numFmtId="177" fontId="1" fillId="3" borderId="3" xfId="0" applyNumberFormat="1" applyFont="1" applyFill="1" applyBorder="1" applyAlignment="1">
      <alignment horizontal="center" vertical="center" wrapText="1"/>
    </xf>
    <xf numFmtId="177" fontId="1" fillId="34" borderId="3" xfId="0" applyNumberFormat="1" applyFont="1" applyFill="1" applyBorder="1" applyAlignment="1">
      <alignment horizontal="center" vertical="center" wrapText="1"/>
    </xf>
    <xf numFmtId="177" fontId="1" fillId="46" borderId="3" xfId="0" applyNumberFormat="1" applyFont="1" applyFill="1" applyBorder="1" applyAlignment="1">
      <alignment vertical="center" wrapText="1"/>
    </xf>
    <xf numFmtId="177" fontId="106" fillId="0" borderId="3" xfId="0" applyNumberFormat="1" applyFont="1" applyFill="1" applyBorder="1" applyAlignment="1">
      <alignment horizontal="center" vertical="center"/>
    </xf>
    <xf numFmtId="177" fontId="1" fillId="2" borderId="3" xfId="0" applyNumberFormat="1" applyFont="1" applyFill="1" applyBorder="1" applyAlignment="1">
      <alignment horizontal="center" vertical="center" wrapText="1"/>
    </xf>
    <xf numFmtId="177" fontId="1" fillId="48" borderId="3" xfId="0" applyNumberFormat="1" applyFont="1" applyFill="1" applyBorder="1" applyAlignment="1">
      <alignment horizontal="center" vertical="center" wrapText="1"/>
    </xf>
    <xf numFmtId="177" fontId="1" fillId="33" borderId="3" xfId="0" applyNumberFormat="1" applyFont="1" applyFill="1" applyBorder="1" applyAlignment="1">
      <alignment horizontal="center" vertical="center" wrapText="1"/>
    </xf>
    <xf numFmtId="177" fontId="107" fillId="37" borderId="3" xfId="0" applyNumberFormat="1" applyFont="1" applyFill="1" applyBorder="1" applyAlignment="1">
      <alignment horizontal="center" vertical="center"/>
    </xf>
    <xf numFmtId="177" fontId="1" fillId="37" borderId="3" xfId="0" applyNumberFormat="1" applyFont="1" applyFill="1" applyBorder="1" applyAlignment="1">
      <alignment horizontal="left" vertical="top" wrapText="1"/>
    </xf>
    <xf numFmtId="177" fontId="1" fillId="5" borderId="73" xfId="0" applyNumberFormat="1" applyFont="1" applyFill="1" applyBorder="1">
      <alignment vertical="center"/>
    </xf>
    <xf numFmtId="177" fontId="1" fillId="0" borderId="74" xfId="0" applyNumberFormat="1" applyFont="1" applyBorder="1" applyAlignment="1">
      <alignment horizontal="center" vertical="center"/>
    </xf>
    <xf numFmtId="177" fontId="1" fillId="0" borderId="75" xfId="0" applyNumberFormat="1" applyFont="1" applyBorder="1" applyAlignment="1">
      <alignment horizontal="center" vertical="center"/>
    </xf>
    <xf numFmtId="177" fontId="1" fillId="5" borderId="76" xfId="0" applyNumberFormat="1" applyFont="1" applyFill="1" applyBorder="1">
      <alignment vertical="center"/>
    </xf>
    <xf numFmtId="177" fontId="1" fillId="0" borderId="2" xfId="0" applyNumberFormat="1" applyFont="1" applyBorder="1" applyAlignment="1">
      <alignment horizontal="center" vertical="center"/>
    </xf>
    <xf numFmtId="177" fontId="1" fillId="0" borderId="77" xfId="0" applyNumberFormat="1" applyFont="1" applyBorder="1" applyAlignment="1">
      <alignment horizontal="center" vertical="center"/>
    </xf>
    <xf numFmtId="177" fontId="1" fillId="5" borderId="78" xfId="0" applyNumberFormat="1" applyFont="1" applyFill="1" applyBorder="1">
      <alignment vertical="center"/>
    </xf>
    <xf numFmtId="177" fontId="1" fillId="0" borderId="79" xfId="0" applyNumberFormat="1" applyFont="1" applyBorder="1" applyAlignment="1">
      <alignment horizontal="center" vertical="center"/>
    </xf>
    <xf numFmtId="177" fontId="1" fillId="0" borderId="80" xfId="0" applyNumberFormat="1" applyFont="1" applyBorder="1" applyAlignment="1">
      <alignment horizontal="center" vertical="center"/>
    </xf>
    <xf numFmtId="177" fontId="1" fillId="0" borderId="4" xfId="0" applyNumberFormat="1" applyFont="1" applyBorder="1" applyAlignment="1">
      <alignment horizontal="center" vertical="center"/>
    </xf>
    <xf numFmtId="177" fontId="0" fillId="5" borderId="5" xfId="0" applyNumberFormat="1" applyFill="1" applyBorder="1" applyAlignment="1">
      <alignment horizontal="center" vertical="center"/>
    </xf>
    <xf numFmtId="177" fontId="0" fillId="5" borderId="11" xfId="0" applyNumberFormat="1" applyFill="1" applyBorder="1" applyAlignment="1">
      <alignment horizontal="center" vertical="center"/>
    </xf>
    <xf numFmtId="177" fontId="1" fillId="51" borderId="81" xfId="0" applyNumberFormat="1" applyFont="1" applyFill="1" applyBorder="1" applyAlignment="1">
      <alignment horizontal="center" vertical="center"/>
    </xf>
    <xf numFmtId="177" fontId="1" fillId="51" borderId="82" xfId="0" applyNumberFormat="1" applyFont="1" applyFill="1" applyBorder="1" applyAlignment="1">
      <alignment horizontal="center" vertical="center"/>
    </xf>
    <xf numFmtId="177" fontId="1" fillId="51" borderId="4" xfId="0" applyNumberFormat="1" applyFont="1" applyFill="1" applyBorder="1" applyAlignment="1">
      <alignment horizontal="center" vertical="center"/>
    </xf>
    <xf numFmtId="177" fontId="1" fillId="51" borderId="5" xfId="0" applyNumberFormat="1" applyFont="1" applyFill="1" applyBorder="1" applyAlignment="1">
      <alignment horizontal="center" vertical="center"/>
    </xf>
    <xf numFmtId="177" fontId="1" fillId="51" borderId="11" xfId="0" applyNumberFormat="1" applyFont="1" applyFill="1" applyBorder="1" applyAlignment="1">
      <alignment horizontal="center" vertical="center"/>
    </xf>
    <xf numFmtId="177" fontId="0" fillId="3" borderId="4" xfId="0" applyNumberFormat="1" applyFill="1" applyBorder="1" applyAlignment="1" applyProtection="1">
      <alignment horizontal="center" vertical="center"/>
      <protection locked="0"/>
    </xf>
    <xf numFmtId="177" fontId="0" fillId="3" borderId="5" xfId="0" applyNumberFormat="1" applyFill="1" applyBorder="1" applyAlignment="1" applyProtection="1">
      <alignment horizontal="center" vertical="center"/>
      <protection locked="0"/>
    </xf>
    <xf numFmtId="177" fontId="0" fillId="3" borderId="81" xfId="0" applyNumberFormat="1" applyFill="1" applyBorder="1" applyAlignment="1" applyProtection="1">
      <alignment horizontal="center" vertical="center"/>
      <protection locked="0"/>
    </xf>
    <xf numFmtId="177" fontId="0" fillId="3" borderId="82" xfId="0" applyNumberFormat="1" applyFill="1" applyBorder="1" applyAlignment="1" applyProtection="1">
      <alignment horizontal="center" vertical="center"/>
      <protection locked="0"/>
    </xf>
    <xf numFmtId="177" fontId="0" fillId="3" borderId="83" xfId="0" applyNumberFormat="1" applyFill="1" applyBorder="1" applyAlignment="1" applyProtection="1">
      <alignment horizontal="center" vertical="center"/>
      <protection locked="0"/>
    </xf>
    <xf numFmtId="177" fontId="108" fillId="34" borderId="3" xfId="0" applyNumberFormat="1" applyFont="1" applyFill="1" applyBorder="1" applyAlignment="1">
      <alignment horizontal="left" vertical="center"/>
    </xf>
    <xf numFmtId="177" fontId="108" fillId="0" borderId="3" xfId="0" applyNumberFormat="1" applyFont="1" applyBorder="1" applyAlignment="1">
      <alignment horizontal="left" vertical="center"/>
    </xf>
    <xf numFmtId="177" fontId="0" fillId="0" borderId="3" xfId="0" applyNumberFormat="1" applyBorder="1">
      <alignment vertical="center"/>
    </xf>
    <xf numFmtId="177" fontId="0" fillId="38" borderId="4" xfId="0" applyNumberFormat="1" applyFill="1" applyBorder="1" applyProtection="1">
      <alignment vertical="center"/>
    </xf>
    <xf numFmtId="177" fontId="0" fillId="38" borderId="5" xfId="0" applyNumberFormat="1" applyFill="1" applyBorder="1" applyProtection="1">
      <alignment vertical="center"/>
    </xf>
    <xf numFmtId="177" fontId="0" fillId="38" borderId="11" xfId="0" applyNumberFormat="1" applyFill="1" applyBorder="1" applyProtection="1">
      <alignment vertical="center"/>
    </xf>
    <xf numFmtId="177" fontId="0" fillId="0" borderId="0" xfId="0" applyNumberFormat="1" applyBorder="1">
      <alignment vertical="center"/>
    </xf>
    <xf numFmtId="177" fontId="0" fillId="49" borderId="6" xfId="0" applyNumberFormat="1" applyFill="1" applyBorder="1" applyProtection="1">
      <alignment vertical="center"/>
    </xf>
    <xf numFmtId="177" fontId="0" fillId="49" borderId="0" xfId="0" applyNumberFormat="1" applyFill="1" applyProtection="1">
      <alignment vertical="center"/>
    </xf>
    <xf numFmtId="177" fontId="0" fillId="38" borderId="0" xfId="0" applyNumberFormat="1" applyFill="1" applyProtection="1">
      <alignment vertical="center"/>
    </xf>
    <xf numFmtId="177" fontId="0" fillId="38" borderId="12" xfId="0" applyNumberFormat="1" applyFill="1" applyBorder="1" applyProtection="1">
      <alignment vertical="center"/>
    </xf>
    <xf numFmtId="177" fontId="0" fillId="47" borderId="6" xfId="0" applyNumberFormat="1" applyFill="1" applyBorder="1" applyProtection="1">
      <alignment vertical="center"/>
    </xf>
    <xf numFmtId="177" fontId="0" fillId="47" borderId="0" xfId="0" applyNumberFormat="1" applyFill="1" applyProtection="1">
      <alignment vertical="center"/>
    </xf>
    <xf numFmtId="177" fontId="0" fillId="38" borderId="6" xfId="0" applyNumberFormat="1" applyFill="1" applyBorder="1" applyProtection="1">
      <alignment vertical="center"/>
    </xf>
    <xf numFmtId="177" fontId="0" fillId="38" borderId="27" xfId="0" applyNumberFormat="1" applyFill="1" applyBorder="1" applyProtection="1">
      <alignment vertical="center"/>
    </xf>
    <xf numFmtId="177" fontId="0" fillId="38" borderId="28" xfId="0" applyNumberFormat="1" applyFill="1" applyBorder="1" applyProtection="1">
      <alignment vertical="center"/>
    </xf>
    <xf numFmtId="177" fontId="0" fillId="38" borderId="30" xfId="0" applyNumberFormat="1" applyFill="1" applyBorder="1" applyProtection="1">
      <alignment vertical="center"/>
    </xf>
    <xf numFmtId="0" fontId="108" fillId="0" borderId="0" xfId="0" applyFont="1" applyAlignment="1">
      <alignment horizontal="left" vertical="center"/>
    </xf>
    <xf numFmtId="0" fontId="108" fillId="34" borderId="0" xfId="0" applyFont="1" applyFill="1" applyAlignment="1">
      <alignment horizontal="left" vertical="center"/>
    </xf>
    <xf numFmtId="0" fontId="108" fillId="0" borderId="84" xfId="0" applyFont="1" applyBorder="1" applyAlignment="1">
      <alignment horizontal="left" vertical="center" wrapText="1"/>
    </xf>
    <xf numFmtId="0" fontId="108" fillId="0" borderId="4" xfId="0" applyFont="1" applyBorder="1" applyAlignment="1">
      <alignment horizontal="left" vertical="center" wrapText="1"/>
    </xf>
    <xf numFmtId="0" fontId="108" fillId="0" borderId="85" xfId="0" applyFont="1" applyFill="1" applyBorder="1" applyAlignment="1">
      <alignment horizontal="left" vertical="center" wrapText="1"/>
    </xf>
    <xf numFmtId="0" fontId="108" fillId="0" borderId="85" xfId="0" applyFont="1" applyBorder="1" applyAlignment="1">
      <alignment horizontal="left" vertical="center"/>
    </xf>
    <xf numFmtId="0" fontId="108" fillId="0" borderId="11" xfId="0" applyFont="1" applyFill="1" applyBorder="1" applyAlignment="1">
      <alignment horizontal="left" vertical="center"/>
    </xf>
    <xf numFmtId="0" fontId="108" fillId="34" borderId="4" xfId="0" applyFont="1" applyFill="1" applyBorder="1" applyAlignment="1">
      <alignment horizontal="left" vertical="center"/>
    </xf>
    <xf numFmtId="0" fontId="108" fillId="0" borderId="5" xfId="0" applyFont="1" applyFill="1" applyBorder="1" applyAlignment="1">
      <alignment horizontal="left" vertical="center"/>
    </xf>
    <xf numFmtId="0" fontId="108" fillId="0" borderId="57" xfId="0" applyFont="1" applyBorder="1" applyAlignment="1">
      <alignment horizontal="left" vertical="center" wrapText="1"/>
    </xf>
    <xf numFmtId="0" fontId="108" fillId="0" borderId="6" xfId="0" applyFont="1" applyBorder="1" applyAlignment="1">
      <alignment horizontal="left" vertical="center" wrapText="1"/>
    </xf>
    <xf numFmtId="0" fontId="108" fillId="0" borderId="21" xfId="0" applyFont="1" applyFill="1" applyBorder="1" applyAlignment="1">
      <alignment horizontal="left" vertical="center" wrapText="1"/>
    </xf>
    <xf numFmtId="0" fontId="108" fillId="0" borderId="21" xfId="0" applyFont="1" applyBorder="1" applyAlignment="1">
      <alignment horizontal="left" vertical="center"/>
    </xf>
    <xf numFmtId="0" fontId="108" fillId="0" borderId="12" xfId="0" applyFont="1" applyFill="1" applyBorder="1" applyAlignment="1">
      <alignment horizontal="left" vertical="center"/>
    </xf>
    <xf numFmtId="0" fontId="108" fillId="0" borderId="6" xfId="0" applyFont="1" applyBorder="1" applyAlignment="1">
      <alignment horizontal="left" vertical="center"/>
    </xf>
    <xf numFmtId="0" fontId="108" fillId="0" borderId="86" xfId="0" applyFont="1" applyBorder="1" applyAlignment="1">
      <alignment horizontal="left" vertical="center"/>
    </xf>
    <xf numFmtId="0" fontId="108" fillId="0" borderId="57" xfId="0" applyFont="1" applyBorder="1" applyAlignment="1">
      <alignment horizontal="left" vertical="center"/>
    </xf>
    <xf numFmtId="0" fontId="108" fillId="0" borderId="6" xfId="0" applyFont="1" applyFill="1" applyBorder="1" applyAlignment="1">
      <alignment horizontal="left" vertical="center" wrapText="1"/>
    </xf>
    <xf numFmtId="0" fontId="108" fillId="16" borderId="21" xfId="0" applyFont="1" applyFill="1" applyBorder="1" applyAlignment="1">
      <alignment horizontal="left" vertical="center" wrapText="1"/>
    </xf>
    <xf numFmtId="0" fontId="108" fillId="16" borderId="22" xfId="0" applyFont="1" applyFill="1" applyBorder="1" applyAlignment="1">
      <alignment horizontal="left" vertical="center"/>
    </xf>
    <xf numFmtId="0" fontId="108" fillId="16" borderId="6" xfId="0" applyFont="1" applyFill="1" applyBorder="1" applyAlignment="1">
      <alignment horizontal="left" vertical="center" wrapText="1"/>
    </xf>
    <xf numFmtId="0" fontId="108" fillId="16" borderId="0" xfId="0" applyFont="1" applyFill="1" applyBorder="1" applyAlignment="1">
      <alignment horizontal="left" vertical="center"/>
    </xf>
    <xf numFmtId="0" fontId="108" fillId="16" borderId="21" xfId="0" applyFont="1" applyFill="1" applyBorder="1" applyAlignment="1">
      <alignment horizontal="left" vertical="center"/>
    </xf>
    <xf numFmtId="0" fontId="108" fillId="16" borderId="12" xfId="0" applyFont="1" applyFill="1" applyBorder="1" applyAlignment="1">
      <alignment horizontal="left" vertical="center"/>
    </xf>
    <xf numFmtId="0" fontId="108" fillId="0" borderId="27" xfId="0" applyFont="1" applyBorder="1" applyAlignment="1">
      <alignment horizontal="left" vertical="center"/>
    </xf>
    <xf numFmtId="0" fontId="108" fillId="0" borderId="28" xfId="0" applyFont="1" applyBorder="1" applyAlignment="1">
      <alignment horizontal="left" vertical="center"/>
    </xf>
    <xf numFmtId="0" fontId="108" fillId="0" borderId="81" xfId="0" applyFont="1" applyBorder="1" applyAlignment="1">
      <alignment horizontal="left" vertical="center"/>
    </xf>
    <xf numFmtId="0" fontId="108" fillId="0" borderId="82" xfId="0" applyFont="1" applyBorder="1" applyAlignment="1">
      <alignment horizontal="left" vertical="center"/>
    </xf>
    <xf numFmtId="0" fontId="108" fillId="0" borderId="83" xfId="0" applyFont="1" applyBorder="1" applyAlignment="1">
      <alignment horizontal="left" vertical="center"/>
    </xf>
    <xf numFmtId="0" fontId="108" fillId="0" borderId="4" xfId="0" applyFont="1" applyBorder="1" applyAlignment="1">
      <alignment horizontal="left" vertical="center"/>
    </xf>
    <xf numFmtId="0" fontId="108" fillId="0" borderId="5" xfId="0" applyFont="1" applyBorder="1" applyAlignment="1">
      <alignment horizontal="left" vertical="center"/>
    </xf>
    <xf numFmtId="0" fontId="108" fillId="0" borderId="11" xfId="0" applyFont="1" applyBorder="1" applyAlignment="1">
      <alignment horizontal="left" vertical="center"/>
    </xf>
    <xf numFmtId="0" fontId="7" fillId="16" borderId="55" xfId="0" applyNumberFormat="1" applyFont="1" applyFill="1" applyBorder="1" applyAlignment="1">
      <alignment horizontal="left" vertical="center"/>
    </xf>
    <xf numFmtId="0" fontId="7" fillId="16" borderId="58" xfId="0" applyNumberFormat="1" applyFont="1" applyFill="1" applyBorder="1" applyAlignment="1">
      <alignment horizontal="left" vertical="center"/>
    </xf>
    <xf numFmtId="0" fontId="7" fillId="0" borderId="55" xfId="0" applyNumberFormat="1" applyFont="1" applyFill="1" applyBorder="1" applyAlignment="1">
      <alignment horizontal="left" vertical="center"/>
    </xf>
    <xf numFmtId="0" fontId="108" fillId="34" borderId="5" xfId="0" applyFont="1" applyFill="1" applyBorder="1" applyAlignment="1">
      <alignment horizontal="left" vertical="center"/>
    </xf>
    <xf numFmtId="0" fontId="7" fillId="16" borderId="87" xfId="0" applyNumberFormat="1" applyFont="1" applyFill="1" applyBorder="1" applyAlignment="1">
      <alignment horizontal="left" vertical="center"/>
    </xf>
    <xf numFmtId="0" fontId="108" fillId="29" borderId="63" xfId="0" applyFont="1" applyFill="1" applyBorder="1" applyAlignment="1">
      <alignment horizontal="left" vertical="center" wrapText="1"/>
    </xf>
    <xf numFmtId="0" fontId="108" fillId="0" borderId="88" xfId="0" applyFont="1" applyFill="1" applyBorder="1" applyAlignment="1">
      <alignment horizontal="left" vertical="center" wrapText="1"/>
    </xf>
    <xf numFmtId="0" fontId="108" fillId="29" borderId="65" xfId="0" applyFont="1" applyFill="1" applyBorder="1" applyAlignment="1" applyProtection="1">
      <alignment horizontal="left" vertical="center" wrapText="1"/>
      <protection locked="0"/>
    </xf>
    <xf numFmtId="0" fontId="108" fillId="0" borderId="89" xfId="0" applyFont="1" applyFill="1" applyBorder="1" applyAlignment="1" applyProtection="1">
      <alignment horizontal="left" vertical="center" wrapText="1"/>
      <protection locked="0"/>
    </xf>
    <xf numFmtId="0" fontId="108" fillId="34" borderId="84" xfId="0" applyFont="1" applyFill="1" applyBorder="1" applyAlignment="1">
      <alignment horizontal="left" vertical="center"/>
    </xf>
    <xf numFmtId="0" fontId="108" fillId="0" borderId="0" xfId="0" applyFont="1" applyFill="1" applyBorder="1" applyAlignment="1">
      <alignment horizontal="left" vertical="center" wrapText="1"/>
    </xf>
    <xf numFmtId="0" fontId="108" fillId="0" borderId="0" xfId="0" applyFont="1" applyFill="1" applyBorder="1" applyAlignment="1">
      <alignment horizontal="left" vertical="center"/>
    </xf>
    <xf numFmtId="0" fontId="108" fillId="0" borderId="0" xfId="0" applyFont="1" applyFill="1" applyAlignment="1" applyProtection="1">
      <alignment horizontal="left" vertical="center"/>
      <protection locked="0"/>
    </xf>
    <xf numFmtId="0" fontId="108" fillId="0" borderId="0" xfId="0" applyFont="1" applyFill="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6" xfId="0" applyFont="1" applyBorder="1" applyAlignment="1">
      <alignment horizontal="left" vertical="center"/>
    </xf>
    <xf numFmtId="0" fontId="7" fillId="0" borderId="0" xfId="0" applyFont="1" applyAlignment="1">
      <alignment horizontal="left" vertical="center"/>
    </xf>
    <xf numFmtId="0" fontId="7" fillId="0" borderId="12" xfId="0" applyFont="1" applyBorder="1" applyAlignment="1">
      <alignment horizontal="left" vertical="center"/>
    </xf>
    <xf numFmtId="0" fontId="7" fillId="34" borderId="81" xfId="0" applyFont="1" applyFill="1" applyBorder="1" applyAlignment="1">
      <alignment horizontal="left" vertical="center"/>
    </xf>
    <xf numFmtId="0" fontId="7" fillId="34" borderId="82" xfId="0" applyFont="1" applyFill="1" applyBorder="1" applyAlignment="1">
      <alignment horizontal="left" vertical="center"/>
    </xf>
    <xf numFmtId="0" fontId="7" fillId="34" borderId="83" xfId="0" applyFont="1" applyFill="1" applyBorder="1" applyAlignment="1">
      <alignment horizontal="left" vertical="center"/>
    </xf>
    <xf numFmtId="0" fontId="7" fillId="34" borderId="4" xfId="0" applyFont="1" applyFill="1" applyBorder="1" applyAlignment="1">
      <alignment horizontal="left" vertical="center"/>
    </xf>
    <xf numFmtId="0" fontId="7" fillId="34" borderId="5" xfId="0" applyFont="1" applyFill="1" applyBorder="1" applyAlignment="1">
      <alignment horizontal="left" vertical="center"/>
    </xf>
    <xf numFmtId="0" fontId="7" fillId="34" borderId="11" xfId="0" applyFont="1" applyFill="1" applyBorder="1" applyAlignment="1">
      <alignment horizontal="left" vertical="center"/>
    </xf>
    <xf numFmtId="0" fontId="7" fillId="34" borderId="6" xfId="0" applyFont="1" applyFill="1" applyBorder="1" applyAlignment="1">
      <alignment horizontal="left" vertical="center"/>
    </xf>
    <xf numFmtId="0" fontId="7" fillId="34" borderId="0" xfId="0" applyFont="1" applyFill="1" applyAlignment="1">
      <alignment horizontal="left" vertical="center"/>
    </xf>
    <xf numFmtId="0" fontId="7" fillId="34" borderId="12" xfId="0" applyFont="1" applyFill="1" applyBorder="1" applyAlignment="1">
      <alignment horizontal="left" vertical="center"/>
    </xf>
    <xf numFmtId="0" fontId="7" fillId="0" borderId="27" xfId="0" applyFont="1" applyBorder="1" applyAlignment="1">
      <alignment horizontal="left" vertical="center"/>
    </xf>
    <xf numFmtId="0" fontId="7" fillId="0" borderId="27" xfId="0" applyFont="1" applyFill="1" applyBorder="1" applyAlignment="1">
      <alignment horizontal="left" vertical="center"/>
    </xf>
    <xf numFmtId="0" fontId="7" fillId="0" borderId="28" xfId="0" applyFont="1" applyFill="1" applyBorder="1" applyAlignment="1">
      <alignment horizontal="left" vertical="center"/>
    </xf>
    <xf numFmtId="0" fontId="7" fillId="0" borderId="30" xfId="0" applyFont="1" applyFill="1" applyBorder="1" applyAlignment="1">
      <alignment horizontal="left" vertical="center"/>
    </xf>
    <xf numFmtId="0" fontId="7" fillId="0" borderId="30" xfId="0" applyFont="1" applyBorder="1" applyAlignment="1">
      <alignment horizontal="left" vertical="center"/>
    </xf>
    <xf numFmtId="0" fontId="7" fillId="0" borderId="0" xfId="0" applyFont="1" applyFill="1" applyBorder="1" applyAlignment="1">
      <alignment horizontal="left" vertical="center"/>
    </xf>
    <xf numFmtId="0" fontId="108" fillId="34" borderId="90" xfId="0" applyFont="1" applyFill="1" applyBorder="1" applyAlignment="1">
      <alignment horizontal="left" vertical="center"/>
    </xf>
    <xf numFmtId="0" fontId="108" fillId="34" borderId="91" xfId="0" applyFont="1" applyFill="1" applyBorder="1" applyAlignment="1">
      <alignment horizontal="left" vertical="center"/>
    </xf>
    <xf numFmtId="0" fontId="109" fillId="34" borderId="92" xfId="0" applyFont="1" applyFill="1" applyBorder="1" applyAlignment="1">
      <alignment horizontal="left" vertical="center"/>
    </xf>
    <xf numFmtId="0" fontId="110" fillId="0" borderId="53" xfId="0" applyFont="1" applyFill="1" applyBorder="1" applyAlignment="1">
      <alignment horizontal="left" vertical="center" wrapText="1"/>
    </xf>
    <xf numFmtId="0" fontId="110" fillId="0" borderId="54" xfId="0" applyFont="1" applyFill="1" applyBorder="1" applyAlignment="1">
      <alignment horizontal="left" vertical="center" wrapText="1"/>
    </xf>
    <xf numFmtId="0" fontId="110" fillId="0" borderId="6" xfId="0" applyFont="1" applyFill="1" applyBorder="1" applyAlignment="1">
      <alignment horizontal="left" vertical="center" wrapText="1"/>
    </xf>
    <xf numFmtId="0" fontId="110" fillId="0" borderId="0" xfId="0" applyFont="1" applyFill="1" applyAlignment="1">
      <alignment horizontal="left" vertical="center" wrapText="1"/>
    </xf>
    <xf numFmtId="0" fontId="110" fillId="0" borderId="27" xfId="0" applyFont="1" applyFill="1" applyBorder="1" applyAlignment="1">
      <alignment horizontal="left" vertical="center" wrapText="1"/>
    </xf>
    <xf numFmtId="0" fontId="110" fillId="0" borderId="28" xfId="0" applyFont="1" applyFill="1" applyBorder="1" applyAlignment="1">
      <alignment horizontal="left" vertical="center" wrapText="1"/>
    </xf>
    <xf numFmtId="0" fontId="108" fillId="34" borderId="11" xfId="0" applyFont="1" applyFill="1" applyBorder="1" applyAlignment="1">
      <alignment horizontal="left" vertical="center"/>
    </xf>
    <xf numFmtId="0" fontId="108" fillId="0" borderId="0" xfId="0" applyFont="1" applyBorder="1" applyAlignment="1">
      <alignment horizontal="left" vertical="center"/>
    </xf>
    <xf numFmtId="0" fontId="108" fillId="0" borderId="12" xfId="0" applyFont="1" applyBorder="1" applyAlignment="1">
      <alignment horizontal="left" vertical="center"/>
    </xf>
    <xf numFmtId="0" fontId="108" fillId="0" borderId="0" xfId="0" applyFont="1" applyBorder="1" applyAlignment="1">
      <alignment horizontal="left" vertical="center" wrapText="1"/>
    </xf>
    <xf numFmtId="0" fontId="108" fillId="16" borderId="12" xfId="0" applyFont="1" applyFill="1" applyBorder="1" applyAlignment="1">
      <alignment horizontal="left" vertical="center" wrapText="1"/>
    </xf>
    <xf numFmtId="0" fontId="108" fillId="0" borderId="30" xfId="0" applyFont="1" applyBorder="1" applyAlignment="1">
      <alignment horizontal="left" vertical="center"/>
    </xf>
    <xf numFmtId="0" fontId="108" fillId="29" borderId="88" xfId="0" applyFont="1" applyFill="1" applyBorder="1" applyAlignment="1">
      <alignment horizontal="left" vertical="center" wrapText="1"/>
    </xf>
    <xf numFmtId="0" fontId="108" fillId="0" borderId="64" xfId="0" applyFont="1" applyFill="1" applyBorder="1" applyAlignment="1">
      <alignment horizontal="left" vertical="center" wrapText="1"/>
    </xf>
    <xf numFmtId="0" fontId="108" fillId="29" borderId="89" xfId="0" applyFont="1" applyFill="1" applyBorder="1" applyAlignment="1" applyProtection="1">
      <alignment horizontal="left" vertical="center" wrapText="1"/>
      <protection locked="0"/>
    </xf>
    <xf numFmtId="0" fontId="108" fillId="0" borderId="93" xfId="0" applyFont="1" applyFill="1" applyBorder="1" applyAlignment="1" applyProtection="1">
      <alignment horizontal="left" vertical="center" wrapText="1"/>
      <protection locked="0"/>
    </xf>
    <xf numFmtId="0" fontId="53" fillId="34" borderId="4" xfId="49" applyFont="1" applyFill="1" applyBorder="1" applyAlignment="1">
      <alignment horizontal="left" vertical="center"/>
      <protection locked="0"/>
    </xf>
    <xf numFmtId="0" fontId="108" fillId="52" borderId="6" xfId="0" applyFont="1" applyFill="1" applyBorder="1" applyAlignment="1">
      <alignment horizontal="left" vertical="center"/>
    </xf>
    <xf numFmtId="0" fontId="108" fillId="52" borderId="12" xfId="0" applyFont="1" applyFill="1" applyBorder="1" applyAlignment="1">
      <alignment horizontal="left" vertical="center"/>
    </xf>
    <xf numFmtId="0" fontId="44" fillId="16" borderId="6" xfId="49" applyFont="1" applyFill="1" applyBorder="1" applyAlignment="1">
      <alignment horizontal="left" vertical="center"/>
      <protection locked="0"/>
    </xf>
    <xf numFmtId="0" fontId="44" fillId="16" borderId="12" xfId="49" applyFont="1" applyFill="1" applyBorder="1" applyAlignment="1">
      <alignment horizontal="left" vertical="center"/>
      <protection locked="0"/>
    </xf>
    <xf numFmtId="0" fontId="44" fillId="52" borderId="6" xfId="49" applyFont="1" applyFill="1" applyBorder="1" applyAlignment="1">
      <alignment horizontal="left" vertical="center"/>
      <protection locked="0"/>
    </xf>
    <xf numFmtId="0" fontId="44" fillId="0" borderId="12" xfId="49" applyFont="1" applyFill="1" applyBorder="1" applyAlignment="1">
      <alignment horizontal="left" vertical="center"/>
      <protection locked="0"/>
    </xf>
    <xf numFmtId="0" fontId="7" fillId="16" borderId="6" xfId="49" applyFont="1" applyFill="1" applyBorder="1" applyAlignment="1">
      <alignment horizontal="left" vertical="center"/>
      <protection locked="0"/>
    </xf>
    <xf numFmtId="0" fontId="7" fillId="0" borderId="12" xfId="49" applyFont="1" applyFill="1" applyBorder="1" applyAlignment="1">
      <alignment horizontal="left" vertical="center"/>
      <protection locked="0"/>
    </xf>
    <xf numFmtId="0" fontId="44" fillId="0" borderId="27" xfId="49" applyFont="1" applyFill="1" applyBorder="1" applyAlignment="1">
      <alignment horizontal="left" vertical="center"/>
      <protection locked="0"/>
    </xf>
    <xf numFmtId="0" fontId="44" fillId="0" borderId="30" xfId="49" applyFont="1" applyFill="1" applyBorder="1" applyAlignment="1">
      <alignment horizontal="left" vertical="center"/>
      <protection locked="0"/>
    </xf>
    <xf numFmtId="0" fontId="7" fillId="0" borderId="0" xfId="0" applyFont="1" applyFill="1" applyBorder="1" applyAlignment="1" applyProtection="1">
      <alignment horizontal="left" vertical="center"/>
      <protection locked="0"/>
    </xf>
    <xf numFmtId="0" fontId="111" fillId="53" borderId="0" xfId="49" applyFont="1" applyFill="1" applyBorder="1" applyAlignment="1">
      <alignment horizontal="left" vertical="center"/>
      <protection locked="0"/>
    </xf>
    <xf numFmtId="0" fontId="53" fillId="54" borderId="0" xfId="49" applyFont="1" applyFill="1" applyBorder="1" applyAlignment="1">
      <alignment horizontal="left" vertical="center"/>
      <protection locked="0"/>
    </xf>
    <xf numFmtId="0" fontId="53" fillId="0" borderId="0" xfId="49" applyFont="1" applyBorder="1" applyAlignment="1">
      <alignment horizontal="left" vertical="center"/>
      <protection locked="0"/>
    </xf>
    <xf numFmtId="0" fontId="44" fillId="0" borderId="0" xfId="49" applyFont="1" applyBorder="1" applyAlignment="1">
      <alignment horizontal="left" vertical="center"/>
      <protection locked="0"/>
    </xf>
    <xf numFmtId="0" fontId="53" fillId="40" borderId="0" xfId="49" applyFont="1" applyFill="1" applyBorder="1" applyAlignment="1">
      <alignment horizontal="left" vertical="center"/>
      <protection locked="0"/>
    </xf>
    <xf numFmtId="0" fontId="7" fillId="40" borderId="0" xfId="49" applyFont="1" applyFill="1" applyBorder="1" applyAlignment="1">
      <alignment horizontal="left" vertical="center"/>
      <protection locked="0"/>
    </xf>
    <xf numFmtId="0" fontId="44" fillId="40" borderId="0" xfId="49" applyFont="1" applyFill="1" applyBorder="1" applyAlignment="1">
      <alignment horizontal="left" vertical="center"/>
      <protection locked="0"/>
    </xf>
    <xf numFmtId="0" fontId="53" fillId="0" borderId="0" xfId="49" applyFont="1" applyFill="1" applyBorder="1" applyAlignment="1">
      <alignment horizontal="left" vertical="center"/>
      <protection locked="0"/>
    </xf>
    <xf numFmtId="0" fontId="44" fillId="0" borderId="0" xfId="49" applyFont="1" applyFill="1" applyBorder="1" applyAlignment="1">
      <alignment horizontal="left" vertical="center"/>
      <protection locked="0"/>
    </xf>
    <xf numFmtId="0" fontId="7" fillId="0" borderId="0" xfId="49" applyFont="1" applyFill="1" applyBorder="1" applyAlignment="1">
      <alignment horizontal="left" vertical="center"/>
      <protection locked="0"/>
    </xf>
    <xf numFmtId="0" fontId="108" fillId="40" borderId="0" xfId="0" applyFont="1" applyFill="1" applyBorder="1" applyAlignment="1">
      <alignment horizontal="left" vertical="center"/>
    </xf>
    <xf numFmtId="0" fontId="109" fillId="34" borderId="94" xfId="0" applyFont="1" applyFill="1" applyBorder="1" applyAlignment="1">
      <alignment horizontal="left" vertical="center"/>
    </xf>
    <xf numFmtId="0" fontId="108" fillId="34" borderId="92" xfId="0" applyFont="1" applyFill="1" applyBorder="1" applyAlignment="1">
      <alignment horizontal="left" vertical="center"/>
    </xf>
    <xf numFmtId="0" fontId="108" fillId="34" borderId="95" xfId="0" applyFont="1" applyFill="1" applyBorder="1" applyAlignment="1">
      <alignment horizontal="left" vertical="center"/>
    </xf>
    <xf numFmtId="0" fontId="110" fillId="0" borderId="96" xfId="0" applyFont="1" applyFill="1" applyBorder="1" applyAlignment="1">
      <alignment horizontal="left" vertical="center" wrapText="1"/>
    </xf>
    <xf numFmtId="179" fontId="49" fillId="0" borderId="97" xfId="0" applyNumberFormat="1" applyFont="1" applyFill="1" applyBorder="1" applyAlignment="1" applyProtection="1">
      <alignment horizontal="left" vertical="center"/>
      <protection locked="0"/>
    </xf>
    <xf numFmtId="179" fontId="49" fillId="0" borderId="59" xfId="0" applyNumberFormat="1" applyFont="1" applyFill="1" applyBorder="1" applyAlignment="1" applyProtection="1">
      <alignment horizontal="left" vertical="center"/>
      <protection locked="0"/>
    </xf>
    <xf numFmtId="0" fontId="110" fillId="0" borderId="98" xfId="0" applyFont="1" applyFill="1" applyBorder="1" applyAlignment="1">
      <alignment horizontal="left" vertical="center" wrapText="1"/>
    </xf>
    <xf numFmtId="179" fontId="49" fillId="0" borderId="99" xfId="0" applyNumberFormat="1" applyFont="1" applyFill="1" applyBorder="1" applyAlignment="1" applyProtection="1">
      <alignment horizontal="left" vertical="center"/>
      <protection locked="0"/>
    </xf>
    <xf numFmtId="179" fontId="49" fillId="0" borderId="12" xfId="0" applyNumberFormat="1" applyFont="1" applyFill="1" applyBorder="1" applyAlignment="1" applyProtection="1">
      <alignment horizontal="left" vertical="center"/>
      <protection locked="0"/>
    </xf>
    <xf numFmtId="0" fontId="110" fillId="0" borderId="100" xfId="0" applyFont="1" applyFill="1" applyBorder="1" applyAlignment="1">
      <alignment horizontal="left" vertical="center" wrapText="1"/>
    </xf>
    <xf numFmtId="179" fontId="49" fillId="0" borderId="101" xfId="0" applyNumberFormat="1" applyFont="1" applyFill="1" applyBorder="1" applyAlignment="1" applyProtection="1">
      <alignment horizontal="left" vertical="center"/>
      <protection locked="0"/>
    </xf>
    <xf numFmtId="179" fontId="49" fillId="0" borderId="30" xfId="0" applyNumberFormat="1" applyFont="1" applyFill="1" applyBorder="1" applyAlignment="1" applyProtection="1">
      <alignment horizontal="left" vertical="center"/>
      <protection locked="0"/>
    </xf>
    <xf numFmtId="0" fontId="84" fillId="53" borderId="63" xfId="0" applyFont="1" applyFill="1" applyBorder="1" applyAlignment="1">
      <alignment horizontal="left" vertical="center" wrapText="1" readingOrder="1"/>
    </xf>
    <xf numFmtId="0" fontId="108" fillId="53" borderId="88" xfId="0" applyFont="1" applyFill="1" applyBorder="1" applyAlignment="1">
      <alignment horizontal="left" vertical="center"/>
    </xf>
    <xf numFmtId="0" fontId="84" fillId="53" borderId="64" xfId="0" applyFont="1" applyFill="1" applyBorder="1" applyAlignment="1">
      <alignment horizontal="left" vertical="center"/>
    </xf>
    <xf numFmtId="0" fontId="84" fillId="0" borderId="0" xfId="0" applyFont="1" applyFill="1" applyBorder="1" applyAlignment="1">
      <alignment horizontal="left" vertical="center"/>
    </xf>
    <xf numFmtId="0" fontId="83" fillId="40" borderId="61" xfId="0" applyFont="1" applyFill="1" applyBorder="1" applyAlignment="1">
      <alignment horizontal="left" vertical="center" wrapText="1"/>
    </xf>
    <xf numFmtId="0" fontId="83" fillId="0" borderId="3" xfId="0" applyFont="1" applyFill="1" applyBorder="1" applyAlignment="1">
      <alignment horizontal="left" vertical="center"/>
    </xf>
    <xf numFmtId="0" fontId="83" fillId="0" borderId="62" xfId="0" applyFont="1" applyFill="1" applyBorder="1" applyAlignment="1">
      <alignment horizontal="left" vertical="center"/>
    </xf>
    <xf numFmtId="0" fontId="83" fillId="0" borderId="0" xfId="0" applyFont="1" applyFill="1" applyBorder="1" applyAlignment="1">
      <alignment horizontal="left" vertical="center"/>
    </xf>
    <xf numFmtId="0" fontId="83" fillId="0" borderId="4" xfId="0" applyFont="1" applyFill="1" applyBorder="1" applyAlignment="1">
      <alignment horizontal="left" vertical="center"/>
    </xf>
    <xf numFmtId="49" fontId="108" fillId="0" borderId="0" xfId="0" applyNumberFormat="1" applyFont="1" applyFill="1" applyBorder="1" applyAlignment="1">
      <alignment horizontal="left" vertical="center"/>
    </xf>
    <xf numFmtId="0" fontId="83" fillId="0" borderId="6" xfId="0" applyFont="1" applyFill="1" applyBorder="1" applyAlignment="1">
      <alignment horizontal="left" vertical="center"/>
    </xf>
    <xf numFmtId="0" fontId="83" fillId="0" borderId="0" xfId="0" applyFont="1" applyFill="1" applyBorder="1" applyAlignment="1" applyProtection="1">
      <alignment horizontal="left" vertical="center" wrapText="1"/>
      <protection locked="0"/>
    </xf>
    <xf numFmtId="0" fontId="83" fillId="40" borderId="65" xfId="0" applyFont="1" applyFill="1" applyBorder="1" applyAlignment="1">
      <alignment horizontal="left" vertical="center" wrapText="1"/>
    </xf>
    <xf numFmtId="0" fontId="83" fillId="0" borderId="89" xfId="0" applyFont="1" applyFill="1" applyBorder="1" applyAlignment="1">
      <alignment horizontal="left" vertical="center"/>
    </xf>
    <xf numFmtId="0" fontId="83" fillId="0" borderId="66" xfId="0" applyFont="1" applyFill="1" applyBorder="1" applyAlignment="1">
      <alignment horizontal="left" vertical="center"/>
    </xf>
    <xf numFmtId="0" fontId="83" fillId="0" borderId="28" xfId="0" applyFont="1" applyFill="1" applyBorder="1" applyAlignment="1">
      <alignment horizontal="left" vertical="center"/>
    </xf>
    <xf numFmtId="0" fontId="83" fillId="0" borderId="27" xfId="0" applyFont="1" applyFill="1" applyBorder="1" applyAlignment="1">
      <alignment horizontal="left" vertical="center"/>
    </xf>
    <xf numFmtId="49" fontId="108" fillId="34" borderId="4" xfId="0" applyNumberFormat="1" applyFont="1" applyFill="1" applyBorder="1" applyAlignment="1">
      <alignment horizontal="left" vertical="center"/>
    </xf>
    <xf numFmtId="49" fontId="108" fillId="34" borderId="5" xfId="0" applyNumberFormat="1" applyFont="1" applyFill="1" applyBorder="1" applyAlignment="1">
      <alignment horizontal="left" vertical="center"/>
    </xf>
    <xf numFmtId="49" fontId="108" fillId="34" borderId="11" xfId="0" applyNumberFormat="1" applyFont="1" applyFill="1" applyBorder="1" applyAlignment="1">
      <alignment horizontal="left" vertical="center"/>
    </xf>
    <xf numFmtId="0" fontId="108" fillId="0" borderId="5" xfId="0" applyFont="1" applyFill="1" applyBorder="1" applyAlignment="1">
      <alignment horizontal="left" vertical="center" wrapText="1"/>
    </xf>
    <xf numFmtId="0" fontId="108" fillId="0" borderId="11" xfId="0" applyNumberFormat="1" applyFont="1" applyBorder="1" applyAlignment="1">
      <alignment horizontal="left" vertical="center"/>
    </xf>
    <xf numFmtId="0" fontId="108" fillId="0" borderId="12" xfId="0" applyNumberFormat="1" applyFont="1" applyBorder="1" applyAlignment="1">
      <alignment horizontal="left" vertical="center"/>
    </xf>
    <xf numFmtId="49" fontId="108" fillId="0" borderId="27" xfId="0" applyNumberFormat="1" applyFont="1" applyBorder="1" applyAlignment="1">
      <alignment horizontal="left" vertical="center"/>
    </xf>
    <xf numFmtId="177" fontId="108" fillId="0" borderId="0" xfId="0" applyNumberFormat="1" applyFont="1" applyFill="1" applyBorder="1" applyAlignment="1" applyProtection="1">
      <alignment horizontal="left" vertical="center" wrapText="1"/>
      <protection locked="0"/>
    </xf>
    <xf numFmtId="49" fontId="7" fillId="0" borderId="4" xfId="0" applyNumberFormat="1" applyFont="1" applyFill="1" applyBorder="1" applyAlignment="1" applyProtection="1">
      <alignment horizontal="left" vertical="center"/>
      <protection locked="0" hidden="1"/>
    </xf>
    <xf numFmtId="49" fontId="7" fillId="0" borderId="6" xfId="0" applyNumberFormat="1" applyFont="1" applyFill="1" applyBorder="1" applyAlignment="1" applyProtection="1">
      <alignment horizontal="left" vertical="center"/>
      <protection locked="0" hidden="1"/>
    </xf>
    <xf numFmtId="49" fontId="7" fillId="0" borderId="6" xfId="0" applyNumberFormat="1" applyFont="1" applyFill="1" applyBorder="1" applyAlignment="1" applyProtection="1">
      <alignment horizontal="left" vertical="center" wrapText="1"/>
      <protection locked="0" hidden="1"/>
    </xf>
    <xf numFmtId="180" fontId="7" fillId="0" borderId="6" xfId="0" applyNumberFormat="1" applyFont="1" applyFill="1" applyBorder="1" applyAlignment="1" applyProtection="1">
      <alignment horizontal="left" vertical="center"/>
      <protection locked="0" hidden="1"/>
    </xf>
    <xf numFmtId="0" fontId="108" fillId="0" borderId="0" xfId="0" applyFont="1" applyFill="1" applyAlignment="1" applyProtection="1">
      <alignment horizontal="left" vertical="center" wrapText="1"/>
      <protection locked="0"/>
    </xf>
    <xf numFmtId="0" fontId="108" fillId="0" borderId="0" xfId="0" applyFont="1" applyFill="1" applyBorder="1" applyAlignment="1" applyProtection="1">
      <alignment horizontal="left" vertical="center" wrapText="1"/>
      <protection locked="0"/>
    </xf>
    <xf numFmtId="0" fontId="83" fillId="0" borderId="12" xfId="0" applyFont="1" applyFill="1" applyBorder="1" applyAlignment="1">
      <alignment horizontal="left" vertical="center"/>
    </xf>
    <xf numFmtId="0" fontId="83" fillId="0" borderId="0" xfId="0" applyFont="1" applyFill="1" applyAlignment="1">
      <alignment horizontal="left" vertical="center"/>
    </xf>
    <xf numFmtId="0" fontId="83" fillId="0" borderId="81" xfId="0" applyFont="1" applyFill="1" applyBorder="1" applyAlignment="1">
      <alignment horizontal="left" vertical="center"/>
    </xf>
    <xf numFmtId="0" fontId="83" fillId="0" borderId="82" xfId="0" applyFont="1" applyFill="1" applyBorder="1" applyAlignment="1">
      <alignment horizontal="left" vertical="center"/>
    </xf>
    <xf numFmtId="0" fontId="83" fillId="0" borderId="83" xfId="0" applyFont="1" applyFill="1" applyBorder="1" applyAlignment="1">
      <alignment horizontal="left" vertical="center"/>
    </xf>
    <xf numFmtId="0" fontId="85" fillId="0" borderId="4" xfId="0" applyFont="1" applyFill="1" applyBorder="1" applyAlignment="1">
      <alignment horizontal="left" vertical="center"/>
    </xf>
    <xf numFmtId="0" fontId="83" fillId="0" borderId="5" xfId="0" applyFont="1" applyFill="1" applyBorder="1" applyAlignment="1">
      <alignment horizontal="left" vertical="center"/>
    </xf>
    <xf numFmtId="0" fontId="83" fillId="0" borderId="11" xfId="0" applyFont="1" applyFill="1" applyBorder="1" applyAlignment="1">
      <alignment horizontal="left" vertical="center"/>
    </xf>
    <xf numFmtId="0" fontId="83" fillId="0" borderId="12" xfId="0" applyFont="1" applyFill="1" applyBorder="1" applyAlignment="1" applyProtection="1">
      <alignment horizontal="left" vertical="center" wrapText="1"/>
      <protection locked="0"/>
    </xf>
    <xf numFmtId="0" fontId="83" fillId="0" borderId="30" xfId="0" applyFont="1" applyFill="1" applyBorder="1" applyAlignment="1" applyProtection="1">
      <alignment horizontal="left" vertical="center" wrapText="1"/>
      <protection locked="0"/>
    </xf>
    <xf numFmtId="0" fontId="108" fillId="0" borderId="4" xfId="0" applyFont="1" applyFill="1" applyBorder="1" applyAlignment="1" applyProtection="1">
      <alignment horizontal="left" vertical="center"/>
      <protection locked="0"/>
    </xf>
    <xf numFmtId="0" fontId="108" fillId="0" borderId="84" xfId="0" applyFont="1" applyFill="1" applyBorder="1" applyAlignment="1" applyProtection="1">
      <alignment horizontal="left" vertical="center"/>
      <protection locked="0"/>
    </xf>
    <xf numFmtId="0" fontId="108" fillId="0" borderId="84" xfId="0" applyFont="1" applyFill="1" applyBorder="1" applyAlignment="1">
      <alignment horizontal="left" vertical="center"/>
    </xf>
    <xf numFmtId="0" fontId="108" fillId="0" borderId="27" xfId="0" applyFont="1" applyFill="1" applyBorder="1" applyAlignment="1" applyProtection="1">
      <alignment horizontal="left" vertical="center"/>
      <protection locked="0"/>
    </xf>
    <xf numFmtId="0" fontId="108" fillId="0" borderId="86" xfId="0" applyFont="1" applyFill="1" applyBorder="1" applyAlignment="1" applyProtection="1">
      <alignment horizontal="left" vertical="center"/>
      <protection locked="0"/>
    </xf>
    <xf numFmtId="0" fontId="108" fillId="0" borderId="86" xfId="0" applyFont="1" applyFill="1" applyBorder="1" applyAlignment="1">
      <alignment horizontal="left" vertical="center"/>
    </xf>
    <xf numFmtId="0" fontId="108" fillId="0" borderId="0" xfId="0" applyFont="1" applyAlignment="1" applyProtection="1">
      <alignment horizontal="left" vertical="center"/>
      <protection locked="0"/>
    </xf>
    <xf numFmtId="0" fontId="108" fillId="0" borderId="4" xfId="0" applyFont="1" applyBorder="1" applyAlignment="1" applyProtection="1">
      <alignment horizontal="left" vertical="center"/>
      <protection locked="0"/>
    </xf>
    <xf numFmtId="0" fontId="108" fillId="0" borderId="11" xfId="0" applyFont="1" applyBorder="1" applyAlignment="1" applyProtection="1">
      <alignment horizontal="left" vertical="center"/>
      <protection locked="0"/>
    </xf>
    <xf numFmtId="0" fontId="108" fillId="0" borderId="5" xfId="0" applyFont="1" applyBorder="1" applyAlignment="1" applyProtection="1">
      <alignment horizontal="left" vertical="center"/>
      <protection locked="0"/>
    </xf>
    <xf numFmtId="0" fontId="108" fillId="0" borderId="11" xfId="0" applyFont="1" applyBorder="1" applyProtection="1">
      <alignment vertical="center"/>
      <protection locked="0"/>
    </xf>
    <xf numFmtId="0" fontId="108" fillId="34" borderId="84" xfId="0" applyFont="1" applyFill="1" applyBorder="1" applyAlignment="1" applyProtection="1">
      <alignment horizontal="left" vertical="center"/>
      <protection locked="0"/>
    </xf>
    <xf numFmtId="0" fontId="108" fillId="0" borderId="102" xfId="0" applyFont="1" applyBorder="1" applyAlignment="1" applyProtection="1">
      <alignment horizontal="left" vertical="center"/>
      <protection locked="0"/>
    </xf>
    <xf numFmtId="0" fontId="108" fillId="0" borderId="6" xfId="0" applyFont="1" applyBorder="1" applyAlignment="1" applyProtection="1">
      <alignment horizontal="left" vertical="center"/>
      <protection locked="0"/>
    </xf>
    <xf numFmtId="0" fontId="108" fillId="0" borderId="12" xfId="0" applyFont="1" applyBorder="1" applyAlignment="1" applyProtection="1">
      <alignment horizontal="left" vertical="center"/>
      <protection locked="0"/>
    </xf>
    <xf numFmtId="0" fontId="108" fillId="0" borderId="12" xfId="0" applyFont="1" applyBorder="1" applyProtection="1">
      <alignment vertical="center"/>
      <protection locked="0"/>
    </xf>
    <xf numFmtId="0" fontId="108" fillId="34" borderId="103" xfId="0" applyFont="1" applyFill="1" applyBorder="1" applyAlignment="1" applyProtection="1">
      <alignment horizontal="left" vertical="center"/>
      <protection locked="0"/>
    </xf>
    <xf numFmtId="0" fontId="108" fillId="0" borderId="0" xfId="0" applyFont="1" applyAlignment="1" applyProtection="1">
      <alignment horizontal="left" vertical="center" wrapText="1"/>
      <protection locked="0"/>
    </xf>
    <xf numFmtId="0" fontId="108" fillId="16" borderId="104" xfId="0" applyFont="1" applyFill="1" applyBorder="1" applyAlignment="1" applyProtection="1">
      <alignment horizontal="left" vertical="center"/>
      <protection locked="0"/>
    </xf>
    <xf numFmtId="0" fontId="108" fillId="16" borderId="103" xfId="0" applyFont="1" applyFill="1" applyBorder="1" applyAlignment="1" applyProtection="1">
      <alignment horizontal="left" vertical="center"/>
      <protection locked="0"/>
    </xf>
    <xf numFmtId="0" fontId="108" fillId="0" borderId="27" xfId="0" applyFont="1" applyBorder="1" applyAlignment="1" applyProtection="1">
      <alignment horizontal="left" vertical="center"/>
      <protection locked="0"/>
    </xf>
    <xf numFmtId="0" fontId="108" fillId="0" borderId="30" xfId="0" applyFont="1" applyBorder="1" applyAlignment="1" applyProtection="1">
      <alignment horizontal="left" vertical="center"/>
      <protection locked="0"/>
    </xf>
    <xf numFmtId="0" fontId="108" fillId="16" borderId="28" xfId="0" applyFont="1" applyFill="1" applyBorder="1" applyAlignment="1" applyProtection="1">
      <alignment horizontal="left" vertical="center"/>
      <protection locked="0"/>
    </xf>
    <xf numFmtId="0" fontId="108" fillId="0" borderId="81" xfId="0" applyFont="1" applyBorder="1" applyAlignment="1" applyProtection="1">
      <alignment horizontal="left" vertical="center" wrapText="1"/>
      <protection locked="0"/>
    </xf>
    <xf numFmtId="0" fontId="108" fillId="0" borderId="83" xfId="0" applyFont="1" applyBorder="1" applyAlignment="1" applyProtection="1">
      <alignment horizontal="left" vertical="center"/>
      <protection locked="0"/>
    </xf>
    <xf numFmtId="0" fontId="108" fillId="0" borderId="27" xfId="0" applyFont="1" applyBorder="1" applyAlignment="1" applyProtection="1">
      <alignment horizontal="left" vertical="center" wrapText="1"/>
      <protection locked="0"/>
    </xf>
    <xf numFmtId="0" fontId="108" fillId="0" borderId="28" xfId="0" applyFont="1" applyBorder="1" applyAlignment="1" applyProtection="1">
      <alignment horizontal="left" vertical="center"/>
      <protection locked="0"/>
    </xf>
    <xf numFmtId="0" fontId="108" fillId="16" borderId="105" xfId="0" applyFont="1" applyFill="1" applyBorder="1" applyAlignment="1" applyProtection="1">
      <alignment horizontal="left" vertical="center"/>
      <protection locked="0"/>
    </xf>
    <xf numFmtId="0" fontId="108" fillId="0" borderId="81" xfId="0" applyFont="1" applyBorder="1" applyAlignment="1" applyProtection="1">
      <alignment horizontal="left" vertical="center"/>
      <protection locked="0"/>
    </xf>
    <xf numFmtId="0" fontId="108" fillId="0" borderId="82" xfId="0" applyFont="1" applyBorder="1" applyAlignment="1" applyProtection="1">
      <alignment horizontal="left" vertical="center"/>
      <protection locked="0"/>
    </xf>
    <xf numFmtId="0" fontId="108" fillId="34" borderId="4" xfId="0" applyFont="1" applyFill="1" applyBorder="1" applyAlignment="1" applyProtection="1">
      <alignment horizontal="left" vertical="center"/>
      <protection locked="0"/>
    </xf>
    <xf numFmtId="0" fontId="108" fillId="34" borderId="106" xfId="0" applyFont="1" applyFill="1" applyBorder="1" applyAlignment="1" applyProtection="1">
      <alignment horizontal="left" vertical="center"/>
      <protection locked="0"/>
    </xf>
    <xf numFmtId="0" fontId="108" fillId="16" borderId="6" xfId="0" applyFont="1" applyFill="1" applyBorder="1" applyAlignment="1" applyProtection="1">
      <alignment horizontal="left" vertical="center"/>
      <protection locked="0"/>
    </xf>
    <xf numFmtId="0" fontId="108" fillId="16" borderId="107" xfId="0" applyFont="1" applyFill="1" applyBorder="1" applyAlignment="1" applyProtection="1">
      <alignment horizontal="left" vertical="center"/>
      <protection locked="0"/>
    </xf>
    <xf numFmtId="0" fontId="108" fillId="16" borderId="27" xfId="0" applyFont="1" applyFill="1" applyBorder="1" applyAlignment="1" applyProtection="1">
      <alignment horizontal="left" vertical="center"/>
      <protection locked="0"/>
    </xf>
    <xf numFmtId="0" fontId="108" fillId="16" borderId="108" xfId="0" applyFont="1" applyFill="1" applyBorder="1" applyAlignment="1" applyProtection="1">
      <alignment horizontal="left" vertical="center"/>
      <protection locked="0"/>
    </xf>
    <xf numFmtId="0" fontId="108" fillId="16" borderId="81" xfId="0" applyFont="1" applyFill="1" applyBorder="1" applyAlignment="1" applyProtection="1">
      <alignment horizontal="left" vertical="center"/>
      <protection locked="0"/>
    </xf>
    <xf numFmtId="0" fontId="108" fillId="34" borderId="109" xfId="0" applyNumberFormat="1" applyFont="1" applyFill="1" applyBorder="1" applyAlignment="1" applyProtection="1">
      <alignment horizontal="left" vertical="center"/>
      <protection locked="0"/>
    </xf>
    <xf numFmtId="0" fontId="108" fillId="34" borderId="0" xfId="0" applyNumberFormat="1" applyFont="1" applyFill="1" applyBorder="1" applyAlignment="1" applyProtection="1">
      <alignment horizontal="left" vertical="center"/>
      <protection locked="0"/>
    </xf>
    <xf numFmtId="0" fontId="108" fillId="0" borderId="109" xfId="0" applyNumberFormat="1" applyFont="1" applyFill="1" applyBorder="1" applyAlignment="1" applyProtection="1">
      <alignment horizontal="left" vertical="center"/>
      <protection locked="0"/>
    </xf>
    <xf numFmtId="0" fontId="108" fillId="0" borderId="0" xfId="0" applyNumberFormat="1" applyFont="1" applyFill="1" applyBorder="1" applyAlignment="1" applyProtection="1">
      <alignment horizontal="left" vertical="center" wrapText="1"/>
      <protection locked="0"/>
    </xf>
    <xf numFmtId="0" fontId="108" fillId="0" borderId="0" xfId="0" applyNumberFormat="1" applyFont="1" applyFill="1" applyBorder="1" applyAlignment="1" applyProtection="1">
      <alignment horizontal="left" vertical="center"/>
      <protection locked="0"/>
    </xf>
    <xf numFmtId="0" fontId="112" fillId="0" borderId="0" xfId="25" applyFont="1" applyFill="1" applyBorder="1" applyAlignment="1" applyProtection="1">
      <alignment horizontal="left" vertical="center" wrapText="1"/>
    </xf>
    <xf numFmtId="0" fontId="108" fillId="0" borderId="110" xfId="0" applyFont="1" applyFill="1" applyBorder="1" applyAlignment="1" applyProtection="1">
      <alignment horizontal="left" vertical="center"/>
      <protection locked="0"/>
    </xf>
    <xf numFmtId="0" fontId="108" fillId="0" borderId="0" xfId="0" applyFont="1" applyBorder="1" applyAlignment="1" applyProtection="1">
      <alignment horizontal="left" vertical="center"/>
      <protection locked="0"/>
    </xf>
    <xf numFmtId="0" fontId="108" fillId="0" borderId="0" xfId="0" applyFont="1" applyBorder="1" applyAlignment="1" applyProtection="1">
      <alignment horizontal="left" vertical="center" wrapText="1"/>
      <protection locked="0"/>
    </xf>
    <xf numFmtId="0" fontId="108" fillId="34" borderId="20" xfId="0" applyNumberFormat="1" applyFont="1" applyFill="1" applyBorder="1" applyAlignment="1" applyProtection="1">
      <alignment horizontal="left" vertical="center"/>
      <protection locked="0"/>
    </xf>
    <xf numFmtId="0" fontId="108" fillId="34" borderId="16" xfId="0" applyNumberFormat="1" applyFont="1" applyFill="1" applyBorder="1" applyAlignment="1" applyProtection="1">
      <alignment horizontal="left" vertical="center"/>
      <protection locked="0"/>
    </xf>
    <xf numFmtId="0" fontId="108" fillId="0" borderId="21" xfId="0" applyNumberFormat="1" applyFont="1" applyFill="1" applyBorder="1" applyAlignment="1" applyProtection="1">
      <alignment horizontal="left" vertical="center" wrapText="1"/>
      <protection locked="0"/>
    </xf>
    <xf numFmtId="0" fontId="108" fillId="0" borderId="17" xfId="0" applyNumberFormat="1" applyFont="1" applyFill="1" applyBorder="1" applyAlignment="1" applyProtection="1">
      <alignment horizontal="left" vertical="center" wrapText="1"/>
      <protection locked="0"/>
    </xf>
    <xf numFmtId="0" fontId="10" fillId="0" borderId="0" xfId="0" applyNumberFormat="1" applyFont="1" applyFill="1" applyBorder="1" applyAlignment="1" applyProtection="1">
      <alignment horizontal="left" vertical="center"/>
      <protection locked="0"/>
    </xf>
    <xf numFmtId="0" fontId="113" fillId="0" borderId="0" xfId="0" applyNumberFormat="1" applyFont="1" applyFill="1" applyBorder="1" applyAlignment="1" applyProtection="1">
      <alignment horizontal="left" vertical="center"/>
      <protection locked="0"/>
    </xf>
    <xf numFmtId="0" fontId="62" fillId="29" borderId="21" xfId="0" applyFont="1" applyFill="1" applyBorder="1" applyAlignment="1" applyProtection="1">
      <alignment horizontal="left" vertical="center"/>
      <protection locked="0" hidden="1"/>
    </xf>
    <xf numFmtId="0" fontId="62" fillId="29" borderId="17" xfId="0" applyFont="1" applyFill="1" applyBorder="1" applyAlignment="1" applyProtection="1">
      <alignment horizontal="left" vertical="center"/>
      <protection locked="0"/>
    </xf>
    <xf numFmtId="0" fontId="62" fillId="0" borderId="21" xfId="0" applyFont="1" applyFill="1" applyBorder="1" applyAlignment="1" applyProtection="1">
      <alignment horizontal="left" vertical="center"/>
      <protection locked="0" hidden="1"/>
    </xf>
    <xf numFmtId="0" fontId="62" fillId="0" borderId="17" xfId="0" applyFont="1" applyFill="1" applyBorder="1" applyAlignment="1" applyProtection="1">
      <alignment horizontal="left" vertical="center"/>
      <protection locked="0"/>
    </xf>
    <xf numFmtId="0" fontId="108" fillId="0" borderId="11" xfId="0" applyFont="1" applyFill="1" applyBorder="1" applyAlignment="1" applyProtection="1">
      <alignment horizontal="left" vertical="center"/>
      <protection locked="0"/>
    </xf>
    <xf numFmtId="0" fontId="108" fillId="16" borderId="84" xfId="0" applyFont="1" applyFill="1" applyBorder="1" applyAlignment="1" applyProtection="1">
      <alignment horizontal="left" vertical="center"/>
      <protection locked="0"/>
    </xf>
    <xf numFmtId="0" fontId="108" fillId="0" borderId="12" xfId="0" applyFont="1" applyFill="1" applyBorder="1" applyAlignment="1" applyProtection="1">
      <alignment horizontal="left" vertical="center"/>
      <protection locked="0"/>
    </xf>
    <xf numFmtId="0" fontId="108" fillId="16" borderId="57" xfId="0" applyFont="1" applyFill="1" applyBorder="1" applyAlignment="1" applyProtection="1">
      <alignment horizontal="left" vertical="center"/>
      <protection locked="0"/>
    </xf>
    <xf numFmtId="0" fontId="108" fillId="0" borderId="83" xfId="0" applyFont="1" applyFill="1" applyBorder="1" applyAlignment="1" applyProtection="1">
      <alignment horizontal="left" vertical="center"/>
      <protection locked="0"/>
    </xf>
    <xf numFmtId="0" fontId="108" fillId="16" borderId="57" xfId="0" applyNumberFormat="1" applyFont="1" applyFill="1" applyBorder="1" applyAlignment="1" applyProtection="1">
      <alignment horizontal="left" vertical="center"/>
      <protection locked="0"/>
    </xf>
    <xf numFmtId="0" fontId="108" fillId="52" borderId="0" xfId="0" applyFont="1" applyFill="1" applyAlignment="1" applyProtection="1">
      <alignment horizontal="left" vertical="center"/>
      <protection locked="0"/>
    </xf>
    <xf numFmtId="0" fontId="108" fillId="0" borderId="6" xfId="0" applyFont="1" applyFill="1" applyBorder="1" applyAlignment="1" applyProtection="1">
      <alignment horizontal="left" vertical="center"/>
      <protection locked="0"/>
    </xf>
    <xf numFmtId="0" fontId="109" fillId="0" borderId="0" xfId="0" applyNumberFormat="1" applyFont="1" applyFill="1" applyBorder="1" applyAlignment="1" applyProtection="1">
      <alignment horizontal="left" vertical="center"/>
      <protection locked="0"/>
    </xf>
    <xf numFmtId="0" fontId="62" fillId="0" borderId="0" xfId="0" applyNumberFormat="1" applyFont="1" applyFill="1" applyBorder="1" applyAlignment="1" applyProtection="1">
      <alignment horizontal="left" vertical="center"/>
      <protection locked="0"/>
    </xf>
    <xf numFmtId="0" fontId="76" fillId="0" borderId="0" xfId="0" applyFont="1" applyFill="1" applyBorder="1" applyAlignment="1" applyProtection="1">
      <alignment horizontal="left" vertical="center"/>
      <protection locked="0"/>
    </xf>
    <xf numFmtId="0" fontId="108" fillId="0" borderId="0" xfId="0" applyFont="1" applyFill="1" applyBorder="1" applyAlignment="1" applyProtection="1">
      <alignment horizontal="left" vertical="center"/>
      <protection locked="0"/>
    </xf>
    <xf numFmtId="0" fontId="114" fillId="0" borderId="0" xfId="0" applyFont="1" applyFill="1" applyBorder="1" applyAlignment="1" applyProtection="1">
      <alignment horizontal="left" vertical="center"/>
      <protection locked="0"/>
    </xf>
    <xf numFmtId="0" fontId="108" fillId="52" borderId="0" xfId="0" applyFont="1" applyFill="1" applyAlignment="1">
      <alignment horizontal="left" vertical="center"/>
    </xf>
    <xf numFmtId="0" fontId="108" fillId="0" borderId="0" xfId="0" applyFont="1" applyAlignment="1">
      <alignment horizontal="left" vertical="center" wrapText="1"/>
    </xf>
    <xf numFmtId="0" fontId="108" fillId="0" borderId="57" xfId="0" applyFont="1" applyFill="1" applyBorder="1" applyAlignment="1" applyProtection="1">
      <alignment horizontal="left" vertical="center"/>
      <protection locked="0"/>
    </xf>
    <xf numFmtId="0" fontId="108" fillId="0" borderId="111" xfId="0" applyFont="1" applyBorder="1" applyAlignment="1">
      <alignment horizontal="left" vertical="center"/>
    </xf>
    <xf numFmtId="0" fontId="108" fillId="52" borderId="5" xfId="0" applyFont="1" applyFill="1" applyBorder="1" applyAlignment="1">
      <alignment horizontal="left" vertical="center"/>
    </xf>
    <xf numFmtId="0" fontId="108" fillId="52" borderId="11" xfId="0" applyFont="1" applyFill="1" applyBorder="1" applyAlignment="1">
      <alignment horizontal="left" vertical="center"/>
    </xf>
    <xf numFmtId="0" fontId="108" fillId="0" borderId="17" xfId="0" applyFont="1" applyBorder="1" applyAlignment="1">
      <alignment horizontal="left" vertical="center"/>
    </xf>
    <xf numFmtId="0" fontId="108" fillId="0" borderId="22" xfId="0" applyFont="1" applyBorder="1" applyAlignment="1">
      <alignment horizontal="left" vertical="center"/>
    </xf>
    <xf numFmtId="0" fontId="108" fillId="0" borderId="18" xfId="0" applyFont="1" applyBorder="1" applyAlignment="1">
      <alignment horizontal="left" vertical="center"/>
    </xf>
    <xf numFmtId="0" fontId="108" fillId="0" borderId="23" xfId="0" applyFont="1" applyBorder="1" applyAlignment="1">
      <alignment horizontal="left" vertical="center"/>
    </xf>
    <xf numFmtId="0" fontId="108" fillId="0" borderId="112" xfId="0" applyFont="1" applyBorder="1" applyAlignment="1">
      <alignment horizontal="left" vertical="center"/>
    </xf>
    <xf numFmtId="0" fontId="69" fillId="0" borderId="0" xfId="0" applyFont="1" applyFill="1" applyBorder="1" applyAlignment="1">
      <alignment horizontal="left" vertical="center" wrapText="1"/>
    </xf>
    <xf numFmtId="0" fontId="63" fillId="0" borderId="0" xfId="0" applyFont="1" applyFill="1" applyBorder="1" applyAlignment="1" applyProtection="1">
      <alignment horizontal="left" vertical="center"/>
      <protection locked="0"/>
    </xf>
    <xf numFmtId="0" fontId="50" fillId="0" borderId="0" xfId="0" applyFont="1" applyFill="1" applyBorder="1" applyAlignment="1" applyProtection="1">
      <alignment horizontal="left" vertical="center"/>
      <protection locked="0"/>
    </xf>
    <xf numFmtId="0" fontId="50" fillId="0" borderId="0" xfId="0" applyFont="1" applyFill="1" applyBorder="1" applyAlignment="1" applyProtection="1">
      <alignment horizontal="left"/>
      <protection locked="0"/>
    </xf>
    <xf numFmtId="0" fontId="62" fillId="0" borderId="0" xfId="0" applyFont="1" applyFill="1" applyBorder="1" applyAlignment="1" applyProtection="1">
      <alignment horizontal="left" vertical="top"/>
      <protection locked="0"/>
    </xf>
    <xf numFmtId="0" fontId="109" fillId="0" borderId="0" xfId="0" applyFont="1" applyFill="1" applyBorder="1" applyAlignment="1" applyProtection="1">
      <alignment horizontal="left" vertical="center"/>
      <protection locked="0"/>
    </xf>
    <xf numFmtId="0" fontId="108" fillId="0" borderId="0" xfId="0" applyFont="1" applyFill="1" applyBorder="1" applyAlignment="1" applyProtection="1">
      <alignment horizontal="left" vertical="top" wrapText="1"/>
      <protection locked="0"/>
    </xf>
    <xf numFmtId="0" fontId="50" fillId="0" borderId="0" xfId="0" applyFont="1" applyFill="1" applyBorder="1" applyAlignment="1" applyProtection="1">
      <alignment horizontal="left" vertical="top" wrapText="1"/>
      <protection locked="0"/>
    </xf>
    <xf numFmtId="0" fontId="111" fillId="0" borderId="0" xfId="49" applyFont="1" applyFill="1" applyBorder="1" applyAlignment="1">
      <alignment horizontal="left" vertical="center"/>
      <protection locked="0"/>
    </xf>
    <xf numFmtId="0" fontId="7" fillId="0" borderId="0" xfId="49" applyFont="1" applyBorder="1" applyAlignment="1">
      <alignment horizontal="left" vertical="center"/>
      <protection locked="0"/>
    </xf>
    <xf numFmtId="0" fontId="62" fillId="0" borderId="4" xfId="0" applyFont="1" applyFill="1" applyBorder="1" applyAlignment="1" applyProtection="1">
      <alignment horizontal="left" vertical="center"/>
      <protection locked="0" hidden="1"/>
    </xf>
    <xf numFmtId="0" fontId="62" fillId="0" borderId="5" xfId="0" applyFont="1" applyFill="1" applyBorder="1" applyAlignment="1" applyProtection="1">
      <alignment horizontal="left" vertical="center"/>
      <protection locked="0"/>
    </xf>
    <xf numFmtId="9" fontId="108" fillId="0" borderId="0" xfId="0" applyNumberFormat="1" applyFont="1" applyAlignment="1">
      <alignment horizontal="left" vertical="center"/>
    </xf>
    <xf numFmtId="49" fontId="108" fillId="0" borderId="0" xfId="0" applyNumberFormat="1" applyFont="1" applyAlignment="1">
      <alignment horizontal="left" vertical="center"/>
    </xf>
    <xf numFmtId="0" fontId="108" fillId="0" borderId="6" xfId="0" applyFont="1" applyFill="1" applyBorder="1" applyAlignment="1" applyProtection="1">
      <alignment horizontal="left"/>
      <protection locked="0"/>
    </xf>
    <xf numFmtId="0" fontId="18" fillId="0" borderId="0" xfId="49" applyFill="1" applyBorder="1" applyAlignment="1">
      <alignment horizontal="left" vertical="center"/>
      <protection locked="0"/>
    </xf>
    <xf numFmtId="0" fontId="109" fillId="0" borderId="12" xfId="0" applyFont="1" applyFill="1" applyBorder="1" applyAlignment="1" applyProtection="1">
      <alignment horizontal="left" vertical="center"/>
      <protection locked="0"/>
    </xf>
    <xf numFmtId="0" fontId="19" fillId="0" borderId="0" xfId="0" applyFont="1" applyAlignment="1">
      <alignment horizontal="left" vertical="center"/>
    </xf>
    <xf numFmtId="0" fontId="19" fillId="0" borderId="0" xfId="0" applyFont="1" applyAlignment="1">
      <alignment horizontal="left" vertical="center" wrapText="1"/>
    </xf>
    <xf numFmtId="0" fontId="17" fillId="0" borderId="6" xfId="0" applyFont="1" applyFill="1" applyBorder="1" applyProtection="1">
      <alignment vertical="center"/>
      <protection locked="0"/>
    </xf>
    <xf numFmtId="0" fontId="62" fillId="0" borderId="0" xfId="0" applyFont="1" applyFill="1" applyAlignment="1" applyProtection="1">
      <alignment horizontal="left" vertical="center"/>
      <protection locked="0"/>
    </xf>
    <xf numFmtId="180" fontId="7" fillId="0" borderId="0" xfId="0" applyNumberFormat="1" applyFont="1" applyFill="1" applyBorder="1" applyAlignment="1" applyProtection="1">
      <alignment horizontal="left" vertical="center" wrapText="1"/>
      <protection locked="0" hidden="1"/>
    </xf>
    <xf numFmtId="0" fontId="115" fillId="0" borderId="0" xfId="0" applyNumberFormat="1" applyFont="1" applyFill="1" applyBorder="1" applyAlignment="1" applyProtection="1">
      <alignment horizontal="left" vertical="center"/>
      <protection locked="0"/>
    </xf>
    <xf numFmtId="0" fontId="7" fillId="0" borderId="0" xfId="0" applyNumberFormat="1" applyFont="1" applyFill="1" applyBorder="1" applyAlignment="1" applyProtection="1">
      <alignment horizontal="left" vertical="center" wrapText="1"/>
      <protection locked="0"/>
    </xf>
    <xf numFmtId="0" fontId="62" fillId="0" borderId="0" xfId="0" applyFont="1" applyFill="1" applyBorder="1" applyAlignment="1" applyProtection="1">
      <alignment horizontal="left" vertical="center"/>
      <protection locked="0" hidden="1"/>
    </xf>
    <xf numFmtId="0" fontId="0" fillId="0" borderId="12" xfId="0" applyBorder="1">
      <alignment vertical="center"/>
    </xf>
    <xf numFmtId="0" fontId="62" fillId="0" borderId="3" xfId="0" applyFont="1" applyFill="1" applyBorder="1" applyAlignment="1" applyProtection="1">
      <alignment horizontal="left" vertical="center"/>
      <protection locked="0"/>
    </xf>
    <xf numFmtId="0" fontId="62" fillId="0" borderId="3" xfId="0" applyFont="1" applyBorder="1" applyAlignment="1">
      <alignment horizontal="left" vertical="center"/>
    </xf>
    <xf numFmtId="0" fontId="108" fillId="0" borderId="17" xfId="0" applyNumberFormat="1" applyFont="1" applyFill="1" applyBorder="1" applyAlignment="1" applyProtection="1">
      <alignment horizontal="left" vertical="center"/>
      <protection locked="0"/>
    </xf>
    <xf numFmtId="0" fontId="108" fillId="0" borderId="22" xfId="0" applyNumberFormat="1" applyFont="1" applyFill="1" applyBorder="1" applyAlignment="1" applyProtection="1">
      <alignment horizontal="left" vertical="center" wrapText="1"/>
      <protection locked="0"/>
    </xf>
    <xf numFmtId="0" fontId="108" fillId="0" borderId="19" xfId="0" applyNumberFormat="1" applyFont="1" applyFill="1" applyBorder="1" applyAlignment="1" applyProtection="1">
      <alignment horizontal="left" vertical="center" wrapText="1"/>
      <protection locked="0"/>
    </xf>
    <xf numFmtId="0" fontId="108" fillId="0" borderId="0" xfId="0" applyFont="1" applyFill="1" applyBorder="1" applyAlignment="1" applyProtection="1">
      <alignment horizontal="left" vertical="top"/>
      <protection locked="0"/>
    </xf>
    <xf numFmtId="0" fontId="109" fillId="0" borderId="0" xfId="0" applyFont="1" applyFill="1" applyBorder="1" applyAlignment="1" applyProtection="1">
      <alignment horizontal="left" vertical="top"/>
      <protection locked="0"/>
    </xf>
    <xf numFmtId="0" fontId="62" fillId="0" borderId="0" xfId="0" applyFont="1" applyFill="1" applyBorder="1" applyAlignment="1" applyProtection="1">
      <alignment horizontal="left" vertical="top" wrapText="1"/>
      <protection locked="0"/>
    </xf>
    <xf numFmtId="0" fontId="62" fillId="0" borderId="0" xfId="0" applyFont="1" applyFill="1" applyBorder="1" applyAlignment="1" applyProtection="1">
      <alignment horizontal="left" vertical="center" wrapText="1"/>
      <protection locked="0"/>
    </xf>
    <xf numFmtId="0" fontId="109" fillId="0" borderId="0" xfId="0" applyFont="1" applyFill="1" applyBorder="1" applyAlignment="1" applyProtection="1">
      <alignment horizontal="left" vertical="center" wrapText="1"/>
      <protection locked="0"/>
    </xf>
    <xf numFmtId="0" fontId="109" fillId="0" borderId="0" xfId="0" applyFont="1" applyFill="1" applyBorder="1" applyAlignment="1" applyProtection="1">
      <alignment horizontal="left" vertical="top" wrapText="1"/>
      <protection locked="0"/>
    </xf>
    <xf numFmtId="0" fontId="108" fillId="0" borderId="0" xfId="0" applyFont="1" applyFill="1" applyAlignment="1">
      <alignment horizontal="left" vertical="center" wrapText="1"/>
    </xf>
    <xf numFmtId="0" fontId="88" fillId="0" borderId="0" xfId="0" applyFont="1" applyAlignment="1">
      <alignment horizontal="left" vertical="center"/>
    </xf>
    <xf numFmtId="0" fontId="88" fillId="0" borderId="0" xfId="0" applyFont="1" applyFill="1" applyAlignment="1">
      <alignment horizontal="left" vertical="center"/>
    </xf>
    <xf numFmtId="0" fontId="108" fillId="0" borderId="113" xfId="0" applyNumberFormat="1" applyFont="1" applyFill="1" applyBorder="1" applyAlignment="1" applyProtection="1">
      <alignment horizontal="left" vertical="center"/>
      <protection locked="0"/>
    </xf>
    <xf numFmtId="0" fontId="115" fillId="0" borderId="0" xfId="0" applyNumberFormat="1" applyFont="1" applyFill="1" applyBorder="1" applyAlignment="1" applyProtection="1">
      <alignment horizontal="left" vertical="center" wrapText="1"/>
      <protection locked="0"/>
    </xf>
    <xf numFmtId="0" fontId="115" fillId="0" borderId="0" xfId="0" applyFont="1" applyAlignment="1" applyProtection="1">
      <alignment horizontal="left" vertical="center"/>
      <protection locked="0"/>
    </xf>
    <xf numFmtId="0" fontId="108" fillId="0" borderId="113" xfId="0" applyNumberFormat="1" applyFont="1" applyFill="1" applyBorder="1" applyAlignment="1" applyProtection="1">
      <alignment horizontal="left" vertical="center" wrapText="1"/>
      <protection locked="0"/>
    </xf>
    <xf numFmtId="0" fontId="110" fillId="0" borderId="114" xfId="0" applyFont="1" applyFill="1" applyBorder="1" applyAlignment="1" applyProtection="1">
      <alignment horizontal="left" vertical="center" wrapText="1"/>
      <protection locked="0"/>
    </xf>
    <xf numFmtId="0" fontId="110" fillId="0" borderId="115" xfId="0" applyFont="1" applyFill="1" applyBorder="1" applyAlignment="1" applyProtection="1">
      <alignment horizontal="left" vertical="center" wrapText="1"/>
      <protection locked="0"/>
    </xf>
    <xf numFmtId="0" fontId="108" fillId="0" borderId="0" xfId="0" applyFont="1" applyAlignment="1" applyProtection="1">
      <alignment vertical="center" wrapText="1"/>
      <protection locked="0"/>
    </xf>
    <xf numFmtId="0" fontId="42" fillId="0" borderId="0" xfId="0" applyFont="1" applyFill="1" applyBorder="1" applyAlignment="1">
      <alignment horizontal="left" vertical="center"/>
    </xf>
    <xf numFmtId="0" fontId="110" fillId="0" borderId="116" xfId="0" applyFont="1" applyFill="1" applyBorder="1" applyAlignment="1">
      <alignment horizontal="left" vertical="center" wrapText="1"/>
    </xf>
    <xf numFmtId="0" fontId="110" fillId="0" borderId="0" xfId="0" applyFont="1" applyFill="1" applyBorder="1" applyAlignment="1">
      <alignment horizontal="left" vertical="center" wrapText="1"/>
    </xf>
    <xf numFmtId="0" fontId="110" fillId="0" borderId="115" xfId="0" applyFont="1" applyFill="1" applyBorder="1" applyAlignment="1">
      <alignment horizontal="left" vertical="center" wrapText="1"/>
    </xf>
    <xf numFmtId="0" fontId="110" fillId="0" borderId="97" xfId="0" applyFont="1" applyFill="1" applyBorder="1" applyAlignment="1">
      <alignment horizontal="left" vertical="center" wrapText="1"/>
    </xf>
    <xf numFmtId="179" fontId="49" fillId="0" borderId="0" xfId="0" applyNumberFormat="1" applyFont="1" applyFill="1" applyBorder="1" applyAlignment="1">
      <alignment horizontal="left" vertical="center"/>
    </xf>
    <xf numFmtId="49" fontId="108" fillId="0" borderId="0" xfId="0" applyNumberFormat="1" applyFont="1" applyFill="1" applyAlignment="1">
      <alignment horizontal="left" vertical="center"/>
    </xf>
    <xf numFmtId="49" fontId="108" fillId="0" borderId="28" xfId="0" applyNumberFormat="1" applyFont="1" applyBorder="1" applyAlignment="1">
      <alignment horizontal="left" vertical="center"/>
    </xf>
    <xf numFmtId="0" fontId="17" fillId="0" borderId="0" xfId="0" applyFont="1" applyFill="1" applyProtection="1">
      <alignment vertical="center"/>
      <protection locked="0"/>
    </xf>
    <xf numFmtId="0" fontId="0" fillId="0" borderId="6" xfId="0" applyBorder="1">
      <alignment vertical="center"/>
    </xf>
    <xf numFmtId="177" fontId="108" fillId="0" borderId="6" xfId="0" applyNumberFormat="1" applyFont="1" applyBorder="1" applyAlignment="1">
      <alignment horizontal="left" vertical="center"/>
    </xf>
    <xf numFmtId="0" fontId="48" fillId="0" borderId="6" xfId="0" applyFont="1" applyBorder="1">
      <alignment vertical="center"/>
    </xf>
    <xf numFmtId="0" fontId="88" fillId="0" borderId="12" xfId="0" applyFont="1" applyBorder="1" applyAlignment="1">
      <alignment horizontal="left" vertical="center"/>
    </xf>
    <xf numFmtId="0" fontId="63" fillId="51" borderId="4" xfId="0" applyFont="1" applyFill="1" applyBorder="1" applyAlignment="1" applyProtection="1">
      <alignment horizontal="left" vertical="center"/>
      <protection locked="0"/>
    </xf>
    <xf numFmtId="0" fontId="63" fillId="51" borderId="11" xfId="0" applyFont="1" applyFill="1" applyBorder="1" applyAlignment="1" applyProtection="1">
      <alignment horizontal="left" vertical="center"/>
      <protection locked="0"/>
    </xf>
    <xf numFmtId="0" fontId="63" fillId="55" borderId="5" xfId="0" applyFont="1" applyFill="1" applyBorder="1" applyAlignment="1" applyProtection="1">
      <alignment horizontal="left" vertical="center"/>
      <protection locked="0"/>
    </xf>
    <xf numFmtId="0" fontId="63" fillId="55" borderId="11" xfId="0" applyFont="1" applyFill="1" applyBorder="1" applyAlignment="1" applyProtection="1">
      <alignment horizontal="left" vertical="center"/>
      <protection locked="0"/>
    </xf>
    <xf numFmtId="0" fontId="62" fillId="51" borderId="6" xfId="0" applyFont="1" applyFill="1" applyBorder="1" applyAlignment="1" applyProtection="1">
      <alignment horizontal="left" vertical="center"/>
      <protection locked="0"/>
    </xf>
    <xf numFmtId="0" fontId="62" fillId="51" borderId="12" xfId="0" applyFont="1" applyFill="1" applyBorder="1" applyAlignment="1" applyProtection="1">
      <alignment horizontal="left" vertical="center"/>
      <protection locked="0"/>
    </xf>
    <xf numFmtId="0" fontId="62" fillId="56" borderId="0" xfId="0" applyFont="1" applyFill="1" applyBorder="1" applyAlignment="1" applyProtection="1">
      <alignment horizontal="left" vertical="center"/>
      <protection locked="0"/>
    </xf>
    <xf numFmtId="0" fontId="62" fillId="56" borderId="12" xfId="0" applyFont="1" applyFill="1" applyBorder="1" applyAlignment="1" applyProtection="1">
      <alignment horizontal="left" vertical="center"/>
      <protection locked="0"/>
    </xf>
    <xf numFmtId="0" fontId="62" fillId="0" borderId="6" xfId="0" applyFont="1" applyFill="1" applyBorder="1" applyAlignment="1" applyProtection="1">
      <alignment horizontal="left" vertical="center"/>
      <protection locked="0" hidden="1"/>
    </xf>
    <xf numFmtId="177" fontId="62" fillId="0" borderId="12" xfId="0" applyNumberFormat="1" applyFont="1" applyFill="1" applyBorder="1" applyAlignment="1" applyProtection="1">
      <alignment horizontal="left" vertical="center"/>
      <protection locked="0"/>
    </xf>
    <xf numFmtId="0" fontId="62" fillId="0" borderId="12" xfId="0" applyFont="1" applyFill="1" applyBorder="1" applyAlignment="1" applyProtection="1">
      <alignment horizontal="left" vertical="center"/>
      <protection locked="0"/>
    </xf>
    <xf numFmtId="0" fontId="62" fillId="29" borderId="0" xfId="0" applyFont="1" applyFill="1" applyBorder="1" applyAlignment="1" applyProtection="1">
      <alignment horizontal="left" vertical="center"/>
      <protection locked="0" hidden="1"/>
    </xf>
    <xf numFmtId="0" fontId="62" fillId="29" borderId="12" xfId="0" applyFont="1" applyFill="1" applyBorder="1" applyAlignment="1" applyProtection="1">
      <alignment horizontal="left" vertical="center"/>
      <protection locked="0"/>
    </xf>
    <xf numFmtId="0" fontId="62" fillId="0" borderId="0" xfId="0" applyFont="1" applyBorder="1" applyAlignment="1">
      <alignment horizontal="left" vertical="center"/>
    </xf>
    <xf numFmtId="177" fontId="108" fillId="0" borderId="12" xfId="0" applyNumberFormat="1" applyFont="1" applyFill="1" applyBorder="1" applyAlignment="1">
      <alignment horizontal="left" vertical="center"/>
    </xf>
    <xf numFmtId="0" fontId="108" fillId="0" borderId="6" xfId="0" applyFont="1" applyFill="1" applyBorder="1" applyAlignment="1">
      <alignment horizontal="left" vertical="center"/>
    </xf>
    <xf numFmtId="0" fontId="62" fillId="0" borderId="28" xfId="0" applyFont="1" applyFill="1" applyBorder="1" applyAlignment="1" applyProtection="1">
      <alignment horizontal="left" vertical="center"/>
      <protection locked="0" hidden="1"/>
    </xf>
    <xf numFmtId="0" fontId="62" fillId="0" borderId="30" xfId="0" applyFont="1" applyFill="1" applyBorder="1" applyAlignment="1" applyProtection="1">
      <alignment horizontal="left" vertical="center"/>
      <protection locked="0" hidden="1"/>
    </xf>
    <xf numFmtId="0" fontId="108" fillId="0" borderId="27" xfId="0" applyFont="1" applyFill="1" applyBorder="1" applyAlignment="1">
      <alignment horizontal="left" vertical="center"/>
    </xf>
    <xf numFmtId="177" fontId="108" fillId="0" borderId="30" xfId="0" applyNumberFormat="1" applyFont="1" applyFill="1" applyBorder="1" applyAlignment="1">
      <alignment horizontal="left" vertical="center"/>
    </xf>
    <xf numFmtId="0" fontId="44" fillId="0" borderId="6" xfId="0" applyFont="1" applyFill="1" applyBorder="1">
      <alignment vertical="center"/>
    </xf>
    <xf numFmtId="177" fontId="108" fillId="0" borderId="6" xfId="0" applyNumberFormat="1" applyFont="1" applyFill="1" applyBorder="1" applyAlignment="1">
      <alignment horizontal="left" vertical="center"/>
    </xf>
    <xf numFmtId="0" fontId="108" fillId="0" borderId="6" xfId="0" applyFont="1" applyFill="1" applyBorder="1">
      <alignment vertical="center"/>
    </xf>
    <xf numFmtId="0" fontId="63" fillId="57" borderId="5" xfId="0" applyFont="1" applyFill="1" applyBorder="1" applyAlignment="1" applyProtection="1">
      <alignment horizontal="left" vertical="center"/>
      <protection locked="0"/>
    </xf>
    <xf numFmtId="0" fontId="63" fillId="57" borderId="4" xfId="0" applyFont="1" applyFill="1" applyBorder="1" applyAlignment="1" applyProtection="1">
      <alignment horizontal="left" vertical="center"/>
      <protection locked="0"/>
    </xf>
    <xf numFmtId="0" fontId="63" fillId="57" borderId="11" xfId="0" applyFont="1" applyFill="1" applyBorder="1" applyAlignment="1" applyProtection="1">
      <alignment horizontal="left" vertical="center"/>
      <protection locked="0"/>
    </xf>
    <xf numFmtId="0" fontId="44" fillId="58" borderId="4" xfId="0" applyFont="1" applyFill="1" applyBorder="1" applyAlignment="1" applyProtection="1">
      <alignment horizontal="left" vertical="center"/>
      <protection locked="0"/>
    </xf>
    <xf numFmtId="0" fontId="44" fillId="58" borderId="11" xfId="0" applyFont="1" applyFill="1" applyBorder="1" applyAlignment="1" applyProtection="1">
      <alignment horizontal="left" vertical="center"/>
      <protection locked="0"/>
    </xf>
    <xf numFmtId="0" fontId="62" fillId="29" borderId="0" xfId="0" applyFont="1" applyFill="1" applyBorder="1" applyAlignment="1" applyProtection="1">
      <alignment horizontal="left" vertical="center"/>
      <protection locked="0"/>
    </xf>
    <xf numFmtId="180" fontId="44" fillId="16" borderId="6" xfId="0" applyNumberFormat="1" applyFont="1" applyFill="1" applyBorder="1" applyAlignment="1" applyProtection="1">
      <alignment horizontal="left" vertical="center"/>
      <protection locked="0" hidden="1"/>
    </xf>
    <xf numFmtId="0" fontId="44" fillId="16" borderId="12" xfId="0" applyNumberFormat="1" applyFont="1" applyFill="1" applyBorder="1" applyAlignment="1">
      <alignment horizontal="left" vertical="center"/>
    </xf>
    <xf numFmtId="0" fontId="62" fillId="0" borderId="0" xfId="0" applyFont="1" applyFill="1" applyBorder="1" applyAlignment="1" applyProtection="1">
      <alignment horizontal="left" vertical="center"/>
      <protection locked="0"/>
    </xf>
    <xf numFmtId="180" fontId="44" fillId="0" borderId="6" xfId="0" applyNumberFormat="1" applyFont="1" applyFill="1" applyBorder="1" applyAlignment="1" applyProtection="1">
      <alignment horizontal="left" vertical="center"/>
      <protection locked="0" hidden="1"/>
    </xf>
    <xf numFmtId="0" fontId="44" fillId="0" borderId="12" xfId="0" applyNumberFormat="1" applyFont="1" applyFill="1" applyBorder="1" applyAlignment="1">
      <alignment horizontal="left" vertical="center"/>
    </xf>
    <xf numFmtId="177" fontId="44" fillId="0" borderId="12" xfId="0" applyNumberFormat="1" applyFont="1" applyFill="1" applyBorder="1" applyAlignment="1">
      <alignment horizontal="left" vertical="center"/>
    </xf>
    <xf numFmtId="0" fontId="7" fillId="0" borderId="4" xfId="0" applyNumberFormat="1" applyFont="1" applyFill="1" applyBorder="1" applyAlignment="1">
      <alignment horizontal="left" vertical="center"/>
    </xf>
    <xf numFmtId="0" fontId="62" fillId="0" borderId="11" xfId="0" applyFont="1" applyFill="1" applyBorder="1" applyAlignment="1" applyProtection="1">
      <alignment horizontal="left" vertical="center"/>
      <protection locked="0" hidden="1"/>
    </xf>
    <xf numFmtId="0" fontId="62" fillId="0" borderId="13" xfId="0" applyFont="1" applyFill="1" applyBorder="1" applyAlignment="1" applyProtection="1">
      <alignment horizontal="left" vertical="center"/>
      <protection locked="0"/>
    </xf>
    <xf numFmtId="0" fontId="44" fillId="0" borderId="6" xfId="0" applyNumberFormat="1" applyFont="1" applyFill="1" applyBorder="1" applyAlignment="1">
      <alignment horizontal="left" vertical="center"/>
    </xf>
    <xf numFmtId="0" fontId="62" fillId="0" borderId="12" xfId="0" applyFont="1" applyFill="1" applyBorder="1" applyAlignment="1" applyProtection="1">
      <alignment horizontal="left" vertical="center"/>
      <protection locked="0" hidden="1"/>
    </xf>
    <xf numFmtId="0" fontId="62" fillId="0" borderId="13" xfId="0" applyFont="1" applyBorder="1" applyAlignment="1">
      <alignment horizontal="left" vertical="center"/>
    </xf>
    <xf numFmtId="0" fontId="62" fillId="0" borderId="0" xfId="0" applyFont="1" applyFill="1" applyAlignment="1" applyProtection="1">
      <alignment horizontal="left" vertical="center"/>
      <protection locked="0" hidden="1"/>
    </xf>
    <xf numFmtId="180" fontId="7" fillId="0" borderId="0" xfId="0" applyNumberFormat="1" applyFont="1" applyFill="1" applyBorder="1" applyAlignment="1" applyProtection="1">
      <alignment horizontal="left" vertical="center"/>
      <protection locked="0" hidden="1"/>
    </xf>
    <xf numFmtId="0" fontId="64" fillId="0" borderId="0" xfId="0" applyFont="1" applyFill="1" applyBorder="1" applyAlignment="1">
      <alignment horizontal="left" vertical="center"/>
    </xf>
    <xf numFmtId="0" fontId="44" fillId="0" borderId="0" xfId="0" applyNumberFormat="1" applyFont="1" applyFill="1" applyBorder="1" applyAlignment="1">
      <alignment horizontal="left" vertical="center"/>
    </xf>
    <xf numFmtId="0" fontId="62" fillId="0" borderId="3" xfId="0" applyFont="1" applyFill="1" applyBorder="1" applyAlignment="1" applyProtection="1">
      <alignment horizontal="left" vertical="center"/>
      <protection locked="0" hidden="1"/>
    </xf>
    <xf numFmtId="0" fontId="63" fillId="55" borderId="4" xfId="0" applyFont="1" applyFill="1" applyBorder="1" applyAlignment="1" applyProtection="1">
      <alignment horizontal="center" vertical="center"/>
      <protection locked="0"/>
    </xf>
    <xf numFmtId="0" fontId="63" fillId="55" borderId="11" xfId="0" applyFont="1" applyFill="1" applyBorder="1" applyAlignment="1" applyProtection="1">
      <alignment horizontal="center" vertical="center"/>
      <protection locked="0"/>
    </xf>
    <xf numFmtId="0" fontId="63" fillId="55" borderId="4" xfId="0" applyFont="1" applyFill="1" applyBorder="1" applyAlignment="1" applyProtection="1">
      <alignment horizontal="left" vertical="center"/>
      <protection locked="0"/>
    </xf>
    <xf numFmtId="0" fontId="62" fillId="56" borderId="6" xfId="0" applyFont="1" applyFill="1" applyBorder="1" applyAlignment="1" applyProtection="1">
      <alignment horizontal="left" vertical="center"/>
      <protection locked="0"/>
    </xf>
    <xf numFmtId="0" fontId="7" fillId="0" borderId="6" xfId="0" applyFont="1" applyBorder="1">
      <alignment vertical="center"/>
    </xf>
    <xf numFmtId="177" fontId="108" fillId="0" borderId="0" xfId="0" applyNumberFormat="1" applyFont="1" applyBorder="1" applyAlignment="1">
      <alignment horizontal="left" vertical="center"/>
    </xf>
    <xf numFmtId="177" fontId="108" fillId="0" borderId="12" xfId="0" applyNumberFormat="1" applyFont="1" applyBorder="1" applyAlignment="1">
      <alignment horizontal="left" vertical="center"/>
    </xf>
    <xf numFmtId="0" fontId="108" fillId="58" borderId="0" xfId="0" applyNumberFormat="1" applyFont="1" applyFill="1" applyBorder="1" applyAlignment="1">
      <alignment horizontal="left" vertical="center"/>
    </xf>
    <xf numFmtId="0" fontId="108" fillId="0" borderId="4" xfId="0" applyNumberFormat="1" applyFont="1" applyBorder="1" applyAlignment="1">
      <alignment horizontal="left" vertical="center"/>
    </xf>
    <xf numFmtId="0" fontId="108" fillId="0" borderId="5" xfId="0" applyNumberFormat="1" applyFont="1" applyBorder="1" applyAlignment="1">
      <alignment horizontal="left" vertical="center"/>
    </xf>
    <xf numFmtId="0" fontId="108" fillId="0" borderId="0" xfId="0" applyNumberFormat="1" applyFont="1" applyAlignment="1">
      <alignment horizontal="left" vertical="center"/>
    </xf>
    <xf numFmtId="0" fontId="108" fillId="0" borderId="5" xfId="0" applyNumberFormat="1" applyFont="1" applyFill="1" applyBorder="1" applyAlignment="1">
      <alignment horizontal="left" vertical="center" wrapText="1"/>
    </xf>
    <xf numFmtId="0" fontId="108" fillId="0" borderId="11" xfId="0" applyNumberFormat="1" applyFont="1" applyFill="1" applyBorder="1" applyAlignment="1">
      <alignment horizontal="left" vertical="center" wrapText="1"/>
    </xf>
    <xf numFmtId="0" fontId="108" fillId="59" borderId="11" xfId="0" applyNumberFormat="1" applyFont="1" applyFill="1" applyBorder="1" applyAlignment="1">
      <alignment horizontal="left" vertical="center"/>
    </xf>
    <xf numFmtId="0" fontId="108" fillId="57" borderId="4" xfId="0" applyNumberFormat="1" applyFont="1" applyFill="1" applyBorder="1" applyAlignment="1">
      <alignment horizontal="left" vertical="center"/>
    </xf>
    <xf numFmtId="0" fontId="108" fillId="57" borderId="5" xfId="0" applyNumberFormat="1" applyFont="1" applyFill="1" applyBorder="1" applyAlignment="1">
      <alignment horizontal="left" vertical="center"/>
    </xf>
    <xf numFmtId="0" fontId="108" fillId="56" borderId="117" xfId="0" applyNumberFormat="1" applyFont="1" applyFill="1" applyBorder="1" applyAlignment="1">
      <alignment horizontal="left" vertical="center"/>
    </xf>
    <xf numFmtId="0" fontId="108" fillId="56" borderId="54" xfId="0" applyNumberFormat="1" applyFont="1" applyFill="1" applyBorder="1" applyAlignment="1">
      <alignment horizontal="left" vertical="center"/>
    </xf>
    <xf numFmtId="0" fontId="108" fillId="0" borderId="0" xfId="0" applyNumberFormat="1" applyFont="1" applyFill="1" applyAlignment="1">
      <alignment horizontal="left" vertical="center" wrapText="1"/>
    </xf>
    <xf numFmtId="0" fontId="108" fillId="0" borderId="12" xfId="0" applyNumberFormat="1" applyFont="1" applyFill="1" applyBorder="1" applyAlignment="1">
      <alignment horizontal="left" vertical="center" wrapText="1"/>
    </xf>
    <xf numFmtId="0" fontId="108" fillId="29" borderId="118" xfId="0" applyNumberFormat="1" applyFont="1" applyFill="1" applyBorder="1" applyAlignment="1">
      <alignment horizontal="left" vertical="center"/>
    </xf>
    <xf numFmtId="0" fontId="108" fillId="29" borderId="97" xfId="0" applyNumberFormat="1" applyFont="1" applyFill="1" applyBorder="1" applyAlignment="1">
      <alignment horizontal="left" vertical="center"/>
    </xf>
    <xf numFmtId="0" fontId="7" fillId="59" borderId="6" xfId="0" applyNumberFormat="1" applyFont="1" applyFill="1" applyBorder="1" applyAlignment="1">
      <alignment horizontal="left" vertical="center"/>
    </xf>
    <xf numFmtId="181" fontId="108" fillId="0" borderId="0" xfId="0" applyNumberFormat="1" applyFont="1" applyBorder="1" applyAlignment="1">
      <alignment horizontal="left" vertical="center"/>
    </xf>
    <xf numFmtId="0" fontId="108" fillId="56" borderId="6" xfId="0" applyNumberFormat="1" applyFont="1" applyFill="1" applyBorder="1" applyAlignment="1">
      <alignment horizontal="left" vertical="center"/>
    </xf>
    <xf numFmtId="0" fontId="108" fillId="56" borderId="0" xfId="0" applyNumberFormat="1" applyFont="1" applyFill="1" applyAlignment="1">
      <alignment horizontal="left" vertical="center"/>
    </xf>
    <xf numFmtId="0" fontId="108" fillId="0" borderId="30" xfId="0" applyNumberFormat="1" applyFont="1" applyBorder="1" applyAlignment="1">
      <alignment horizontal="left" vertical="center"/>
    </xf>
    <xf numFmtId="0" fontId="108" fillId="29" borderId="6" xfId="0" applyNumberFormat="1" applyFont="1" applyFill="1" applyBorder="1" applyAlignment="1">
      <alignment horizontal="left" vertical="center"/>
    </xf>
    <xf numFmtId="0" fontId="108" fillId="29" borderId="0" xfId="0" applyNumberFormat="1" applyFont="1" applyFill="1" applyAlignment="1">
      <alignment horizontal="left" vertical="center"/>
    </xf>
    <xf numFmtId="0" fontId="7" fillId="59" borderId="27" xfId="0" applyNumberFormat="1" applyFont="1" applyFill="1" applyBorder="1" applyAlignment="1">
      <alignment horizontal="left" vertical="center"/>
    </xf>
    <xf numFmtId="0" fontId="108" fillId="0" borderId="28" xfId="0" applyNumberFormat="1" applyFont="1" applyBorder="1" applyAlignment="1">
      <alignment horizontal="left" vertical="center"/>
    </xf>
    <xf numFmtId="0" fontId="108" fillId="56" borderId="119" xfId="0" applyNumberFormat="1" applyFont="1" applyFill="1" applyBorder="1" applyAlignment="1">
      <alignment horizontal="left" vertical="center"/>
    </xf>
    <xf numFmtId="0" fontId="108" fillId="56" borderId="120" xfId="0" applyNumberFormat="1" applyFont="1" applyFill="1" applyBorder="1" applyAlignment="1">
      <alignment horizontal="left" vertical="center"/>
    </xf>
    <xf numFmtId="0" fontId="108" fillId="58" borderId="81" xfId="0" applyNumberFormat="1" applyFont="1" applyFill="1" applyBorder="1" applyAlignment="1">
      <alignment horizontal="left" vertical="center"/>
    </xf>
    <xf numFmtId="0" fontId="108" fillId="0" borderId="83" xfId="0" applyNumberFormat="1" applyFont="1" applyFill="1" applyBorder="1" applyAlignment="1">
      <alignment horizontal="left" vertical="center"/>
    </xf>
    <xf numFmtId="0" fontId="108" fillId="29" borderId="119" xfId="0" applyNumberFormat="1" applyFont="1" applyFill="1" applyBorder="1" applyAlignment="1" applyProtection="1">
      <alignment horizontal="left" vertical="center" wrapText="1"/>
      <protection locked="0"/>
    </xf>
    <xf numFmtId="0" fontId="108" fillId="29" borderId="120" xfId="0" applyNumberFormat="1" applyFont="1" applyFill="1" applyBorder="1" applyAlignment="1" applyProtection="1">
      <alignment horizontal="left" vertical="center"/>
      <protection locked="0"/>
    </xf>
    <xf numFmtId="0" fontId="108" fillId="52" borderId="4" xfId="0" applyNumberFormat="1" applyFont="1" applyFill="1" applyBorder="1" applyAlignment="1">
      <alignment horizontal="left" vertical="center"/>
    </xf>
    <xf numFmtId="0" fontId="108" fillId="56" borderId="51" xfId="0" applyNumberFormat="1" applyFont="1" applyFill="1" applyBorder="1" applyAlignment="1">
      <alignment horizontal="left" vertical="center"/>
    </xf>
    <xf numFmtId="0" fontId="108" fillId="56" borderId="121" xfId="0" applyNumberFormat="1" applyFont="1" applyFill="1" applyBorder="1" applyAlignment="1">
      <alignment horizontal="left" vertical="center"/>
    </xf>
    <xf numFmtId="0" fontId="108" fillId="59" borderId="4" xfId="0" applyNumberFormat="1" applyFont="1" applyFill="1" applyBorder="1" applyAlignment="1">
      <alignment horizontal="left" vertical="center"/>
    </xf>
    <xf numFmtId="0" fontId="108" fillId="59" borderId="5" xfId="0" applyNumberFormat="1" applyFont="1" applyFill="1" applyBorder="1" applyAlignment="1">
      <alignment horizontal="left" vertical="center"/>
    </xf>
    <xf numFmtId="0" fontId="108" fillId="29" borderId="6" xfId="0" applyNumberFormat="1" applyFont="1" applyFill="1" applyBorder="1" applyAlignment="1" applyProtection="1">
      <alignment horizontal="left" vertical="center"/>
      <protection locked="0"/>
    </xf>
    <xf numFmtId="0" fontId="108" fillId="29" borderId="122" xfId="0" applyNumberFormat="1" applyFont="1" applyFill="1" applyBorder="1" applyAlignment="1" applyProtection="1">
      <alignment horizontal="left" vertical="center"/>
      <protection locked="0"/>
    </xf>
    <xf numFmtId="0" fontId="7" fillId="52" borderId="6" xfId="0" applyNumberFormat="1" applyFont="1" applyFill="1" applyBorder="1" applyAlignment="1">
      <alignment horizontal="left" vertical="center"/>
    </xf>
    <xf numFmtId="0" fontId="7" fillId="52" borderId="0" xfId="0" applyNumberFormat="1" applyFont="1" applyFill="1" applyBorder="1" applyAlignment="1">
      <alignment horizontal="left" vertical="center"/>
    </xf>
    <xf numFmtId="177" fontId="108" fillId="0" borderId="27" xfId="0" applyNumberFormat="1" applyFont="1" applyBorder="1" applyAlignment="1">
      <alignment horizontal="left" vertical="center"/>
    </xf>
    <xf numFmtId="177" fontId="108" fillId="0" borderId="28" xfId="0" applyNumberFormat="1" applyFont="1" applyBorder="1" applyAlignment="1">
      <alignment horizontal="left" vertical="center"/>
    </xf>
    <xf numFmtId="0" fontId="108" fillId="29" borderId="123" xfId="0" applyNumberFormat="1" applyFont="1" applyFill="1" applyBorder="1" applyAlignment="1" applyProtection="1">
      <alignment horizontal="left" vertical="center"/>
      <protection locked="0"/>
    </xf>
    <xf numFmtId="0" fontId="108" fillId="29" borderId="124" xfId="0" applyNumberFormat="1" applyFont="1" applyFill="1" applyBorder="1" applyAlignment="1" applyProtection="1">
      <alignment horizontal="left" vertical="center"/>
      <protection locked="0"/>
    </xf>
    <xf numFmtId="0" fontId="108" fillId="0" borderId="28" xfId="0" applyNumberFormat="1" applyFont="1" applyFill="1" applyBorder="1" applyAlignment="1">
      <alignment horizontal="left" vertical="center" wrapText="1"/>
    </xf>
    <xf numFmtId="0" fontId="108" fillId="0" borderId="30" xfId="0" applyNumberFormat="1" applyFont="1" applyFill="1" applyBorder="1" applyAlignment="1">
      <alignment horizontal="left" vertical="center" wrapText="1"/>
    </xf>
    <xf numFmtId="177" fontId="108" fillId="0" borderId="0" xfId="0" applyNumberFormat="1" applyFont="1" applyAlignment="1">
      <alignment horizontal="left" vertical="center"/>
    </xf>
    <xf numFmtId="0" fontId="108" fillId="16" borderId="6" xfId="0" applyNumberFormat="1" applyFont="1" applyFill="1" applyBorder="1" applyAlignment="1">
      <alignment horizontal="left" vertical="center"/>
    </xf>
    <xf numFmtId="0" fontId="7" fillId="52" borderId="12" xfId="0" applyNumberFormat="1" applyFont="1" applyFill="1" applyBorder="1" applyAlignment="1">
      <alignment horizontal="left" vertical="center"/>
    </xf>
    <xf numFmtId="0" fontId="108" fillId="0" borderId="0" xfId="0" applyNumberFormat="1" applyFont="1" applyFill="1" applyBorder="1" applyAlignment="1">
      <alignment horizontal="left" vertical="center"/>
    </xf>
    <xf numFmtId="0" fontId="108" fillId="0" borderId="27" xfId="0" applyNumberFormat="1" applyFont="1" applyBorder="1" applyAlignment="1">
      <alignment horizontal="left" vertical="center"/>
    </xf>
    <xf numFmtId="0" fontId="108" fillId="0" borderId="0" xfId="0" applyNumberFormat="1" applyFont="1" applyBorder="1" applyAlignment="1">
      <alignment horizontal="left" vertical="center"/>
    </xf>
    <xf numFmtId="0" fontId="108" fillId="16" borderId="27" xfId="0" applyNumberFormat="1" applyFont="1" applyFill="1" applyBorder="1" applyAlignment="1">
      <alignment horizontal="left" vertical="center"/>
    </xf>
    <xf numFmtId="182" fontId="108" fillId="0" borderId="0" xfId="0" applyNumberFormat="1" applyFont="1" applyAlignment="1">
      <alignment horizontal="left" vertical="center"/>
    </xf>
    <xf numFmtId="182" fontId="116" fillId="0" borderId="0" xfId="0" applyNumberFormat="1" applyFont="1" applyAlignment="1">
      <alignment horizontal="left" vertical="center"/>
    </xf>
    <xf numFmtId="0" fontId="42" fillId="55" borderId="4" xfId="0" applyFont="1" applyFill="1" applyBorder="1" applyAlignment="1">
      <alignment horizontal="left" vertical="center"/>
    </xf>
    <xf numFmtId="0" fontId="42" fillId="55" borderId="5" xfId="0" applyFont="1" applyFill="1" applyBorder="1" applyAlignment="1">
      <alignment horizontal="left" vertical="center"/>
    </xf>
    <xf numFmtId="0" fontId="108" fillId="59" borderId="4" xfId="0" applyFont="1" applyFill="1" applyBorder="1" applyAlignment="1">
      <alignment horizontal="left" vertical="center"/>
    </xf>
    <xf numFmtId="0" fontId="7" fillId="59" borderId="5" xfId="0" applyFont="1" applyFill="1" applyBorder="1" applyAlignment="1">
      <alignment horizontal="left" vertical="center"/>
    </xf>
    <xf numFmtId="0" fontId="108" fillId="59" borderId="5" xfId="0" applyFont="1" applyFill="1" applyBorder="1" applyAlignment="1">
      <alignment horizontal="left" vertical="center"/>
    </xf>
    <xf numFmtId="0" fontId="108" fillId="57" borderId="4" xfId="0" applyFont="1" applyFill="1" applyBorder="1" applyAlignment="1">
      <alignment horizontal="left" vertical="center"/>
    </xf>
    <xf numFmtId="0" fontId="7" fillId="52" borderId="6" xfId="0" applyFont="1" applyFill="1" applyBorder="1" applyAlignment="1">
      <alignment horizontal="left" vertical="center" wrapText="1"/>
    </xf>
    <xf numFmtId="0" fontId="108" fillId="29" borderId="0" xfId="0" applyNumberFormat="1" applyFont="1" applyFill="1" applyBorder="1" applyAlignment="1" applyProtection="1">
      <alignment horizontal="left" vertical="center"/>
      <protection locked="0"/>
    </xf>
    <xf numFmtId="0" fontId="7" fillId="29" borderId="0" xfId="0" applyNumberFormat="1" applyFont="1" applyFill="1" applyBorder="1" applyAlignment="1">
      <alignment horizontal="left" vertical="center"/>
    </xf>
    <xf numFmtId="0" fontId="7" fillId="52" borderId="6" xfId="0" applyFont="1" applyFill="1" applyBorder="1" applyAlignment="1">
      <alignment horizontal="left" vertical="center"/>
    </xf>
    <xf numFmtId="0" fontId="7" fillId="29" borderId="0" xfId="0" applyFont="1" applyFill="1" applyBorder="1" applyAlignment="1">
      <alignment horizontal="left" vertical="center"/>
    </xf>
    <xf numFmtId="0" fontId="7" fillId="58" borderId="6" xfId="0" applyFont="1" applyFill="1" applyBorder="1" applyAlignment="1">
      <alignment horizontal="left" vertical="center" wrapText="1"/>
    </xf>
    <xf numFmtId="2" fontId="7" fillId="0" borderId="0" xfId="0" applyNumberFormat="1" applyFont="1" applyFill="1" applyBorder="1" applyAlignment="1">
      <alignment horizontal="left" vertical="center"/>
    </xf>
    <xf numFmtId="0" fontId="108" fillId="57" borderId="11" xfId="0" applyNumberFormat="1" applyFont="1" applyFill="1" applyBorder="1" applyAlignment="1">
      <alignment horizontal="left" vertical="center"/>
    </xf>
    <xf numFmtId="0" fontId="108" fillId="58" borderId="12" xfId="0" applyNumberFormat="1" applyFont="1" applyFill="1" applyBorder="1" applyAlignment="1">
      <alignment horizontal="left" vertical="center"/>
    </xf>
    <xf numFmtId="181" fontId="108" fillId="0" borderId="12" xfId="0" applyNumberFormat="1" applyFont="1" applyBorder="1" applyAlignment="1">
      <alignment horizontal="left" vertical="center"/>
    </xf>
    <xf numFmtId="0" fontId="42" fillId="55" borderId="11" xfId="0" applyFont="1" applyFill="1" applyBorder="1" applyAlignment="1">
      <alignment horizontal="left" vertical="center"/>
    </xf>
    <xf numFmtId="0" fontId="7" fillId="59" borderId="11" xfId="0" applyFont="1" applyFill="1" applyBorder="1" applyAlignment="1">
      <alignment horizontal="left" vertical="center"/>
    </xf>
    <xf numFmtId="0" fontId="7" fillId="29" borderId="12" xfId="0" applyNumberFormat="1" applyFont="1" applyFill="1" applyBorder="1" applyAlignment="1">
      <alignment horizontal="left" vertical="center"/>
    </xf>
    <xf numFmtId="0" fontId="73" fillId="0" borderId="0" xfId="0" applyFont="1" applyFill="1" applyBorder="1" applyAlignment="1">
      <alignment horizontal="left" vertical="center"/>
    </xf>
    <xf numFmtId="0" fontId="48" fillId="0" borderId="0" xfId="0" applyFont="1">
      <alignment vertical="center"/>
    </xf>
    <xf numFmtId="0" fontId="108" fillId="0" borderId="0" xfId="0" applyFont="1">
      <alignment vertical="center"/>
    </xf>
    <xf numFmtId="0" fontId="99" fillId="0" borderId="6" xfId="0" applyFont="1" applyBorder="1">
      <alignment vertical="center"/>
    </xf>
    <xf numFmtId="0" fontId="10" fillId="0" borderId="0" xfId="0" applyFont="1" applyAlignment="1">
      <alignment horizontal="justify" vertical="center"/>
    </xf>
    <xf numFmtId="0" fontId="108" fillId="0" borderId="6" xfId="0" applyFont="1" applyBorder="1">
      <alignment vertical="center"/>
    </xf>
    <xf numFmtId="0" fontId="117" fillId="0" borderId="0" xfId="0" applyFont="1">
      <alignment vertical="center"/>
    </xf>
    <xf numFmtId="0" fontId="63" fillId="55" borderId="5" xfId="0" applyFont="1" applyFill="1" applyBorder="1" applyAlignment="1" applyProtection="1">
      <alignment horizontal="center" vertical="center"/>
      <protection locked="0"/>
    </xf>
    <xf numFmtId="0" fontId="7" fillId="0" borderId="0" xfId="0" applyNumberFormat="1" applyFont="1" applyFill="1" applyBorder="1" applyAlignment="1">
      <alignment horizontal="left" vertical="center"/>
    </xf>
    <xf numFmtId="2" fontId="108" fillId="0" borderId="0" xfId="0" applyNumberFormat="1" applyFont="1" applyBorder="1" applyAlignment="1">
      <alignment horizontal="left" vertical="center"/>
    </xf>
    <xf numFmtId="0" fontId="7" fillId="52" borderId="27" xfId="0" applyFont="1" applyFill="1" applyBorder="1" applyAlignment="1">
      <alignment horizontal="left" vertical="center"/>
    </xf>
    <xf numFmtId="0" fontId="108" fillId="29" borderId="28" xfId="0" applyNumberFormat="1" applyFont="1" applyFill="1" applyBorder="1" applyAlignment="1" applyProtection="1">
      <alignment horizontal="left" vertical="center"/>
      <protection locked="0"/>
    </xf>
    <xf numFmtId="0" fontId="7" fillId="29" borderId="28" xfId="0" applyNumberFormat="1" applyFont="1" applyFill="1" applyBorder="1" applyAlignment="1">
      <alignment horizontal="left" vertical="center"/>
    </xf>
    <xf numFmtId="183" fontId="7" fillId="0" borderId="0" xfId="0" applyNumberFormat="1" applyFont="1" applyFill="1" applyBorder="1" applyAlignment="1">
      <alignment horizontal="left" vertical="center"/>
    </xf>
    <xf numFmtId="0" fontId="7" fillId="0" borderId="0" xfId="0" applyFont="1" applyFill="1" applyBorder="1" applyAlignment="1">
      <alignment horizontal="left" vertical="center" wrapText="1"/>
    </xf>
    <xf numFmtId="183" fontId="108" fillId="0" borderId="0" xfId="0" applyNumberFormat="1" applyFont="1" applyAlignment="1">
      <alignment horizontal="left" vertical="center"/>
    </xf>
    <xf numFmtId="0" fontId="7" fillId="0" borderId="0" xfId="0" applyFont="1">
      <alignment vertical="center"/>
    </xf>
    <xf numFmtId="0" fontId="7" fillId="29" borderId="30" xfId="0" applyNumberFormat="1" applyFont="1" applyFill="1" applyBorder="1" applyAlignment="1">
      <alignment horizontal="left" vertical="center"/>
    </xf>
    <xf numFmtId="0" fontId="50" fillId="48" borderId="4" xfId="0" applyFont="1" applyFill="1" applyBorder="1" applyAlignment="1">
      <alignment horizontal="center" vertical="center"/>
    </xf>
    <xf numFmtId="0" fontId="50" fillId="48" borderId="5" xfId="0" applyFont="1" applyFill="1" applyBorder="1" applyAlignment="1">
      <alignment horizontal="center" vertical="center"/>
    </xf>
    <xf numFmtId="0" fontId="50" fillId="2" borderId="6" xfId="0" applyFont="1" applyFill="1" applyBorder="1" applyAlignment="1">
      <alignment horizontal="center" vertical="center"/>
    </xf>
    <xf numFmtId="178" fontId="50" fillId="16" borderId="0" xfId="0" applyNumberFormat="1" applyFont="1" applyFill="1" applyBorder="1" applyAlignment="1">
      <alignment horizontal="center" vertical="center"/>
    </xf>
    <xf numFmtId="178" fontId="50" fillId="3" borderId="0" xfId="0" applyNumberFormat="1" applyFont="1" applyFill="1" applyBorder="1" applyAlignment="1">
      <alignment horizontal="center" vertical="center"/>
    </xf>
    <xf numFmtId="0" fontId="50" fillId="2" borderId="0" xfId="0" applyFont="1" applyFill="1" applyBorder="1" applyAlignment="1">
      <alignment horizontal="center" vertical="center"/>
    </xf>
    <xf numFmtId="178" fontId="7" fillId="3" borderId="0" xfId="0" applyNumberFormat="1" applyFont="1" applyFill="1" applyBorder="1" applyAlignment="1">
      <alignment horizontal="center" vertical="center"/>
    </xf>
    <xf numFmtId="0" fontId="50" fillId="3" borderId="6" xfId="0" applyFont="1" applyFill="1" applyBorder="1" applyAlignment="1">
      <alignment horizontal="center" vertical="center"/>
    </xf>
    <xf numFmtId="178" fontId="50" fillId="52" borderId="0" xfId="0" applyNumberFormat="1" applyFont="1" applyFill="1" applyBorder="1" applyAlignment="1">
      <alignment horizontal="center" vertical="center"/>
    </xf>
    <xf numFmtId="0" fontId="50" fillId="3" borderId="27" xfId="0" applyFont="1" applyFill="1" applyBorder="1" applyAlignment="1">
      <alignment horizontal="center" vertical="center"/>
    </xf>
    <xf numFmtId="178" fontId="50" fillId="52" borderId="28" xfId="0" applyNumberFormat="1" applyFont="1" applyFill="1" applyBorder="1" applyAlignment="1">
      <alignment horizontal="center" vertical="center"/>
    </xf>
    <xf numFmtId="178" fontId="7" fillId="3" borderId="28" xfId="0" applyNumberFormat="1" applyFont="1" applyFill="1" applyBorder="1" applyAlignment="1">
      <alignment horizontal="center" vertical="center"/>
    </xf>
    <xf numFmtId="0" fontId="50" fillId="2" borderId="28" xfId="0" applyFont="1" applyFill="1" applyBorder="1" applyAlignment="1">
      <alignment horizontal="center" vertical="center"/>
    </xf>
    <xf numFmtId="178" fontId="50" fillId="3" borderId="28" xfId="0" applyNumberFormat="1" applyFont="1" applyFill="1" applyBorder="1" applyAlignment="1">
      <alignment horizontal="center" vertical="center"/>
    </xf>
    <xf numFmtId="0" fontId="50" fillId="0" borderId="4" xfId="0" applyFont="1" applyFill="1" applyBorder="1" applyAlignment="1">
      <alignment horizontal="center" vertical="center"/>
    </xf>
    <xf numFmtId="0" fontId="50" fillId="0" borderId="5" xfId="0" applyFont="1" applyFill="1" applyBorder="1" applyAlignment="1">
      <alignment horizontal="right" vertical="center"/>
    </xf>
    <xf numFmtId="184" fontId="50" fillId="0" borderId="5" xfId="0" applyNumberFormat="1" applyFont="1" applyFill="1" applyBorder="1" applyAlignment="1">
      <alignment horizontal="left" vertical="center"/>
    </xf>
    <xf numFmtId="0" fontId="50" fillId="3" borderId="5" xfId="0" applyFont="1" applyFill="1" applyBorder="1" applyAlignment="1">
      <alignment horizontal="center" vertical="center"/>
    </xf>
    <xf numFmtId="0" fontId="50" fillId="3" borderId="5" xfId="0" applyFont="1" applyFill="1" applyBorder="1" applyAlignment="1">
      <alignment horizontal="right" vertical="center"/>
    </xf>
    <xf numFmtId="184" fontId="50" fillId="3" borderId="5" xfId="0" applyNumberFormat="1" applyFont="1" applyFill="1" applyBorder="1" applyAlignment="1">
      <alignment horizontal="left" vertical="center"/>
    </xf>
    <xf numFmtId="0" fontId="50" fillId="0" borderId="5" xfId="0" applyFont="1" applyFill="1" applyBorder="1" applyAlignment="1">
      <alignment horizontal="center" vertical="center"/>
    </xf>
    <xf numFmtId="0" fontId="50" fillId="0" borderId="0" xfId="0" applyFont="1" applyFill="1" applyBorder="1" applyAlignment="1">
      <alignment horizontal="right" vertical="center"/>
    </xf>
    <xf numFmtId="184" fontId="50" fillId="0" borderId="0" xfId="0" applyNumberFormat="1" applyFont="1" applyFill="1" applyAlignment="1">
      <alignment horizontal="left" vertical="center"/>
    </xf>
    <xf numFmtId="0" fontId="50" fillId="3" borderId="0" xfId="0" applyFont="1" applyFill="1" applyBorder="1" applyAlignment="1">
      <alignment horizontal="center" vertical="center"/>
    </xf>
    <xf numFmtId="0" fontId="50" fillId="3" borderId="0" xfId="0" applyFont="1" applyFill="1" applyBorder="1" applyAlignment="1">
      <alignment horizontal="right" vertical="center"/>
    </xf>
    <xf numFmtId="184" fontId="50" fillId="3" borderId="0" xfId="0" applyNumberFormat="1" applyFont="1" applyFill="1" applyBorder="1" applyAlignment="1">
      <alignment horizontal="left" vertical="center"/>
    </xf>
    <xf numFmtId="0" fontId="50" fillId="0" borderId="0" xfId="0" applyFont="1" applyFill="1" applyBorder="1" applyAlignment="1">
      <alignment horizontal="center" vertical="center"/>
    </xf>
    <xf numFmtId="0" fontId="50" fillId="3" borderId="0" xfId="0" applyFont="1" applyFill="1" applyAlignment="1">
      <alignment horizontal="center" vertical="center"/>
    </xf>
    <xf numFmtId="0" fontId="50" fillId="3" borderId="28" xfId="0" applyFont="1" applyFill="1" applyBorder="1" applyAlignment="1">
      <alignment horizontal="center" vertical="center"/>
    </xf>
    <xf numFmtId="178" fontId="109" fillId="0" borderId="6" xfId="0" applyNumberFormat="1" applyFont="1" applyFill="1" applyBorder="1" applyAlignment="1">
      <alignment horizontal="center" vertical="center"/>
    </xf>
    <xf numFmtId="178" fontId="109" fillId="0" borderId="0" xfId="0" applyNumberFormat="1" applyFont="1" applyFill="1" applyAlignment="1">
      <alignment horizontal="center" vertical="center"/>
    </xf>
    <xf numFmtId="178" fontId="114" fillId="16" borderId="6" xfId="0" applyNumberFormat="1" applyFont="1" applyFill="1" applyBorder="1" applyAlignment="1">
      <alignment horizontal="center" vertical="center"/>
    </xf>
    <xf numFmtId="178" fontId="114" fillId="16" borderId="0" xfId="0" applyNumberFormat="1" applyFont="1" applyFill="1" applyAlignment="1">
      <alignment horizontal="center" vertical="center"/>
    </xf>
    <xf numFmtId="178" fontId="114" fillId="3" borderId="0" xfId="0" applyNumberFormat="1" applyFont="1" applyFill="1" applyAlignment="1">
      <alignment horizontal="center" vertical="center"/>
    </xf>
    <xf numFmtId="178" fontId="114" fillId="0" borderId="6" xfId="0" applyNumberFormat="1" applyFont="1" applyFill="1" applyBorder="1" applyAlignment="1">
      <alignment horizontal="center" vertical="center"/>
    </xf>
    <xf numFmtId="178" fontId="114" fillId="0" borderId="0" xfId="0" applyNumberFormat="1" applyFont="1" applyFill="1" applyAlignment="1">
      <alignment horizontal="center" vertical="center"/>
    </xf>
    <xf numFmtId="178" fontId="114" fillId="0" borderId="0" xfId="0" applyNumberFormat="1" applyFont="1" applyFill="1" applyBorder="1" applyAlignment="1">
      <alignment horizontal="center" vertical="center"/>
    </xf>
    <xf numFmtId="0" fontId="109" fillId="2" borderId="6" xfId="0" applyFont="1" applyFill="1" applyBorder="1" applyAlignment="1">
      <alignment horizontal="center" vertical="center"/>
    </xf>
    <xf numFmtId="0" fontId="109" fillId="2" borderId="0" xfId="0" applyFont="1" applyFill="1" applyBorder="1" applyAlignment="1">
      <alignment horizontal="center" vertical="center"/>
    </xf>
    <xf numFmtId="0" fontId="108" fillId="3" borderId="6" xfId="0" applyFont="1" applyFill="1" applyBorder="1" applyAlignment="1">
      <alignment horizontal="center" vertical="center"/>
    </xf>
    <xf numFmtId="0" fontId="108" fillId="3" borderId="0" xfId="0" applyFont="1" applyFill="1" applyAlignment="1">
      <alignment horizontal="center" vertical="center"/>
    </xf>
    <xf numFmtId="177" fontId="108" fillId="3" borderId="0" xfId="0" applyNumberFormat="1" applyFont="1" applyFill="1" applyAlignment="1">
      <alignment horizontal="center" vertical="center"/>
    </xf>
    <xf numFmtId="0" fontId="114" fillId="0" borderId="27" xfId="0" applyFont="1" applyBorder="1" applyAlignment="1">
      <alignment horizontal="left" vertical="center"/>
    </xf>
    <xf numFmtId="0" fontId="114" fillId="0" borderId="28" xfId="0" applyFont="1" applyBorder="1" applyAlignment="1">
      <alignment horizontal="left" vertical="center"/>
    </xf>
    <xf numFmtId="178" fontId="108" fillId="0" borderId="6" xfId="0" applyNumberFormat="1" applyFont="1" applyBorder="1" applyAlignment="1">
      <alignment horizontal="center" vertical="center"/>
    </xf>
    <xf numFmtId="178" fontId="108" fillId="0" borderId="0" xfId="0" applyNumberFormat="1" applyFont="1" applyAlignment="1">
      <alignment horizontal="center" vertical="center"/>
    </xf>
    <xf numFmtId="178" fontId="108" fillId="3" borderId="6" xfId="0" applyNumberFormat="1" applyFont="1" applyFill="1" applyBorder="1" applyAlignment="1">
      <alignment horizontal="center" vertical="center"/>
    </xf>
    <xf numFmtId="178" fontId="108" fillId="3" borderId="0" xfId="0" applyNumberFormat="1" applyFont="1" applyFill="1" applyAlignment="1">
      <alignment horizontal="center" vertical="center"/>
    </xf>
    <xf numFmtId="178" fontId="108" fillId="0" borderId="27" xfId="0" applyNumberFormat="1" applyFont="1" applyBorder="1" applyAlignment="1">
      <alignment horizontal="center" vertical="center"/>
    </xf>
    <xf numFmtId="178" fontId="108" fillId="0" borderId="28" xfId="0" applyNumberFormat="1" applyFont="1" applyBorder="1" applyAlignment="1">
      <alignment horizontal="center" vertical="center"/>
    </xf>
    <xf numFmtId="0" fontId="50" fillId="48" borderId="90" xfId="0" applyFont="1" applyFill="1" applyBorder="1" applyAlignment="1">
      <alignment horizontal="center" vertical="center"/>
    </xf>
    <xf numFmtId="0" fontId="50" fillId="48" borderId="91" xfId="0" applyFont="1" applyFill="1" applyBorder="1" applyAlignment="1">
      <alignment horizontal="center" vertical="center"/>
    </xf>
    <xf numFmtId="0" fontId="108" fillId="16" borderId="6" xfId="0" applyFont="1" applyFill="1" applyBorder="1" applyAlignment="1">
      <alignment horizontal="center" vertical="center"/>
    </xf>
    <xf numFmtId="178" fontId="108" fillId="3" borderId="97" xfId="0" applyNumberFormat="1" applyFont="1" applyFill="1" applyBorder="1" applyAlignment="1">
      <alignment horizontal="center" vertical="center"/>
    </xf>
    <xf numFmtId="178" fontId="108" fillId="3" borderId="54" xfId="0" applyNumberFormat="1" applyFont="1" applyFill="1" applyBorder="1" applyAlignment="1">
      <alignment horizontal="center" vertical="center"/>
    </xf>
    <xf numFmtId="0" fontId="108" fillId="3" borderId="98" xfId="0" applyFont="1" applyFill="1" applyBorder="1" applyAlignment="1">
      <alignment horizontal="center" vertical="center"/>
    </xf>
    <xf numFmtId="0" fontId="114" fillId="0" borderId="97" xfId="0" applyFont="1" applyBorder="1" applyAlignment="1">
      <alignment horizontal="left" vertical="top" wrapText="1"/>
    </xf>
    <xf numFmtId="0" fontId="108" fillId="0" borderId="6" xfId="0" applyFont="1" applyBorder="1" applyAlignment="1">
      <alignment horizontal="center" vertical="center"/>
    </xf>
    <xf numFmtId="178" fontId="108" fillId="3" borderId="99" xfId="0" applyNumberFormat="1" applyFont="1" applyFill="1" applyBorder="1" applyAlignment="1">
      <alignment horizontal="center" vertical="center"/>
    </xf>
    <xf numFmtId="178" fontId="108" fillId="3" borderId="0" xfId="0" applyNumberFormat="1" applyFont="1" applyFill="1" applyBorder="1" applyAlignment="1">
      <alignment horizontal="center" vertical="center"/>
    </xf>
    <xf numFmtId="0" fontId="114" fillId="0" borderId="99" xfId="0" applyFont="1" applyBorder="1" applyAlignment="1">
      <alignment horizontal="left" vertical="top" wrapText="1"/>
    </xf>
    <xf numFmtId="0" fontId="108" fillId="16" borderId="27" xfId="0" applyFont="1" applyFill="1" applyBorder="1" applyAlignment="1">
      <alignment horizontal="center" vertical="center" wrapText="1"/>
    </xf>
    <xf numFmtId="178" fontId="108" fillId="3" borderId="101" xfId="0" applyNumberFormat="1" applyFont="1" applyFill="1" applyBorder="1" applyAlignment="1">
      <alignment horizontal="center" vertical="center"/>
    </xf>
    <xf numFmtId="178" fontId="108" fillId="3" borderId="28" xfId="0" applyNumberFormat="1" applyFont="1" applyFill="1" applyBorder="1" applyAlignment="1">
      <alignment horizontal="center" vertical="center"/>
    </xf>
    <xf numFmtId="178" fontId="108" fillId="3" borderId="100" xfId="0" applyNumberFormat="1" applyFont="1" applyFill="1" applyBorder="1" applyAlignment="1">
      <alignment horizontal="center" vertical="center"/>
    </xf>
    <xf numFmtId="0" fontId="114" fillId="0" borderId="101" xfId="0" applyFont="1" applyBorder="1" applyAlignment="1">
      <alignment horizontal="left" vertical="top" wrapText="1"/>
    </xf>
    <xf numFmtId="0" fontId="118" fillId="0" borderId="0" xfId="0" applyFont="1" applyBorder="1">
      <alignment vertical="center"/>
    </xf>
    <xf numFmtId="0" fontId="42" fillId="32" borderId="3" xfId="0" applyFont="1" applyFill="1" applyBorder="1" applyAlignment="1">
      <alignment horizontal="center" vertical="center"/>
    </xf>
    <xf numFmtId="0" fontId="7" fillId="3" borderId="3" xfId="0" applyFont="1" applyFill="1" applyBorder="1" applyAlignment="1">
      <alignment horizontal="center" vertical="center"/>
    </xf>
    <xf numFmtId="177" fontId="7" fillId="0" borderId="3" xfId="0" applyNumberFormat="1"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42" fillId="32" borderId="125" xfId="0" applyFont="1" applyFill="1" applyBorder="1" applyAlignment="1">
      <alignment horizontal="center" vertical="center"/>
    </xf>
    <xf numFmtId="0" fontId="42" fillId="32" borderId="113" xfId="0" applyFont="1" applyFill="1" applyBorder="1" applyAlignment="1">
      <alignment horizontal="center" vertical="center"/>
    </xf>
    <xf numFmtId="0" fontId="50" fillId="48" borderId="11" xfId="0" applyFont="1" applyFill="1" applyBorder="1" applyAlignment="1">
      <alignment horizontal="center" vertical="center"/>
    </xf>
    <xf numFmtId="0" fontId="50" fillId="32" borderId="4" xfId="0" applyFont="1" applyFill="1" applyBorder="1" applyAlignment="1">
      <alignment horizontal="center" vertical="center"/>
    </xf>
    <xf numFmtId="0" fontId="50" fillId="32" borderId="5" xfId="0" applyFont="1" applyFill="1" applyBorder="1" applyAlignment="1">
      <alignment horizontal="center" vertical="center"/>
    </xf>
    <xf numFmtId="178" fontId="50" fillId="3" borderId="12" xfId="0" applyNumberFormat="1" applyFont="1" applyFill="1" applyBorder="1" applyAlignment="1">
      <alignment horizontal="center" vertical="center"/>
    </xf>
    <xf numFmtId="178" fontId="50" fillId="3" borderId="6" xfId="0" applyNumberFormat="1" applyFont="1" applyFill="1" applyBorder="1" applyAlignment="1">
      <alignment horizontal="center" vertical="center"/>
    </xf>
    <xf numFmtId="178" fontId="50" fillId="3" borderId="0" xfId="0" applyNumberFormat="1" applyFont="1" applyFill="1" applyAlignment="1">
      <alignment horizontal="center" vertical="center"/>
    </xf>
    <xf numFmtId="178" fontId="7" fillId="3" borderId="12" xfId="0" applyNumberFormat="1" applyFont="1" applyFill="1" applyBorder="1" applyAlignment="1">
      <alignment horizontal="center" vertical="center"/>
    </xf>
    <xf numFmtId="178" fontId="7" fillId="3" borderId="30" xfId="0" applyNumberFormat="1" applyFont="1" applyFill="1" applyBorder="1" applyAlignment="1">
      <alignment horizontal="center" vertical="center"/>
    </xf>
    <xf numFmtId="0" fontId="108" fillId="3" borderId="5" xfId="0" applyFont="1" applyFill="1" applyBorder="1" applyAlignment="1">
      <alignment horizontal="center" vertical="center"/>
    </xf>
    <xf numFmtId="0" fontId="50" fillId="3" borderId="11" xfId="0" applyFont="1" applyFill="1" applyBorder="1" applyAlignment="1">
      <alignment horizontal="center" vertical="center"/>
    </xf>
    <xf numFmtId="178" fontId="50" fillId="3" borderId="6" xfId="0" applyNumberFormat="1" applyFont="1" applyFill="1" applyBorder="1">
      <alignment vertical="center"/>
    </xf>
    <xf numFmtId="184" fontId="50" fillId="0" borderId="0" xfId="0" applyNumberFormat="1" applyFont="1" applyFill="1" applyBorder="1" applyAlignment="1">
      <alignment horizontal="left" vertical="center"/>
    </xf>
    <xf numFmtId="0" fontId="108" fillId="3" borderId="0" xfId="0" applyFont="1" applyFill="1" applyBorder="1" applyAlignment="1">
      <alignment horizontal="center" vertical="center"/>
    </xf>
    <xf numFmtId="0" fontId="50" fillId="3" borderId="12" xfId="0" applyFont="1" applyFill="1" applyBorder="1" applyAlignment="1">
      <alignment horizontal="center" vertical="center"/>
    </xf>
    <xf numFmtId="0" fontId="50" fillId="3" borderId="30" xfId="0" applyFont="1" applyFill="1" applyBorder="1" applyAlignment="1">
      <alignment horizontal="center" vertical="center"/>
    </xf>
    <xf numFmtId="178" fontId="109" fillId="0" borderId="12" xfId="0" applyNumberFormat="1" applyFont="1" applyFill="1" applyBorder="1" applyAlignment="1">
      <alignment horizontal="center" vertical="center"/>
    </xf>
    <xf numFmtId="178" fontId="114" fillId="3" borderId="12" xfId="0" applyNumberFormat="1" applyFont="1" applyFill="1" applyBorder="1" applyAlignment="1">
      <alignment horizontal="center" vertical="center"/>
    </xf>
    <xf numFmtId="178" fontId="114" fillId="0" borderId="12" xfId="0" applyNumberFormat="1" applyFont="1" applyFill="1" applyBorder="1" applyAlignment="1">
      <alignment horizontal="center" vertical="center"/>
    </xf>
    <xf numFmtId="0" fontId="109" fillId="2" borderId="12" xfId="0" applyFont="1" applyFill="1" applyBorder="1" applyAlignment="1">
      <alignment horizontal="center" vertical="center"/>
    </xf>
    <xf numFmtId="0" fontId="108" fillId="3" borderId="12" xfId="0" applyFont="1" applyFill="1" applyBorder="1" applyAlignment="1">
      <alignment horizontal="center" vertical="center"/>
    </xf>
    <xf numFmtId="0" fontId="114" fillId="0" borderId="30" xfId="0" applyFont="1" applyBorder="1" applyAlignment="1">
      <alignment horizontal="left" vertical="center"/>
    </xf>
    <xf numFmtId="178" fontId="108" fillId="0" borderId="12" xfId="0" applyNumberFormat="1" applyFont="1" applyBorder="1" applyAlignment="1">
      <alignment horizontal="center" vertical="center"/>
    </xf>
    <xf numFmtId="178" fontId="108" fillId="3" borderId="12" xfId="0" applyNumberFormat="1" applyFont="1" applyFill="1" applyBorder="1" applyAlignment="1">
      <alignment horizontal="center" vertical="center"/>
    </xf>
    <xf numFmtId="178" fontId="108" fillId="0" borderId="30" xfId="0" applyNumberFormat="1" applyFont="1" applyBorder="1" applyAlignment="1">
      <alignment horizontal="center" vertical="center"/>
    </xf>
    <xf numFmtId="0" fontId="50" fillId="48" borderId="95" xfId="0" applyFont="1" applyFill="1" applyBorder="1" applyAlignment="1">
      <alignment horizontal="center" vertical="center"/>
    </xf>
    <xf numFmtId="0" fontId="114" fillId="0" borderId="54" xfId="0" applyFont="1" applyBorder="1" applyAlignment="1">
      <alignment horizontal="left" vertical="top" wrapText="1"/>
    </xf>
    <xf numFmtId="0" fontId="114" fillId="0" borderId="59" xfId="0" applyFont="1" applyBorder="1" applyAlignment="1">
      <alignment horizontal="left" vertical="top" wrapText="1"/>
    </xf>
    <xf numFmtId="0" fontId="114" fillId="0" borderId="0" xfId="0" applyFont="1" applyAlignment="1">
      <alignment horizontal="left" vertical="top" wrapText="1"/>
    </xf>
    <xf numFmtId="0" fontId="114" fillId="0" borderId="12" xfId="0" applyFont="1" applyBorder="1" applyAlignment="1">
      <alignment horizontal="left" vertical="top" wrapText="1"/>
    </xf>
    <xf numFmtId="0" fontId="114" fillId="0" borderId="28" xfId="0" applyFont="1" applyBorder="1" applyAlignment="1">
      <alignment horizontal="left" vertical="top" wrapText="1"/>
    </xf>
    <xf numFmtId="0" fontId="114" fillId="0" borderId="30" xfId="0" applyFont="1" applyBorder="1" applyAlignment="1">
      <alignment horizontal="left" vertical="top" wrapText="1"/>
    </xf>
    <xf numFmtId="178" fontId="50" fillId="3" borderId="27" xfId="0" applyNumberFormat="1" applyFont="1" applyFill="1" applyBorder="1">
      <alignment vertical="center"/>
    </xf>
    <xf numFmtId="0" fontId="73" fillId="0" borderId="0" xfId="0" applyFont="1" applyFill="1" applyBorder="1">
      <alignment vertical="center"/>
    </xf>
    <xf numFmtId="178" fontId="62" fillId="3" borderId="0" xfId="0" applyNumberFormat="1" applyFont="1" applyFill="1" applyAlignment="1">
      <alignment horizontal="center" vertical="center"/>
    </xf>
    <xf numFmtId="178" fontId="62" fillId="3" borderId="0" xfId="0" applyNumberFormat="1" applyFont="1" applyFill="1" applyAlignment="1">
      <alignment horizontal="right" vertical="center"/>
    </xf>
    <xf numFmtId="185" fontId="62" fillId="3" borderId="0" xfId="0" applyNumberFormat="1" applyFont="1" applyFill="1" applyAlignment="1">
      <alignment horizontal="left" vertical="center"/>
    </xf>
    <xf numFmtId="0" fontId="62" fillId="3" borderId="0" xfId="0" applyNumberFormat="1" applyFont="1" applyFill="1" applyAlignment="1">
      <alignment horizontal="center" vertical="center"/>
    </xf>
    <xf numFmtId="186" fontId="62" fillId="3" borderId="0" xfId="0" applyNumberFormat="1" applyFont="1" applyFill="1" applyAlignment="1">
      <alignment horizontal="right" vertical="center"/>
    </xf>
    <xf numFmtId="186" fontId="62" fillId="3" borderId="0" xfId="0" applyNumberFormat="1" applyFont="1" applyFill="1" applyAlignment="1">
      <alignment horizontal="left" vertical="center"/>
    </xf>
    <xf numFmtId="178" fontId="50" fillId="3" borderId="0" xfId="0" applyNumberFormat="1" applyFont="1" applyFill="1">
      <alignment vertical="center"/>
    </xf>
    <xf numFmtId="0" fontId="62" fillId="3" borderId="28" xfId="0" applyNumberFormat="1" applyFont="1" applyFill="1" applyBorder="1" applyAlignment="1">
      <alignment horizontal="center" vertical="center"/>
    </xf>
    <xf numFmtId="186" fontId="62" fillId="3" borderId="28" xfId="0" applyNumberFormat="1" applyFont="1" applyFill="1" applyBorder="1" applyAlignment="1">
      <alignment horizontal="right" vertical="center"/>
    </xf>
    <xf numFmtId="186" fontId="62" fillId="3" borderId="28" xfId="0" applyNumberFormat="1" applyFont="1" applyFill="1" applyBorder="1" applyAlignment="1">
      <alignment horizontal="left" vertical="center"/>
    </xf>
    <xf numFmtId="178" fontId="62" fillId="3" borderId="28" xfId="0" applyNumberFormat="1" applyFont="1" applyFill="1" applyBorder="1" applyAlignment="1">
      <alignment horizontal="center" vertical="center"/>
    </xf>
    <xf numFmtId="178" fontId="62" fillId="3" borderId="28" xfId="0" applyNumberFormat="1" applyFont="1" applyFill="1" applyBorder="1" applyAlignment="1">
      <alignment horizontal="right" vertical="center"/>
    </xf>
    <xf numFmtId="0" fontId="50" fillId="32" borderId="11" xfId="0" applyFont="1" applyFill="1" applyBorder="1" applyAlignment="1">
      <alignment horizontal="center" vertical="center"/>
    </xf>
    <xf numFmtId="0" fontId="108" fillId="32" borderId="90" xfId="0" applyFont="1" applyFill="1" applyBorder="1" applyAlignment="1">
      <alignment horizontal="center" vertical="center"/>
    </xf>
    <xf numFmtId="0" fontId="108" fillId="32" borderId="91" xfId="0" applyFont="1" applyFill="1" applyBorder="1" applyAlignment="1">
      <alignment horizontal="center" vertical="center"/>
    </xf>
    <xf numFmtId="0" fontId="108" fillId="32" borderId="95" xfId="0" applyFont="1" applyFill="1" applyBorder="1" applyAlignment="1">
      <alignment horizontal="center" vertical="center"/>
    </xf>
    <xf numFmtId="0" fontId="108" fillId="0" borderId="0" xfId="0" applyFont="1" applyBorder="1">
      <alignment vertical="center"/>
    </xf>
    <xf numFmtId="185" fontId="62" fillId="3" borderId="12" xfId="0" applyNumberFormat="1" applyFont="1" applyFill="1" applyBorder="1" applyAlignment="1">
      <alignment horizontal="left" vertical="center"/>
    </xf>
    <xf numFmtId="0" fontId="108" fillId="0" borderId="6" xfId="0" applyFont="1" applyFill="1" applyBorder="1" applyAlignment="1">
      <alignment horizontal="center" vertical="center"/>
    </xf>
    <xf numFmtId="0" fontId="108" fillId="0" borderId="0" xfId="0" applyFont="1" applyFill="1" applyAlignment="1">
      <alignment horizontal="center" vertical="center"/>
    </xf>
    <xf numFmtId="0" fontId="108" fillId="0" borderId="126" xfId="0" applyFont="1" applyFill="1" applyBorder="1" applyAlignment="1">
      <alignment horizontal="center" vertical="center"/>
    </xf>
    <xf numFmtId="20" fontId="108" fillId="0" borderId="127" xfId="0" applyNumberFormat="1" applyFont="1" applyFill="1" applyBorder="1" applyAlignment="1">
      <alignment horizontal="center" vertical="center"/>
    </xf>
    <xf numFmtId="20" fontId="108" fillId="0" borderId="12" xfId="0" applyNumberFormat="1" applyFont="1" applyFill="1" applyBorder="1" applyAlignment="1">
      <alignment horizontal="center" vertical="center"/>
    </xf>
    <xf numFmtId="0" fontId="108" fillId="0" borderId="27" xfId="0" applyFont="1" applyFill="1" applyBorder="1" applyAlignment="1">
      <alignment horizontal="center" vertical="center"/>
    </xf>
    <xf numFmtId="0" fontId="108" fillId="0" borderId="28" xfId="0" applyFont="1" applyFill="1" applyBorder="1" applyAlignment="1">
      <alignment horizontal="center" vertical="center"/>
    </xf>
    <xf numFmtId="0" fontId="108" fillId="0" borderId="101" xfId="0" applyFont="1" applyFill="1" applyBorder="1" applyAlignment="1">
      <alignment horizontal="center" vertical="center"/>
    </xf>
    <xf numFmtId="20" fontId="108" fillId="0" borderId="101" xfId="0" applyNumberFormat="1" applyFont="1" applyFill="1" applyBorder="1" applyAlignment="1">
      <alignment horizontal="center" vertical="center"/>
    </xf>
    <xf numFmtId="20" fontId="108" fillId="0" borderId="30" xfId="0" applyNumberFormat="1" applyFont="1" applyFill="1" applyBorder="1" applyAlignment="1">
      <alignment horizontal="center" vertical="center"/>
    </xf>
    <xf numFmtId="0" fontId="108" fillId="32" borderId="4" xfId="0" applyFont="1" applyFill="1" applyBorder="1" applyAlignment="1">
      <alignment horizontal="center" vertical="center"/>
    </xf>
    <xf numFmtId="0" fontId="108" fillId="32" borderId="5" xfId="0" applyFont="1" applyFill="1" applyBorder="1" applyAlignment="1">
      <alignment horizontal="center" vertical="center"/>
    </xf>
    <xf numFmtId="0" fontId="108" fillId="32" borderId="11" xfId="0" applyFont="1" applyFill="1" applyBorder="1" applyAlignment="1">
      <alignment horizontal="center" vertical="center"/>
    </xf>
    <xf numFmtId="49" fontId="108" fillId="2" borderId="6" xfId="0" applyNumberFormat="1" applyFont="1" applyFill="1" applyBorder="1" applyAlignment="1">
      <alignment horizontal="center" vertical="top" wrapText="1"/>
    </xf>
    <xf numFmtId="49" fontId="108" fillId="2" borderId="0" xfId="0" applyNumberFormat="1" applyFont="1" applyFill="1" applyBorder="1" applyAlignment="1">
      <alignment horizontal="center" vertical="top" wrapText="1"/>
    </xf>
    <xf numFmtId="49" fontId="108" fillId="2" borderId="12" xfId="0" applyNumberFormat="1" applyFont="1" applyFill="1" applyBorder="1" applyAlignment="1">
      <alignment horizontal="center" vertical="top" wrapText="1"/>
    </xf>
    <xf numFmtId="178" fontId="109" fillId="3" borderId="6" xfId="0" applyNumberFormat="1" applyFont="1" applyFill="1" applyBorder="1" applyAlignment="1">
      <alignment horizontal="center" vertical="center"/>
    </xf>
    <xf numFmtId="178" fontId="109" fillId="3" borderId="0" xfId="0" applyNumberFormat="1" applyFont="1" applyFill="1" applyAlignment="1">
      <alignment horizontal="center" vertical="center"/>
    </xf>
    <xf numFmtId="178" fontId="109" fillId="3" borderId="12" xfId="0" applyNumberFormat="1" applyFont="1" applyFill="1" applyBorder="1" applyAlignment="1">
      <alignment horizontal="center" vertical="center"/>
    </xf>
    <xf numFmtId="178" fontId="109" fillId="3" borderId="119" xfId="0" applyNumberFormat="1" applyFont="1" applyFill="1" applyBorder="1" applyAlignment="1">
      <alignment horizontal="center" vertical="center"/>
    </xf>
    <xf numFmtId="178" fontId="109" fillId="3" borderId="120" xfId="0" applyNumberFormat="1" applyFont="1" applyFill="1" applyBorder="1" applyAlignment="1">
      <alignment horizontal="center" vertical="center"/>
    </xf>
    <xf numFmtId="178" fontId="109" fillId="3" borderId="128" xfId="0" applyNumberFormat="1" applyFont="1" applyFill="1" applyBorder="1" applyAlignment="1">
      <alignment horizontal="center" vertical="center"/>
    </xf>
    <xf numFmtId="0" fontId="108" fillId="0" borderId="0" xfId="0" applyFont="1" applyAlignment="1">
      <alignment horizontal="center" vertical="center"/>
    </xf>
    <xf numFmtId="0" fontId="108" fillId="0" borderId="12" xfId="0" applyFont="1" applyBorder="1" applyAlignment="1">
      <alignment horizontal="center" vertical="center"/>
    </xf>
    <xf numFmtId="0" fontId="108" fillId="0" borderId="27" xfId="0" applyFont="1" applyBorder="1" applyAlignment="1">
      <alignment horizontal="center" vertical="center"/>
    </xf>
    <xf numFmtId="0" fontId="108" fillId="0" borderId="28" xfId="0" applyFont="1" applyBorder="1" applyAlignment="1">
      <alignment horizontal="center" vertical="center"/>
    </xf>
    <xf numFmtId="0" fontId="108" fillId="0" borderId="30" xfId="0" applyFont="1" applyBorder="1" applyAlignment="1">
      <alignment horizontal="center" vertical="center"/>
    </xf>
    <xf numFmtId="0" fontId="108" fillId="2" borderId="6" xfId="0" applyFont="1" applyFill="1" applyBorder="1" applyAlignment="1">
      <alignment horizontal="center" vertical="center"/>
    </xf>
    <xf numFmtId="0" fontId="108" fillId="2" borderId="0" xfId="0" applyFont="1" applyFill="1" applyAlignment="1">
      <alignment horizontal="center" vertical="center"/>
    </xf>
    <xf numFmtId="0" fontId="108" fillId="2" borderId="12" xfId="0" applyFont="1" applyFill="1" applyBorder="1" applyAlignment="1">
      <alignment horizontal="center" vertical="center"/>
    </xf>
    <xf numFmtId="178" fontId="108" fillId="3" borderId="119" xfId="0" applyNumberFormat="1" applyFont="1" applyFill="1" applyBorder="1" applyAlignment="1">
      <alignment horizontal="center" vertical="center"/>
    </xf>
    <xf numFmtId="178" fontId="108" fillId="3" borderId="120" xfId="0" applyNumberFormat="1" applyFont="1" applyFill="1" applyBorder="1" applyAlignment="1">
      <alignment horizontal="center" vertical="center"/>
    </xf>
    <xf numFmtId="178" fontId="108" fillId="3" borderId="128" xfId="0" applyNumberFormat="1" applyFont="1" applyFill="1" applyBorder="1" applyAlignment="1">
      <alignment horizontal="center" vertical="center"/>
    </xf>
    <xf numFmtId="185" fontId="62" fillId="3" borderId="30" xfId="0" applyNumberFormat="1" applyFont="1" applyFill="1" applyBorder="1" applyAlignment="1">
      <alignment horizontal="left" vertical="center"/>
    </xf>
    <xf numFmtId="0" fontId="49" fillId="0" borderId="0" xfId="0" applyFont="1" applyBorder="1">
      <alignment vertical="center"/>
    </xf>
    <xf numFmtId="0" fontId="119" fillId="0" borderId="0" xfId="0" applyFont="1" applyBorder="1">
      <alignment vertical="center"/>
    </xf>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11" xfId="0" applyFont="1" applyBorder="1" applyAlignment="1">
      <alignment vertical="center" wrapText="1"/>
    </xf>
    <xf numFmtId="0" fontId="120" fillId="0" borderId="0" xfId="0" applyFont="1" applyBorder="1">
      <alignment vertical="center"/>
    </xf>
    <xf numFmtId="0" fontId="19" fillId="0" borderId="0" xfId="0" applyFont="1" applyBorder="1">
      <alignment vertical="center"/>
    </xf>
    <xf numFmtId="0" fontId="19" fillId="0" borderId="6" xfId="0" applyFont="1" applyBorder="1" applyAlignment="1">
      <alignment vertical="center" wrapText="1"/>
    </xf>
    <xf numFmtId="0" fontId="19" fillId="0" borderId="0" xfId="0" applyFont="1" applyBorder="1" applyAlignment="1">
      <alignment vertical="center" wrapText="1"/>
    </xf>
    <xf numFmtId="0" fontId="19" fillId="0" borderId="12" xfId="0" applyFont="1" applyBorder="1" applyAlignment="1">
      <alignment vertical="center" wrapText="1"/>
    </xf>
    <xf numFmtId="0" fontId="19" fillId="0" borderId="27" xfId="0" applyFont="1" applyBorder="1" applyAlignment="1">
      <alignment vertical="center" wrapText="1"/>
    </xf>
    <xf numFmtId="0" fontId="19" fillId="0" borderId="28" xfId="0" applyFont="1" applyBorder="1" applyAlignment="1">
      <alignment vertical="center" wrapText="1"/>
    </xf>
    <xf numFmtId="0" fontId="19" fillId="0" borderId="30" xfId="0" applyFont="1" applyBorder="1" applyAlignment="1">
      <alignmen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11" xfId="0" applyFont="1" applyBorder="1" applyAlignment="1">
      <alignment horizontal="left" vertical="center" wrapText="1"/>
    </xf>
    <xf numFmtId="0" fontId="19" fillId="0" borderId="6" xfId="0" applyFont="1" applyBorder="1" applyAlignment="1">
      <alignment horizontal="left" vertical="center" wrapText="1"/>
    </xf>
    <xf numFmtId="0" fontId="19" fillId="0" borderId="0" xfId="0" applyFont="1" applyBorder="1" applyAlignment="1">
      <alignment horizontal="left" vertical="center" wrapText="1"/>
    </xf>
    <xf numFmtId="0" fontId="19" fillId="0" borderId="12" xfId="0" applyFont="1" applyBorder="1" applyAlignment="1">
      <alignment horizontal="left" vertical="center" wrapText="1"/>
    </xf>
    <xf numFmtId="0" fontId="19" fillId="0" borderId="27" xfId="0" applyFont="1" applyBorder="1" applyAlignment="1">
      <alignment horizontal="left" vertical="center" wrapText="1"/>
    </xf>
    <xf numFmtId="0" fontId="19" fillId="0" borderId="28" xfId="0" applyFont="1" applyBorder="1" applyAlignment="1">
      <alignment horizontal="left" vertical="center" wrapText="1"/>
    </xf>
    <xf numFmtId="0" fontId="19" fillId="0" borderId="30" xfId="0" applyFont="1" applyBorder="1" applyAlignment="1">
      <alignment horizontal="left" vertical="center" wrapText="1"/>
    </xf>
    <xf numFmtId="0" fontId="19" fillId="60" borderId="21" xfId="0" applyFont="1" applyFill="1" applyBorder="1" applyAlignment="1">
      <alignment horizontal="right" vertical="center" wrapText="1"/>
    </xf>
    <xf numFmtId="0" fontId="19" fillId="60" borderId="0" xfId="0" applyFont="1" applyFill="1" applyBorder="1" applyAlignment="1">
      <alignment horizontal="right" vertical="center" wrapText="1"/>
    </xf>
    <xf numFmtId="0" fontId="19" fillId="0" borderId="5" xfId="0" applyFont="1" applyBorder="1">
      <alignment vertical="center"/>
    </xf>
    <xf numFmtId="0" fontId="19" fillId="0" borderId="11" xfId="0" applyFont="1" applyBorder="1">
      <alignment vertical="center"/>
    </xf>
    <xf numFmtId="0" fontId="19" fillId="0" borderId="6" xfId="0" applyFont="1" applyBorder="1">
      <alignment vertical="center"/>
    </xf>
    <xf numFmtId="0" fontId="19" fillId="0" borderId="12" xfId="0" applyFont="1" applyBorder="1">
      <alignment vertical="center"/>
    </xf>
    <xf numFmtId="0" fontId="19" fillId="0" borderId="27" xfId="0" applyFont="1" applyBorder="1">
      <alignment vertical="center"/>
    </xf>
    <xf numFmtId="0" fontId="19" fillId="0" borderId="28" xfId="0" applyFont="1" applyBorder="1">
      <alignment vertical="center"/>
    </xf>
    <xf numFmtId="0" fontId="19" fillId="0" borderId="30" xfId="0" applyFont="1" applyBorder="1">
      <alignment vertical="center"/>
    </xf>
    <xf numFmtId="0" fontId="108" fillId="60" borderId="0" xfId="0" applyFont="1" applyFill="1" applyAlignment="1">
      <alignment horizontal="left" vertical="center"/>
    </xf>
    <xf numFmtId="0" fontId="42" fillId="32" borderId="129" xfId="0" applyFont="1" applyFill="1" applyBorder="1" applyAlignment="1">
      <alignment horizontal="center" vertical="center"/>
    </xf>
    <xf numFmtId="0" fontId="108" fillId="3" borderId="109" xfId="0" applyFont="1" applyFill="1" applyBorder="1" applyAlignment="1">
      <alignment horizontal="left" vertical="center"/>
    </xf>
    <xf numFmtId="0" fontId="108" fillId="3" borderId="0" xfId="0" applyFont="1" applyFill="1" applyBorder="1" applyAlignment="1">
      <alignment horizontal="left" vertical="center"/>
    </xf>
    <xf numFmtId="0" fontId="108" fillId="0" borderId="109" xfId="0" applyFont="1" applyBorder="1" applyAlignment="1">
      <alignment horizontal="center" vertical="center"/>
    </xf>
    <xf numFmtId="0" fontId="108" fillId="0" borderId="0" xfId="0" applyFont="1" applyBorder="1" applyAlignment="1">
      <alignment horizontal="center" vertical="center"/>
    </xf>
    <xf numFmtId="0" fontId="108" fillId="3" borderId="0" xfId="0" applyFont="1" applyFill="1" applyBorder="1">
      <alignment vertical="center"/>
    </xf>
    <xf numFmtId="0" fontId="108" fillId="16" borderId="109" xfId="0" applyFont="1" applyFill="1" applyBorder="1" applyAlignment="1">
      <alignment horizontal="center" vertical="center"/>
    </xf>
    <xf numFmtId="0" fontId="108" fillId="16" borderId="0" xfId="0" applyFont="1" applyFill="1" applyBorder="1" applyAlignment="1">
      <alignment horizontal="center" vertical="center"/>
    </xf>
    <xf numFmtId="0" fontId="108" fillId="3" borderId="17" xfId="0" applyFont="1" applyFill="1" applyBorder="1">
      <alignment vertical="center"/>
    </xf>
    <xf numFmtId="0" fontId="7" fillId="16" borderId="109" xfId="0" applyFont="1" applyFill="1" applyBorder="1" applyAlignment="1">
      <alignment horizontal="center" vertical="center"/>
    </xf>
    <xf numFmtId="0" fontId="7" fillId="16" borderId="0"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0" xfId="0" applyFont="1" applyFill="1" applyBorder="1">
      <alignment vertical="center"/>
    </xf>
    <xf numFmtId="0" fontId="7" fillId="0" borderId="109" xfId="0" applyFont="1" applyFill="1" applyBorder="1" applyAlignment="1">
      <alignment horizontal="center" vertical="center"/>
    </xf>
    <xf numFmtId="0" fontId="7" fillId="0" borderId="0" xfId="0" applyFont="1" applyFill="1" applyBorder="1" applyAlignment="1">
      <alignment horizontal="center" vertical="center"/>
    </xf>
    <xf numFmtId="0" fontId="108" fillId="0" borderId="130" xfId="0" applyFont="1" applyBorder="1" applyAlignment="1">
      <alignment horizontal="center" vertical="center"/>
    </xf>
    <xf numFmtId="0" fontId="108" fillId="0" borderId="102" xfId="0" applyFont="1" applyBorder="1" applyAlignment="1">
      <alignment horizontal="center" vertical="center"/>
    </xf>
    <xf numFmtId="0" fontId="108" fillId="3" borderId="102" xfId="0" applyFont="1" applyFill="1" applyBorder="1" applyAlignment="1">
      <alignment horizontal="center" vertical="center"/>
    </xf>
    <xf numFmtId="0" fontId="108" fillId="3" borderId="102" xfId="0" applyFont="1" applyFill="1" applyBorder="1">
      <alignment vertical="center"/>
    </xf>
    <xf numFmtId="0" fontId="121" fillId="0" borderId="0" xfId="0" applyFont="1" applyBorder="1" applyAlignment="1">
      <alignment horizontal="center" vertical="center" wrapText="1"/>
    </xf>
    <xf numFmtId="0" fontId="121" fillId="0" borderId="0" xfId="0" applyFont="1" applyAlignment="1">
      <alignment horizontal="center" vertical="center" wrapText="1"/>
    </xf>
    <xf numFmtId="0" fontId="74" fillId="32" borderId="4" xfId="0" applyFont="1" applyFill="1" applyBorder="1" applyAlignment="1">
      <alignment horizontal="center" vertical="center"/>
    </xf>
    <xf numFmtId="0" fontId="74" fillId="32" borderId="5" xfId="0" applyFont="1" applyFill="1" applyBorder="1" applyAlignment="1">
      <alignment horizontal="center" vertical="center"/>
    </xf>
    <xf numFmtId="0" fontId="74" fillId="32" borderId="27" xfId="0" applyFont="1" applyFill="1" applyBorder="1" applyAlignment="1">
      <alignment horizontal="center" vertical="center"/>
    </xf>
    <xf numFmtId="0" fontId="74" fillId="32" borderId="28" xfId="0" applyFont="1" applyFill="1" applyBorder="1" applyAlignment="1">
      <alignment horizontal="center" vertical="center"/>
    </xf>
    <xf numFmtId="0" fontId="122" fillId="3" borderId="6" xfId="0" applyFont="1" applyFill="1" applyBorder="1" applyAlignment="1">
      <alignment vertical="center" wrapText="1"/>
    </xf>
    <xf numFmtId="0" fontId="122" fillId="3" borderId="0" xfId="0" applyFont="1" applyFill="1" applyBorder="1" applyAlignment="1">
      <alignment vertical="center" wrapText="1"/>
    </xf>
    <xf numFmtId="0" fontId="122" fillId="3" borderId="0" xfId="0" applyFont="1" applyFill="1" applyBorder="1" applyAlignment="1">
      <alignment horizontal="center" vertical="center" wrapText="1"/>
    </xf>
    <xf numFmtId="0" fontId="88" fillId="3" borderId="6" xfId="0" applyFont="1" applyFill="1" applyBorder="1" applyAlignment="1">
      <alignment horizontal="center" vertical="center" wrapText="1"/>
    </xf>
    <xf numFmtId="0" fontId="88" fillId="3" borderId="0" xfId="0" applyFont="1" applyFill="1" applyBorder="1" applyAlignment="1">
      <alignment horizontal="center" vertical="center" wrapText="1"/>
    </xf>
    <xf numFmtId="0" fontId="123" fillId="3" borderId="0" xfId="0" applyFont="1" applyFill="1" applyBorder="1" applyAlignment="1">
      <alignment horizontal="center" vertical="center" wrapText="1"/>
    </xf>
    <xf numFmtId="0" fontId="88" fillId="3" borderId="27" xfId="0" applyFont="1" applyFill="1" applyBorder="1" applyAlignment="1">
      <alignment horizontal="center" vertical="center" wrapText="1"/>
    </xf>
    <xf numFmtId="0" fontId="88" fillId="3" borderId="28" xfId="0" applyFont="1" applyFill="1" applyBorder="1" applyAlignment="1">
      <alignment horizontal="center" vertical="center" wrapText="1"/>
    </xf>
    <xf numFmtId="0" fontId="7" fillId="3" borderId="17" xfId="0" applyFont="1" applyFill="1" applyBorder="1">
      <alignment vertical="center"/>
    </xf>
    <xf numFmtId="0" fontId="121" fillId="3" borderId="0" xfId="0" applyFont="1" applyFill="1" applyBorder="1" applyAlignment="1">
      <alignment horizontal="center" vertical="center"/>
    </xf>
    <xf numFmtId="0" fontId="7" fillId="3" borderId="0" xfId="0" applyFont="1" applyFill="1" applyBorder="1" applyAlignment="1">
      <alignment horizontal="left" vertical="center"/>
    </xf>
    <xf numFmtId="0" fontId="108" fillId="3" borderId="131" xfId="0" applyFont="1" applyFill="1" applyBorder="1">
      <alignment vertical="center"/>
    </xf>
    <xf numFmtId="0" fontId="7" fillId="3" borderId="102" xfId="0" applyFont="1" applyFill="1" applyBorder="1" applyAlignment="1">
      <alignment horizontal="center" vertical="center"/>
    </xf>
    <xf numFmtId="0" fontId="7" fillId="3" borderId="102" xfId="0" applyFont="1" applyFill="1" applyBorder="1" applyAlignment="1">
      <alignment horizontal="left" vertical="center"/>
    </xf>
    <xf numFmtId="0" fontId="122" fillId="3" borderId="0" xfId="0" applyFont="1" applyFill="1" applyBorder="1" applyAlignment="1">
      <alignment horizontal="left" vertical="center" wrapText="1"/>
    </xf>
    <xf numFmtId="0" fontId="88" fillId="3" borderId="0" xfId="0" applyFont="1" applyFill="1" applyBorder="1" applyAlignment="1">
      <alignment horizontal="left" vertical="center" wrapText="1"/>
    </xf>
    <xf numFmtId="0" fontId="88" fillId="3" borderId="28" xfId="0" applyFont="1" applyFill="1" applyBorder="1" applyAlignment="1">
      <alignment horizontal="left" vertical="center" wrapText="1"/>
    </xf>
    <xf numFmtId="0" fontId="108" fillId="3" borderId="17" xfId="0" applyFont="1" applyFill="1" applyBorder="1" applyAlignment="1">
      <alignment horizontal="left" vertical="center"/>
    </xf>
    <xf numFmtId="0" fontId="54" fillId="3" borderId="0" xfId="0" applyFont="1" applyFill="1" applyBorder="1">
      <alignment vertical="center"/>
    </xf>
    <xf numFmtId="0" fontId="7" fillId="3" borderId="17" xfId="0" applyFont="1" applyFill="1" applyBorder="1" applyAlignment="1">
      <alignment horizontal="left" vertical="center"/>
    </xf>
    <xf numFmtId="0" fontId="7" fillId="3" borderId="131" xfId="0" applyFont="1" applyFill="1" applyBorder="1" applyAlignment="1">
      <alignment horizontal="left" vertical="center"/>
    </xf>
    <xf numFmtId="0" fontId="121" fillId="3" borderId="102" xfId="0" applyFont="1" applyFill="1" applyBorder="1" applyAlignment="1">
      <alignment horizontal="center" vertical="center"/>
    </xf>
    <xf numFmtId="0" fontId="7" fillId="3" borderId="102" xfId="0" applyFont="1" applyFill="1" applyBorder="1">
      <alignment vertical="center"/>
    </xf>
    <xf numFmtId="0" fontId="108" fillId="0" borderId="0" xfId="0" applyFont="1" applyFill="1" applyBorder="1">
      <alignment vertical="center"/>
    </xf>
    <xf numFmtId="0" fontId="108" fillId="3" borderId="107" xfId="0" applyFont="1" applyFill="1" applyBorder="1" applyAlignment="1">
      <alignment horizontal="center" vertical="center"/>
    </xf>
    <xf numFmtId="0" fontId="88" fillId="0" borderId="0" xfId="0" applyFont="1" applyFill="1" applyAlignment="1">
      <alignment vertical="center" wrapText="1"/>
    </xf>
    <xf numFmtId="0" fontId="7" fillId="3" borderId="107" xfId="0" applyFont="1" applyFill="1" applyBorder="1" applyAlignment="1">
      <alignment horizontal="left" vertical="center"/>
    </xf>
    <xf numFmtId="0" fontId="54" fillId="3" borderId="107" xfId="0" applyFont="1" applyFill="1" applyBorder="1">
      <alignment vertical="center"/>
    </xf>
    <xf numFmtId="0" fontId="108" fillId="3" borderId="107" xfId="0" applyFont="1" applyFill="1" applyBorder="1" applyAlignment="1">
      <alignment horizontal="left" vertical="center"/>
    </xf>
    <xf numFmtId="0" fontId="7" fillId="3" borderId="107" xfId="0" applyFont="1" applyFill="1" applyBorder="1">
      <alignment vertical="center"/>
    </xf>
    <xf numFmtId="0" fontId="108" fillId="3" borderId="107" xfId="0" applyFont="1" applyFill="1" applyBorder="1">
      <alignment vertical="center"/>
    </xf>
    <xf numFmtId="0" fontId="7" fillId="3" borderId="108" xfId="0" applyFont="1" applyFill="1" applyBorder="1">
      <alignment vertical="center"/>
    </xf>
    <xf numFmtId="0" fontId="108" fillId="0" borderId="0" xfId="0" applyFont="1" applyFill="1">
      <alignment vertical="center"/>
    </xf>
    <xf numFmtId="0" fontId="74" fillId="32" borderId="11" xfId="0" applyFont="1" applyFill="1" applyBorder="1" applyAlignment="1">
      <alignment horizontal="center" vertical="center"/>
    </xf>
    <xf numFmtId="0" fontId="74" fillId="32" borderId="30" xfId="0" applyFont="1" applyFill="1" applyBorder="1" applyAlignment="1">
      <alignment horizontal="center" vertical="center"/>
    </xf>
    <xf numFmtId="0" fontId="122" fillId="3" borderId="12" xfId="0" applyFont="1" applyFill="1" applyBorder="1" applyAlignment="1">
      <alignment horizontal="left" vertical="center" wrapText="1"/>
    </xf>
    <xf numFmtId="0" fontId="88" fillId="3" borderId="12" xfId="0" applyFont="1" applyFill="1" applyBorder="1" applyAlignment="1">
      <alignment horizontal="left" vertical="center" wrapText="1"/>
    </xf>
    <xf numFmtId="0" fontId="88" fillId="3" borderId="30" xfId="0" applyFont="1" applyFill="1" applyBorder="1" applyAlignment="1">
      <alignment horizontal="left" vertical="center" wrapText="1"/>
    </xf>
    <xf numFmtId="0" fontId="124" fillId="0" borderId="0" xfId="0" applyFont="1" applyFill="1" applyAlignment="1">
      <alignment horizontal="center" vertical="center"/>
    </xf>
    <xf numFmtId="0" fontId="2" fillId="61" borderId="49" xfId="0" applyFont="1" applyFill="1" applyBorder="1" applyAlignment="1">
      <alignment horizontal="center" vertical="center"/>
    </xf>
    <xf numFmtId="0" fontId="125" fillId="61" borderId="50" xfId="0" applyFont="1" applyFill="1" applyBorder="1" applyAlignment="1">
      <alignment horizontal="center" vertical="center"/>
    </xf>
    <xf numFmtId="0" fontId="126" fillId="0" borderId="51" xfId="0" applyFont="1" applyFill="1" applyBorder="1" applyAlignment="1">
      <alignment horizontal="center" vertical="center"/>
    </xf>
    <xf numFmtId="0" fontId="126" fillId="0" borderId="52" xfId="0" applyFont="1" applyFill="1" applyBorder="1" applyAlignment="1">
      <alignment horizontal="center" vertical="center"/>
    </xf>
    <xf numFmtId="0" fontId="76" fillId="0" borderId="52" xfId="0" applyFont="1" applyFill="1" applyBorder="1" applyAlignment="1" applyProtection="1">
      <alignment horizontal="center" vertical="center"/>
      <protection locked="0"/>
    </xf>
    <xf numFmtId="0" fontId="126" fillId="3" borderId="51" xfId="0" applyFont="1" applyFill="1" applyBorder="1" applyAlignment="1">
      <alignment horizontal="center" vertical="center"/>
    </xf>
    <xf numFmtId="0" fontId="126" fillId="3" borderId="52" xfId="0" applyFont="1" applyFill="1" applyBorder="1" applyAlignment="1">
      <alignment horizontal="center" vertical="center"/>
    </xf>
    <xf numFmtId="0" fontId="76" fillId="3" borderId="52" xfId="0" applyFont="1" applyFill="1" applyBorder="1" applyAlignment="1" applyProtection="1">
      <alignment horizontal="center" vertical="center"/>
      <protection locked="0"/>
    </xf>
    <xf numFmtId="0" fontId="65" fillId="49" borderId="52" xfId="0" applyFont="1" applyFill="1" applyBorder="1" applyAlignment="1">
      <alignment horizontal="center" vertical="center"/>
    </xf>
    <xf numFmtId="0" fontId="76" fillId="3" borderId="52" xfId="0" applyNumberFormat="1" applyFont="1" applyFill="1" applyBorder="1" applyAlignment="1" applyProtection="1">
      <alignment horizontal="center" vertical="center"/>
      <protection locked="0"/>
    </xf>
    <xf numFmtId="0" fontId="126" fillId="3" borderId="69" xfId="0" applyFont="1" applyFill="1" applyBorder="1" applyAlignment="1">
      <alignment horizontal="center" vertical="center"/>
    </xf>
    <xf numFmtId="0" fontId="126" fillId="3" borderId="70" xfId="0" applyFont="1" applyFill="1" applyBorder="1" applyAlignment="1">
      <alignment horizontal="center" vertical="center"/>
    </xf>
    <xf numFmtId="0" fontId="76" fillId="3" borderId="70" xfId="0" applyFont="1" applyFill="1" applyBorder="1" applyAlignment="1" applyProtection="1">
      <alignment horizontal="right" vertical="center"/>
      <protection locked="0"/>
    </xf>
    <xf numFmtId="0" fontId="76" fillId="3" borderId="87" xfId="0" applyFont="1" applyFill="1" applyBorder="1" applyAlignment="1" applyProtection="1">
      <alignment horizontal="right" vertical="center"/>
      <protection locked="0"/>
    </xf>
    <xf numFmtId="187" fontId="76" fillId="3" borderId="132" xfId="0" applyNumberFormat="1" applyFont="1" applyFill="1" applyBorder="1" applyAlignment="1" applyProtection="1">
      <alignment horizontal="left" vertical="center"/>
      <protection locked="0"/>
    </xf>
    <xf numFmtId="187" fontId="76" fillId="3" borderId="70" xfId="0" applyNumberFormat="1" applyFont="1" applyFill="1" applyBorder="1" applyAlignment="1" applyProtection="1">
      <alignment horizontal="left" vertical="center"/>
      <protection locked="0"/>
    </xf>
    <xf numFmtId="0" fontId="127" fillId="0" borderId="0" xfId="0" applyFont="1" applyFill="1" applyAlignment="1">
      <alignment horizontal="right"/>
    </xf>
    <xf numFmtId="178" fontId="127" fillId="0" borderId="0" xfId="0" applyNumberFormat="1" applyFont="1" applyFill="1" applyAlignment="1">
      <alignment horizontal="left"/>
    </xf>
    <xf numFmtId="0" fontId="108" fillId="3" borderId="4" xfId="0" applyFont="1" applyFill="1" applyBorder="1" applyAlignment="1">
      <alignment horizontal="center" vertical="center" wrapText="1"/>
    </xf>
    <xf numFmtId="0" fontId="108" fillId="3" borderId="5" xfId="0" applyFont="1" applyFill="1" applyBorder="1" applyAlignment="1">
      <alignment horizontal="center" vertical="center" wrapText="1"/>
    </xf>
    <xf numFmtId="1" fontId="108" fillId="3" borderId="5" xfId="0" applyNumberFormat="1" applyFont="1" applyFill="1" applyBorder="1" applyAlignment="1">
      <alignment horizontal="right" vertical="center" wrapText="1"/>
    </xf>
    <xf numFmtId="188" fontId="108" fillId="3" borderId="5" xfId="0" applyNumberFormat="1" applyFont="1" applyFill="1" applyBorder="1" applyAlignment="1">
      <alignment horizontal="left" vertical="center" wrapText="1"/>
    </xf>
    <xf numFmtId="0" fontId="108" fillId="3" borderId="27" xfId="0" applyFont="1" applyFill="1" applyBorder="1" applyAlignment="1">
      <alignment horizontal="center" vertical="center" wrapText="1"/>
    </xf>
    <xf numFmtId="0" fontId="108" fillId="3" borderId="28" xfId="0" applyFont="1" applyFill="1" applyBorder="1" applyAlignment="1">
      <alignment horizontal="center" vertical="center" wrapText="1"/>
    </xf>
    <xf numFmtId="1" fontId="108" fillId="3" borderId="28" xfId="0" applyNumberFormat="1" applyFont="1" applyFill="1" applyBorder="1" applyAlignment="1">
      <alignment horizontal="right" vertical="center" wrapText="1"/>
    </xf>
    <xf numFmtId="188" fontId="108" fillId="3" borderId="28" xfId="0" applyNumberFormat="1" applyFont="1" applyFill="1" applyBorder="1" applyAlignment="1">
      <alignment horizontal="left" vertical="center" wrapText="1"/>
    </xf>
    <xf numFmtId="0" fontId="108" fillId="3" borderId="27" xfId="0" applyNumberFormat="1" applyFont="1" applyFill="1" applyBorder="1" applyAlignment="1">
      <alignment horizontal="center" vertical="center"/>
    </xf>
    <xf numFmtId="0" fontId="108" fillId="3" borderId="28" xfId="0" applyNumberFormat="1" applyFont="1" applyFill="1" applyBorder="1" applyAlignment="1">
      <alignment horizontal="center" vertical="center"/>
    </xf>
    <xf numFmtId="0" fontId="7" fillId="32" borderId="28" xfId="0" applyNumberFormat="1" applyFont="1" applyFill="1" applyBorder="1" applyAlignment="1" applyProtection="1">
      <alignment horizontal="center" vertical="center"/>
      <protection locked="0"/>
    </xf>
    <xf numFmtId="0" fontId="7" fillId="32" borderId="100" xfId="0" applyNumberFormat="1" applyFont="1" applyFill="1" applyBorder="1" applyAlignment="1" applyProtection="1">
      <alignment horizontal="center" vertical="center"/>
      <protection locked="0"/>
    </xf>
    <xf numFmtId="0" fontId="7" fillId="3" borderId="28" xfId="0" applyNumberFormat="1" applyFont="1" applyFill="1" applyBorder="1" applyAlignment="1">
      <alignment horizontal="center" vertical="center"/>
    </xf>
    <xf numFmtId="0" fontId="128" fillId="0" borderId="0" xfId="0" applyFont="1" applyFill="1" applyBorder="1" applyAlignment="1">
      <alignment horizontal="center" vertical="center"/>
    </xf>
    <xf numFmtId="0" fontId="2" fillId="61" borderId="4" xfId="0" applyFont="1" applyFill="1" applyBorder="1" applyAlignment="1">
      <alignment horizontal="center" vertical="center"/>
    </xf>
    <xf numFmtId="0" fontId="2" fillId="61" borderId="5" xfId="0" applyFont="1" applyFill="1" applyBorder="1" applyAlignment="1">
      <alignment horizontal="center" vertical="center"/>
    </xf>
    <xf numFmtId="0" fontId="129" fillId="32" borderId="133" xfId="0" applyFont="1" applyFill="1" applyBorder="1" applyAlignment="1">
      <alignment horizontal="center" vertical="center"/>
    </xf>
    <xf numFmtId="0" fontId="129" fillId="32" borderId="72" xfId="0" applyFont="1" applyFill="1" applyBorder="1" applyAlignment="1">
      <alignment horizontal="center" vertical="center"/>
    </xf>
    <xf numFmtId="0" fontId="6" fillId="32" borderId="72" xfId="0" applyFont="1" applyFill="1" applyBorder="1" applyAlignment="1">
      <alignment horizontal="center" vertical="center"/>
    </xf>
    <xf numFmtId="0" fontId="42" fillId="0" borderId="0" xfId="0" applyFont="1" applyFill="1" applyBorder="1" applyAlignment="1">
      <alignment horizontal="center" vertical="center"/>
    </xf>
    <xf numFmtId="49" fontId="6" fillId="3" borderId="61"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xf>
    <xf numFmtId="178" fontId="65" fillId="3" borderId="3" xfId="0" applyNumberFormat="1" applyFont="1" applyFill="1" applyBorder="1" applyAlignment="1">
      <alignment horizontal="center" vertical="center" wrapText="1"/>
    </xf>
    <xf numFmtId="178" fontId="65" fillId="3" borderId="3" xfId="0" applyNumberFormat="1" applyFont="1" applyFill="1" applyBorder="1" applyAlignment="1">
      <alignment horizontal="center" vertical="center"/>
    </xf>
    <xf numFmtId="0" fontId="6" fillId="3" borderId="3" xfId="0" applyNumberFormat="1" applyFont="1" applyFill="1" applyBorder="1" applyAlignment="1">
      <alignment horizontal="center" vertical="center"/>
    </xf>
    <xf numFmtId="0" fontId="108" fillId="0" borderId="0" xfId="0" applyFont="1" applyFill="1" applyBorder="1" applyAlignment="1">
      <alignment horizontal="center" vertical="center"/>
    </xf>
    <xf numFmtId="0" fontId="6" fillId="3" borderId="3" xfId="0" applyNumberFormat="1" applyFont="1" applyFill="1" applyBorder="1" applyAlignment="1">
      <alignment horizontal="right" vertical="center"/>
    </xf>
    <xf numFmtId="49" fontId="6" fillId="2" borderId="3" xfId="0" applyNumberFormat="1" applyFont="1" applyFill="1" applyBorder="1" applyAlignment="1" applyProtection="1">
      <alignment vertical="center" wrapText="1"/>
      <protection locked="0"/>
    </xf>
    <xf numFmtId="49" fontId="6" fillId="32" borderId="61" xfId="0" applyNumberFormat="1" applyFont="1" applyFill="1" applyBorder="1" applyAlignment="1">
      <alignment horizontal="center" vertical="center"/>
    </xf>
    <xf numFmtId="49" fontId="6" fillId="32" borderId="3" xfId="0" applyNumberFormat="1" applyFont="1" applyFill="1" applyBorder="1" applyAlignment="1">
      <alignment horizontal="center" vertical="center"/>
    </xf>
    <xf numFmtId="0" fontId="6" fillId="32" borderId="3" xfId="0" applyNumberFormat="1" applyFont="1" applyFill="1" applyBorder="1" applyAlignment="1">
      <alignment horizontal="right" vertical="center"/>
    </xf>
    <xf numFmtId="180" fontId="42" fillId="0" borderId="0" xfId="0" applyNumberFormat="1" applyFont="1" applyFill="1" applyBorder="1" applyAlignment="1">
      <alignment horizontal="center" vertical="center"/>
    </xf>
    <xf numFmtId="0" fontId="6" fillId="2" borderId="3" xfId="0" applyNumberFormat="1" applyFont="1" applyFill="1" applyBorder="1" applyProtection="1">
      <alignment vertical="center"/>
      <protection locked="0"/>
    </xf>
    <xf numFmtId="0" fontId="6" fillId="2" borderId="3" xfId="0" applyNumberFormat="1" applyFont="1" applyFill="1" applyBorder="1" applyAlignment="1" applyProtection="1">
      <alignment vertical="center" wrapText="1"/>
      <protection locked="0"/>
    </xf>
    <xf numFmtId="0" fontId="6" fillId="3" borderId="3" xfId="0" applyNumberFormat="1" applyFont="1" applyFill="1" applyBorder="1" applyAlignment="1">
      <alignment horizontal="left" vertical="center"/>
    </xf>
    <xf numFmtId="0" fontId="45" fillId="2" borderId="3" xfId="0" applyNumberFormat="1" applyFont="1" applyFill="1" applyBorder="1" applyProtection="1">
      <alignment vertical="center"/>
      <protection locked="0"/>
    </xf>
    <xf numFmtId="49" fontId="6" fillId="33" borderId="61" xfId="0" applyNumberFormat="1" applyFont="1" applyFill="1" applyBorder="1" applyAlignment="1">
      <alignment horizontal="center" vertical="center"/>
    </xf>
    <xf numFmtId="49" fontId="6" fillId="33" borderId="3" xfId="0" applyNumberFormat="1" applyFont="1" applyFill="1" applyBorder="1" applyAlignment="1">
      <alignment horizontal="center" vertical="center"/>
    </xf>
    <xf numFmtId="0" fontId="6" fillId="33" borderId="3" xfId="0" applyNumberFormat="1" applyFont="1" applyFill="1" applyBorder="1" applyAlignment="1">
      <alignment horizontal="right" vertical="center"/>
    </xf>
    <xf numFmtId="0" fontId="6" fillId="3" borderId="3" xfId="0" applyNumberFormat="1" applyFont="1" applyFill="1" applyBorder="1" applyProtection="1">
      <alignment vertical="center"/>
      <protection locked="0"/>
    </xf>
    <xf numFmtId="0" fontId="6" fillId="33" borderId="61" xfId="0" applyNumberFormat="1" applyFont="1" applyFill="1" applyBorder="1" applyAlignment="1">
      <alignment horizontal="center" vertical="center"/>
    </xf>
    <xf numFmtId="0" fontId="6" fillId="33" borderId="3" xfId="0" applyNumberFormat="1" applyFont="1" applyFill="1" applyBorder="1" applyAlignment="1">
      <alignment horizontal="center" vertical="center"/>
    </xf>
    <xf numFmtId="0" fontId="108" fillId="60" borderId="0" xfId="0" applyFont="1" applyFill="1" applyBorder="1" applyAlignment="1">
      <alignment horizontal="center" vertical="center"/>
    </xf>
    <xf numFmtId="0" fontId="45" fillId="3" borderId="3" xfId="0" applyNumberFormat="1" applyFont="1" applyFill="1" applyBorder="1" applyProtection="1">
      <alignment vertical="center"/>
      <protection locked="0"/>
    </xf>
    <xf numFmtId="0" fontId="45" fillId="3" borderId="3" xfId="0" applyNumberFormat="1" applyFont="1" applyFill="1" applyBorder="1" applyAlignment="1" applyProtection="1">
      <alignment vertical="center" wrapText="1"/>
      <protection locked="0"/>
    </xf>
    <xf numFmtId="0" fontId="45" fillId="3" borderId="3" xfId="0" applyNumberFormat="1" applyFont="1" applyFill="1" applyBorder="1" applyAlignment="1">
      <alignment vertical="center" wrapText="1"/>
    </xf>
    <xf numFmtId="49" fontId="6" fillId="62" borderId="65" xfId="0" applyNumberFormat="1" applyFont="1" applyFill="1" applyBorder="1" applyAlignment="1">
      <alignment horizontal="center" vertical="center"/>
    </xf>
    <xf numFmtId="49" fontId="6" fillId="62" borderId="89" xfId="0" applyNumberFormat="1" applyFont="1" applyFill="1" applyBorder="1" applyAlignment="1">
      <alignment horizontal="center" vertical="center"/>
    </xf>
    <xf numFmtId="178" fontId="65" fillId="3" borderId="89" xfId="0" applyNumberFormat="1" applyFont="1" applyFill="1" applyBorder="1" applyAlignment="1">
      <alignment horizontal="center" vertical="center" wrapText="1"/>
    </xf>
    <xf numFmtId="178" fontId="65" fillId="3" borderId="89" xfId="0" applyNumberFormat="1" applyFont="1" applyFill="1" applyBorder="1" applyAlignment="1">
      <alignment horizontal="center" vertical="center"/>
    </xf>
    <xf numFmtId="0" fontId="6" fillId="62" borderId="89" xfId="0" applyNumberFormat="1" applyFont="1" applyFill="1" applyBorder="1" applyAlignment="1">
      <alignment horizontal="center" vertical="center" wrapText="1"/>
    </xf>
    <xf numFmtId="0" fontId="6" fillId="3" borderId="63" xfId="0" applyNumberFormat="1" applyFont="1" applyFill="1" applyBorder="1" applyAlignment="1">
      <alignment horizontal="center" vertical="center"/>
    </xf>
    <xf numFmtId="0" fontId="6" fillId="3" borderId="88" xfId="0" applyNumberFormat="1" applyFont="1" applyFill="1" applyBorder="1" applyAlignment="1">
      <alignment horizontal="center" vertical="center"/>
    </xf>
    <xf numFmtId="178" fontId="65" fillId="3" borderId="88" xfId="0" applyNumberFormat="1" applyFont="1" applyFill="1" applyBorder="1" applyAlignment="1">
      <alignment horizontal="center" vertical="center" wrapText="1"/>
    </xf>
    <xf numFmtId="178" fontId="65" fillId="3" borderId="88" xfId="0" applyNumberFormat="1" applyFont="1" applyFill="1" applyBorder="1" applyAlignment="1">
      <alignment horizontal="center" vertical="center"/>
    </xf>
    <xf numFmtId="0" fontId="45" fillId="3" borderId="88" xfId="0" applyNumberFormat="1" applyFont="1" applyFill="1" applyBorder="1" applyAlignment="1" applyProtection="1">
      <alignment horizontal="center" vertical="center"/>
      <protection locked="0"/>
    </xf>
    <xf numFmtId="0" fontId="6" fillId="3" borderId="61" xfId="0" applyNumberFormat="1" applyFont="1" applyFill="1" applyBorder="1" applyAlignment="1">
      <alignment horizontal="center" vertical="center"/>
    </xf>
    <xf numFmtId="0" fontId="45" fillId="3" borderId="3" xfId="0" applyNumberFormat="1" applyFont="1" applyFill="1" applyBorder="1" applyAlignment="1" applyProtection="1">
      <alignment horizontal="center" vertical="center"/>
      <protection locked="0"/>
    </xf>
    <xf numFmtId="0" fontId="6" fillId="3" borderId="65" xfId="0" applyNumberFormat="1" applyFont="1" applyFill="1" applyBorder="1" applyAlignment="1">
      <alignment horizontal="center" vertical="center"/>
    </xf>
    <xf numFmtId="0" fontId="6" fillId="3" borderId="89" xfId="0" applyNumberFormat="1" applyFont="1" applyFill="1" applyBorder="1" applyAlignment="1">
      <alignment horizontal="center" vertical="center"/>
    </xf>
    <xf numFmtId="0" fontId="45" fillId="3" borderId="89" xfId="0" applyNumberFormat="1" applyFont="1" applyFill="1" applyBorder="1" applyAlignment="1" applyProtection="1">
      <alignment horizontal="center" vertical="center"/>
      <protection locked="0"/>
    </xf>
    <xf numFmtId="0" fontId="130" fillId="0" borderId="0" xfId="0" applyFont="1" applyFill="1" applyBorder="1" applyAlignment="1">
      <alignment horizontal="left" vertical="top"/>
    </xf>
    <xf numFmtId="0" fontId="2" fillId="61" borderId="134" xfId="0" applyFont="1" applyFill="1" applyBorder="1" applyAlignment="1">
      <alignment horizontal="center" vertical="center"/>
    </xf>
    <xf numFmtId="0" fontId="2" fillId="61" borderId="135" xfId="0" applyFont="1" applyFill="1" applyBorder="1" applyAlignment="1">
      <alignment horizontal="center" vertical="center"/>
    </xf>
    <xf numFmtId="0" fontId="129" fillId="32" borderId="136" xfId="0" applyNumberFormat="1" applyFont="1" applyFill="1" applyBorder="1" applyAlignment="1">
      <alignment horizontal="center" vertical="center"/>
    </xf>
    <xf numFmtId="0" fontId="129" fillId="32" borderId="52" xfId="0" applyNumberFormat="1" applyFont="1" applyFill="1" applyBorder="1" applyAlignment="1">
      <alignment horizontal="center" vertical="center"/>
    </xf>
    <xf numFmtId="0" fontId="126" fillId="3" borderId="52" xfId="0" applyNumberFormat="1" applyFont="1" applyFill="1" applyBorder="1" applyAlignment="1">
      <alignment horizontal="center" vertical="center"/>
    </xf>
    <xf numFmtId="0" fontId="126" fillId="3" borderId="52" xfId="0" applyNumberFormat="1" applyFont="1" applyFill="1" applyBorder="1" applyAlignment="1" applyProtection="1">
      <alignment horizontal="center" vertical="center"/>
      <protection locked="0"/>
    </xf>
    <xf numFmtId="0" fontId="126" fillId="0" borderId="52" xfId="0" applyNumberFormat="1" applyFont="1" applyFill="1" applyBorder="1" applyAlignment="1">
      <alignment horizontal="center" vertical="center"/>
    </xf>
    <xf numFmtId="0" fontId="76" fillId="0" borderId="52" xfId="0" applyNumberFormat="1" applyFont="1" applyFill="1" applyBorder="1" applyAlignment="1" applyProtection="1">
      <alignment horizontal="center" vertical="center"/>
      <protection locked="0"/>
    </xf>
    <xf numFmtId="0" fontId="76" fillId="3" borderId="132" xfId="0" applyFont="1" applyFill="1" applyBorder="1" applyAlignment="1" applyProtection="1">
      <alignment horizontal="left" vertical="center"/>
      <protection locked="0"/>
    </xf>
    <xf numFmtId="0" fontId="76" fillId="3" borderId="70" xfId="0" applyFont="1" applyFill="1" applyBorder="1" applyAlignment="1" applyProtection="1">
      <alignment horizontal="left" vertical="center"/>
      <protection locked="0"/>
    </xf>
    <xf numFmtId="49" fontId="76" fillId="3" borderId="70" xfId="0" applyNumberFormat="1" applyFont="1" applyFill="1" applyBorder="1" applyAlignment="1" applyProtection="1">
      <alignment horizontal="center" vertical="center"/>
      <protection locked="0"/>
    </xf>
    <xf numFmtId="189" fontId="131" fillId="0" borderId="0" xfId="0" applyNumberFormat="1" applyFont="1" applyFill="1" applyAlignment="1">
      <alignment horizontal="center" vertical="center"/>
    </xf>
    <xf numFmtId="188" fontId="108" fillId="63" borderId="137" xfId="0" applyNumberFormat="1" applyFont="1" applyFill="1" applyBorder="1" applyAlignment="1">
      <alignment horizontal="center" vertical="center" wrapText="1"/>
    </xf>
    <xf numFmtId="188" fontId="108" fillId="63" borderId="5" xfId="0" applyNumberFormat="1" applyFont="1" applyFill="1" applyBorder="1" applyAlignment="1">
      <alignment horizontal="center" vertical="center" wrapText="1"/>
    </xf>
    <xf numFmtId="0" fontId="108" fillId="3" borderId="138" xfId="0" applyFont="1" applyFill="1" applyBorder="1" applyAlignment="1">
      <alignment horizontal="center" vertical="center" wrapText="1"/>
    </xf>
    <xf numFmtId="0" fontId="108" fillId="3" borderId="5" xfId="0" applyFont="1" applyFill="1" applyBorder="1" applyAlignment="1">
      <alignment horizontal="right" vertical="center"/>
    </xf>
    <xf numFmtId="188" fontId="108" fillId="3" borderId="5" xfId="0" applyNumberFormat="1" applyFont="1" applyFill="1" applyBorder="1" applyAlignment="1">
      <alignment horizontal="left" vertical="center"/>
    </xf>
    <xf numFmtId="0" fontId="129" fillId="48" borderId="101" xfId="0" applyFont="1" applyFill="1" applyBorder="1" applyAlignment="1" applyProtection="1">
      <alignment horizontal="center" vertical="center"/>
      <protection locked="0"/>
    </xf>
    <xf numFmtId="0" fontId="129" fillId="48" borderId="28" xfId="0" applyFont="1" applyFill="1" applyBorder="1" applyAlignment="1" applyProtection="1">
      <alignment horizontal="center" vertical="center"/>
      <protection locked="0"/>
    </xf>
    <xf numFmtId="0" fontId="108" fillId="3" borderId="139" xfId="0" applyFont="1" applyFill="1" applyBorder="1" applyAlignment="1">
      <alignment horizontal="center" vertical="center" wrapText="1"/>
    </xf>
    <xf numFmtId="0" fontId="108" fillId="3" borderId="28" xfId="0" applyFont="1" applyFill="1" applyBorder="1" applyAlignment="1">
      <alignment horizontal="right" vertical="center"/>
    </xf>
    <xf numFmtId="188" fontId="108" fillId="3" borderId="28" xfId="0" applyNumberFormat="1" applyFont="1" applyFill="1" applyBorder="1" applyAlignment="1">
      <alignment horizontal="left" vertical="center"/>
    </xf>
    <xf numFmtId="188" fontId="7" fillId="3" borderId="139" xfId="0" applyNumberFormat="1" applyFont="1" applyFill="1" applyBorder="1" applyAlignment="1">
      <alignment horizontal="center" vertical="center"/>
    </xf>
    <xf numFmtId="188" fontId="7" fillId="3" borderId="28" xfId="0" applyNumberFormat="1" applyFont="1" applyFill="1" applyBorder="1" applyAlignment="1">
      <alignment horizontal="center" vertical="center"/>
    </xf>
    <xf numFmtId="190" fontId="7" fillId="3" borderId="101" xfId="0" applyNumberFormat="1" applyFont="1" applyFill="1" applyBorder="1" applyAlignment="1">
      <alignment horizontal="center" vertical="center"/>
    </xf>
    <xf numFmtId="0" fontId="132" fillId="32" borderId="72" xfId="0" applyFont="1" applyFill="1" applyBorder="1" applyAlignment="1">
      <alignment horizontal="center" vertical="center"/>
    </xf>
    <xf numFmtId="0" fontId="133" fillId="32" borderId="72" xfId="0" applyFont="1" applyFill="1" applyBorder="1" applyAlignment="1">
      <alignment horizontal="center" vertical="center"/>
    </xf>
    <xf numFmtId="0" fontId="6" fillId="3" borderId="3" xfId="0" applyNumberFormat="1" applyFont="1" applyFill="1" applyBorder="1" applyAlignment="1" applyProtection="1">
      <alignment horizontal="center" vertical="center"/>
      <protection locked="0"/>
    </xf>
    <xf numFmtId="0" fontId="132" fillId="3" borderId="3" xfId="0" applyNumberFormat="1" applyFont="1" applyFill="1" applyBorder="1" applyAlignment="1" applyProtection="1">
      <alignment horizontal="center" vertical="center"/>
      <protection locked="0"/>
    </xf>
    <xf numFmtId="0" fontId="133" fillId="3" borderId="3" xfId="0" applyNumberFormat="1" applyFont="1" applyFill="1" applyBorder="1" applyAlignment="1" applyProtection="1">
      <alignment horizontal="center" vertical="center"/>
      <protection locked="0"/>
    </xf>
    <xf numFmtId="0" fontId="6" fillId="32" borderId="3" xfId="0" applyNumberFormat="1" applyFont="1" applyFill="1" applyBorder="1" applyAlignment="1">
      <alignment horizontal="center" vertical="center"/>
    </xf>
    <xf numFmtId="0" fontId="6" fillId="32" borderId="3" xfId="0" applyNumberFormat="1" applyFont="1" applyFill="1" applyBorder="1" applyAlignment="1" applyProtection="1">
      <alignment horizontal="center" vertical="center"/>
      <protection locked="0"/>
    </xf>
    <xf numFmtId="0" fontId="132" fillId="32" borderId="3" xfId="0" applyNumberFormat="1" applyFont="1" applyFill="1" applyBorder="1" applyAlignment="1" applyProtection="1">
      <alignment horizontal="center" vertical="center"/>
      <protection locked="0"/>
    </xf>
    <xf numFmtId="0" fontId="133" fillId="32" borderId="3" xfId="0" applyNumberFormat="1" applyFont="1" applyFill="1" applyBorder="1" applyAlignment="1">
      <alignment horizontal="center" vertical="center"/>
    </xf>
    <xf numFmtId="0" fontId="132" fillId="3" borderId="3" xfId="0" applyNumberFormat="1" applyFont="1" applyFill="1" applyBorder="1" applyAlignment="1">
      <alignment horizontal="center" vertical="center"/>
    </xf>
    <xf numFmtId="0" fontId="133" fillId="3" borderId="3" xfId="0" applyNumberFormat="1" applyFont="1" applyFill="1" applyBorder="1" applyAlignment="1">
      <alignment horizontal="center" vertical="center"/>
    </xf>
    <xf numFmtId="0" fontId="133" fillId="3" borderId="3" xfId="0" applyNumberFormat="1" applyFont="1" applyFill="1" applyBorder="1" applyAlignment="1" applyProtection="1">
      <alignment horizontal="center" vertical="center" wrapText="1"/>
      <protection locked="0"/>
    </xf>
    <xf numFmtId="177" fontId="6" fillId="3" borderId="3" xfId="0" applyNumberFormat="1" applyFont="1" applyFill="1" applyBorder="1" applyAlignment="1">
      <alignment horizontal="center" vertical="center"/>
    </xf>
    <xf numFmtId="0" fontId="6" fillId="33" borderId="3" xfId="0" applyNumberFormat="1" applyFont="1" applyFill="1" applyBorder="1" applyAlignment="1" applyProtection="1">
      <alignment horizontal="center" vertical="center"/>
      <protection locked="0"/>
    </xf>
    <xf numFmtId="0" fontId="132" fillId="33" borderId="3" xfId="0" applyNumberFormat="1" applyFont="1" applyFill="1" applyBorder="1" applyAlignment="1" applyProtection="1">
      <alignment horizontal="center" vertical="center"/>
      <protection locked="0"/>
    </xf>
    <xf numFmtId="0" fontId="133" fillId="33" borderId="3" xfId="0" applyNumberFormat="1" applyFont="1" applyFill="1" applyBorder="1" applyAlignment="1" applyProtection="1">
      <alignment horizontal="center" vertical="center"/>
      <protection locked="0"/>
    </xf>
    <xf numFmtId="180" fontId="133" fillId="33" borderId="3" xfId="0" applyNumberFormat="1" applyFont="1" applyFill="1" applyBorder="1" applyAlignment="1" applyProtection="1">
      <alignment horizontal="center" vertical="center"/>
      <protection locked="0"/>
    </xf>
    <xf numFmtId="0" fontId="133" fillId="33" borderId="3" xfId="0" applyNumberFormat="1" applyFont="1" applyFill="1" applyBorder="1" applyAlignment="1">
      <alignment horizontal="center" vertical="center"/>
    </xf>
    <xf numFmtId="0" fontId="6" fillId="62" borderId="89" xfId="0" applyNumberFormat="1" applyFont="1" applyFill="1" applyBorder="1" applyAlignment="1">
      <alignment horizontal="center" vertical="center"/>
    </xf>
    <xf numFmtId="0" fontId="6" fillId="62" borderId="89" xfId="0" applyNumberFormat="1" applyFont="1" applyFill="1" applyBorder="1" applyAlignment="1" applyProtection="1">
      <alignment horizontal="center" vertical="center"/>
      <protection locked="0"/>
    </xf>
    <xf numFmtId="0" fontId="132" fillId="62" borderId="89" xfId="0" applyNumberFormat="1" applyFont="1" applyFill="1" applyBorder="1" applyAlignment="1">
      <alignment horizontal="center" vertical="center"/>
    </xf>
    <xf numFmtId="0" fontId="133" fillId="62" borderId="89" xfId="0" applyNumberFormat="1" applyFont="1" applyFill="1" applyBorder="1" applyAlignment="1">
      <alignment horizontal="center" vertical="center"/>
    </xf>
    <xf numFmtId="0" fontId="6" fillId="3" borderId="88" xfId="0" applyNumberFormat="1" applyFont="1" applyFill="1" applyBorder="1" applyAlignment="1" applyProtection="1">
      <alignment horizontal="center" vertical="center"/>
      <protection locked="0"/>
    </xf>
    <xf numFmtId="0" fontId="132" fillId="3" borderId="88" xfId="0" applyNumberFormat="1" applyFont="1" applyFill="1" applyBorder="1" applyAlignment="1" applyProtection="1">
      <alignment horizontal="center" vertical="center"/>
      <protection locked="0"/>
    </xf>
    <xf numFmtId="180" fontId="133" fillId="3" borderId="88" xfId="0" applyNumberFormat="1" applyFont="1" applyFill="1" applyBorder="1" applyAlignment="1" applyProtection="1">
      <alignment horizontal="center" vertical="center"/>
      <protection locked="0"/>
    </xf>
    <xf numFmtId="180" fontId="133" fillId="3" borderId="3" xfId="0" applyNumberFormat="1" applyFont="1" applyFill="1" applyBorder="1" applyAlignment="1" applyProtection="1">
      <alignment horizontal="center" vertical="center"/>
      <protection locked="0"/>
    </xf>
    <xf numFmtId="0" fontId="6" fillId="3" borderId="89" xfId="0" applyNumberFormat="1" applyFont="1" applyFill="1" applyBorder="1" applyAlignment="1" applyProtection="1">
      <alignment horizontal="center" vertical="center"/>
      <protection locked="0"/>
    </xf>
    <xf numFmtId="0" fontId="132" fillId="3" borderId="89" xfId="0" applyNumberFormat="1" applyFont="1" applyFill="1" applyBorder="1" applyAlignment="1" applyProtection="1">
      <alignment horizontal="center" vertical="center"/>
      <protection locked="0"/>
    </xf>
    <xf numFmtId="180" fontId="133" fillId="3" borderId="89" xfId="0" applyNumberFormat="1" applyFont="1" applyFill="1" applyBorder="1" applyAlignment="1" applyProtection="1">
      <alignment horizontal="center" vertical="center"/>
      <protection locked="0"/>
    </xf>
    <xf numFmtId="0" fontId="130" fillId="0" borderId="0" xfId="0" applyNumberFormat="1" applyFont="1" applyFill="1" applyBorder="1" applyAlignment="1">
      <alignment horizontal="left" vertical="top" wrapText="1"/>
    </xf>
    <xf numFmtId="0" fontId="124" fillId="0" borderId="0" xfId="0" applyFont="1" applyFill="1" applyBorder="1" applyAlignment="1">
      <alignment horizontal="center" vertical="center"/>
    </xf>
    <xf numFmtId="0" fontId="125" fillId="61" borderId="56" xfId="0" applyFont="1" applyFill="1" applyBorder="1" applyAlignment="1">
      <alignment horizontal="center" vertical="center"/>
    </xf>
    <xf numFmtId="0" fontId="134" fillId="0" borderId="0" xfId="0" applyFont="1" applyFill="1" applyAlignment="1">
      <alignment horizontal="center" vertical="center"/>
    </xf>
    <xf numFmtId="0" fontId="135" fillId="61" borderId="140" xfId="0" applyFont="1" applyFill="1" applyBorder="1" applyAlignment="1">
      <alignment horizontal="center" vertical="center"/>
    </xf>
    <xf numFmtId="0" fontId="135" fillId="61" borderId="141" xfId="0" applyFont="1" applyFill="1" applyBorder="1" applyAlignment="1">
      <alignment horizontal="center" vertical="center"/>
    </xf>
    <xf numFmtId="178" fontId="46" fillId="32" borderId="141" xfId="0" applyNumberFormat="1" applyFont="1" applyFill="1" applyBorder="1" applyAlignment="1">
      <alignment horizontal="center" vertical="center"/>
    </xf>
    <xf numFmtId="0" fontId="76" fillId="0" borderId="58" xfId="0" applyFont="1" applyFill="1" applyBorder="1" applyAlignment="1" applyProtection="1">
      <alignment horizontal="center" vertical="center"/>
      <protection locked="0"/>
    </xf>
    <xf numFmtId="0" fontId="65" fillId="3" borderId="142" xfId="0" applyFont="1" applyFill="1" applyBorder="1" applyAlignment="1">
      <alignment horizontal="center" vertical="center" wrapText="1"/>
    </xf>
    <xf numFmtId="0" fontId="65" fillId="3" borderId="3" xfId="0" applyFont="1" applyFill="1" applyBorder="1" applyAlignment="1">
      <alignment horizontal="center" vertical="center" wrapText="1"/>
    </xf>
    <xf numFmtId="0" fontId="126" fillId="0" borderId="3" xfId="0" applyFont="1" applyFill="1" applyBorder="1" applyAlignment="1" applyProtection="1">
      <alignment horizontal="center" vertical="center" wrapText="1"/>
      <protection locked="0"/>
    </xf>
    <xf numFmtId="0" fontId="126" fillId="3" borderId="3" xfId="0" applyNumberFormat="1" applyFont="1" applyFill="1" applyBorder="1" applyAlignment="1">
      <alignment horizontal="center" vertical="center"/>
    </xf>
    <xf numFmtId="0" fontId="126" fillId="3" borderId="58" xfId="0" applyNumberFormat="1" applyFont="1" applyFill="1" applyBorder="1" applyAlignment="1" applyProtection="1">
      <alignment horizontal="center" vertical="center"/>
      <protection locked="0"/>
    </xf>
    <xf numFmtId="0" fontId="76" fillId="0" borderId="58" xfId="0" applyNumberFormat="1" applyFont="1" applyFill="1" applyBorder="1" applyAlignment="1" applyProtection="1">
      <alignment horizontal="center" vertical="center"/>
      <protection locked="0"/>
    </xf>
    <xf numFmtId="0" fontId="65" fillId="0" borderId="142" xfId="0" applyFont="1" applyFill="1" applyBorder="1" applyAlignment="1">
      <alignment horizontal="center" vertical="center" wrapText="1"/>
    </xf>
    <xf numFmtId="0" fontId="65" fillId="0" borderId="3" xfId="0" applyFont="1" applyFill="1" applyBorder="1" applyAlignment="1">
      <alignment horizontal="center" vertical="center" wrapText="1"/>
    </xf>
    <xf numFmtId="0" fontId="126" fillId="0" borderId="3" xfId="0" applyNumberFormat="1" applyFont="1" applyFill="1" applyBorder="1" applyAlignment="1">
      <alignment horizontal="center" vertical="center"/>
    </xf>
    <xf numFmtId="0" fontId="76" fillId="3" borderId="58" xfId="0" applyNumberFormat="1" applyFont="1" applyFill="1" applyBorder="1" applyAlignment="1" applyProtection="1">
      <alignment horizontal="center" vertical="center"/>
      <protection locked="0"/>
    </xf>
    <xf numFmtId="49" fontId="76" fillId="3" borderId="71" xfId="0" applyNumberFormat="1" applyFont="1" applyFill="1" applyBorder="1" applyAlignment="1" applyProtection="1">
      <alignment horizontal="center" vertical="center"/>
      <protection locked="0"/>
    </xf>
    <xf numFmtId="0" fontId="65" fillId="3" borderId="143" xfId="0" applyFont="1" applyFill="1" applyBorder="1" applyAlignment="1">
      <alignment horizontal="center" vertical="center" wrapText="1"/>
    </xf>
    <xf numFmtId="0" fontId="65" fillId="3" borderId="144" xfId="0" applyFont="1" applyFill="1" applyBorder="1" applyAlignment="1">
      <alignment horizontal="center" vertical="center" wrapText="1"/>
    </xf>
    <xf numFmtId="0" fontId="126" fillId="0" borderId="144" xfId="0" applyFont="1" applyFill="1" applyBorder="1" applyAlignment="1" applyProtection="1">
      <alignment horizontal="center" vertical="center" wrapText="1"/>
      <protection locked="0"/>
    </xf>
    <xf numFmtId="0" fontId="126" fillId="3" borderId="144" xfId="0" applyNumberFormat="1" applyFont="1" applyFill="1" applyBorder="1" applyAlignment="1">
      <alignment horizontal="center" vertical="center"/>
    </xf>
    <xf numFmtId="191" fontId="131" fillId="0" borderId="28" xfId="0" applyNumberFormat="1" applyFont="1" applyFill="1" applyBorder="1" applyAlignment="1">
      <alignment horizontal="center" vertical="center"/>
    </xf>
    <xf numFmtId="188" fontId="108" fillId="63" borderId="137" xfId="0" applyNumberFormat="1" applyFont="1" applyFill="1" applyBorder="1" applyAlignment="1">
      <alignment horizontal="center" vertical="center"/>
    </xf>
    <xf numFmtId="188" fontId="108" fillId="63" borderId="145" xfId="0" applyNumberFormat="1" applyFont="1" applyFill="1" applyBorder="1" applyAlignment="1">
      <alignment horizontal="center" vertical="center"/>
    </xf>
    <xf numFmtId="0" fontId="108" fillId="3" borderId="146" xfId="0" applyFont="1" applyFill="1" applyBorder="1" applyAlignment="1">
      <alignment horizontal="center" vertical="center" wrapText="1"/>
    </xf>
    <xf numFmtId="0" fontId="108" fillId="3" borderId="0" xfId="0" applyFont="1" applyFill="1" applyAlignment="1">
      <alignment horizontal="center" vertical="center" wrapText="1"/>
    </xf>
    <xf numFmtId="0" fontId="108" fillId="3" borderId="0" xfId="0" applyNumberFormat="1" applyFont="1" applyFill="1" applyAlignment="1">
      <alignment horizontal="right" vertical="center" wrapText="1"/>
    </xf>
    <xf numFmtId="0" fontId="46" fillId="48" borderId="101" xfId="0" applyFont="1" applyFill="1" applyBorder="1" applyAlignment="1" applyProtection="1">
      <alignment horizontal="center" vertical="center"/>
      <protection locked="0"/>
    </xf>
    <xf numFmtId="0" fontId="46" fillId="48" borderId="147" xfId="0" applyFont="1" applyFill="1" applyBorder="1" applyAlignment="1" applyProtection="1">
      <alignment horizontal="center" vertical="center"/>
      <protection locked="0"/>
    </xf>
    <xf numFmtId="0" fontId="108" fillId="3" borderId="28" xfId="0" applyNumberFormat="1" applyFont="1" applyFill="1" applyBorder="1" applyAlignment="1">
      <alignment horizontal="right" vertical="center" wrapText="1"/>
    </xf>
    <xf numFmtId="190" fontId="7" fillId="3" borderId="28" xfId="0" applyNumberFormat="1" applyFont="1" applyFill="1" applyBorder="1" applyAlignment="1">
      <alignment horizontal="center" vertical="center"/>
    </xf>
    <xf numFmtId="177" fontId="7" fillId="3" borderId="28" xfId="0" applyNumberFormat="1" applyFont="1" applyFill="1" applyBorder="1" applyAlignment="1">
      <alignment horizontal="center" vertical="center"/>
    </xf>
    <xf numFmtId="177" fontId="7" fillId="3" borderId="147" xfId="0" applyNumberFormat="1" applyFont="1" applyFill="1" applyBorder="1" applyAlignment="1">
      <alignment horizontal="center" vertical="center"/>
    </xf>
    <xf numFmtId="0" fontId="7" fillId="3" borderId="139"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2" borderId="28" xfId="0" applyNumberFormat="1" applyFont="1" applyFill="1" applyBorder="1" applyAlignment="1" applyProtection="1">
      <alignment horizontal="center" vertical="center" wrapText="1"/>
      <protection locked="0"/>
    </xf>
    <xf numFmtId="0" fontId="6" fillId="32" borderId="148" xfId="0" applyFont="1" applyFill="1" applyBorder="1" applyAlignment="1">
      <alignment horizontal="center" vertical="center"/>
    </xf>
    <xf numFmtId="0" fontId="129" fillId="32" borderId="149" xfId="0" applyFont="1" applyFill="1" applyBorder="1" applyAlignment="1">
      <alignment horizontal="center" vertical="center"/>
    </xf>
    <xf numFmtId="180" fontId="6" fillId="3" borderId="3" xfId="0" applyNumberFormat="1" applyFont="1" applyFill="1" applyBorder="1" applyAlignment="1">
      <alignment horizontal="center" vertical="center"/>
    </xf>
    <xf numFmtId="180" fontId="6" fillId="3" borderId="150" xfId="0" applyNumberFormat="1" applyFont="1" applyFill="1" applyBorder="1" applyAlignment="1">
      <alignment horizontal="center" vertical="center"/>
    </xf>
    <xf numFmtId="0" fontId="6" fillId="3" borderId="142" xfId="0" applyNumberFormat="1" applyFont="1" applyFill="1" applyBorder="1" applyAlignment="1">
      <alignment horizontal="center" vertical="center"/>
    </xf>
    <xf numFmtId="180" fontId="6" fillId="32" borderId="3" xfId="0" applyNumberFormat="1" applyFont="1" applyFill="1" applyBorder="1" applyAlignment="1">
      <alignment horizontal="center" vertical="center"/>
    </xf>
    <xf numFmtId="180" fontId="6" fillId="32" borderId="150" xfId="0" applyNumberFormat="1" applyFont="1" applyFill="1" applyBorder="1" applyAlignment="1">
      <alignment horizontal="center" vertical="center"/>
    </xf>
    <xf numFmtId="0" fontId="6" fillId="33" borderId="142" xfId="0" applyNumberFormat="1" applyFont="1" applyFill="1" applyBorder="1" applyAlignment="1">
      <alignment horizontal="center" vertical="center"/>
    </xf>
    <xf numFmtId="180" fontId="6" fillId="33" borderId="3" xfId="0" applyNumberFormat="1" applyFont="1" applyFill="1" applyBorder="1" applyAlignment="1">
      <alignment horizontal="center" vertical="center"/>
    </xf>
    <xf numFmtId="180" fontId="6" fillId="33" borderId="150" xfId="0" applyNumberFormat="1" applyFont="1" applyFill="1" applyBorder="1" applyAlignment="1">
      <alignment horizontal="center" vertical="center"/>
    </xf>
    <xf numFmtId="180" fontId="6" fillId="62" borderId="89" xfId="0" applyNumberFormat="1" applyFont="1" applyFill="1" applyBorder="1" applyAlignment="1">
      <alignment horizontal="center" vertical="center"/>
    </xf>
    <xf numFmtId="180" fontId="6" fillId="62" borderId="151" xfId="0" applyNumberFormat="1" applyFont="1" applyFill="1" applyBorder="1" applyAlignment="1">
      <alignment horizontal="center" vertical="center"/>
    </xf>
    <xf numFmtId="0" fontId="6" fillId="62" borderId="152" xfId="0" applyNumberFormat="1" applyFont="1" applyFill="1" applyBorder="1" applyAlignment="1">
      <alignment horizontal="center" vertical="center"/>
    </xf>
    <xf numFmtId="180" fontId="6" fillId="3" borderId="88" xfId="0" applyNumberFormat="1" applyFont="1" applyFill="1" applyBorder="1" applyAlignment="1">
      <alignment horizontal="center" vertical="center"/>
    </xf>
    <xf numFmtId="180" fontId="6" fillId="3" borderId="64" xfId="0" applyNumberFormat="1" applyFont="1" applyFill="1" applyBorder="1" applyAlignment="1">
      <alignment horizontal="center" vertical="center"/>
    </xf>
    <xf numFmtId="0" fontId="6" fillId="3" borderId="153" xfId="0" applyNumberFormat="1" applyFont="1" applyFill="1" applyBorder="1" applyAlignment="1">
      <alignment horizontal="center" vertical="center"/>
    </xf>
    <xf numFmtId="180" fontId="6" fillId="3" borderId="62" xfId="0" applyNumberFormat="1" applyFont="1" applyFill="1" applyBorder="1" applyAlignment="1">
      <alignment horizontal="center" vertical="center"/>
    </xf>
    <xf numFmtId="180" fontId="6" fillId="3" borderId="89" xfId="0" applyNumberFormat="1" applyFont="1" applyFill="1" applyBorder="1" applyAlignment="1">
      <alignment horizontal="center" vertical="center"/>
    </xf>
    <xf numFmtId="180" fontId="6" fillId="3" borderId="66" xfId="0" applyNumberFormat="1" applyFont="1" applyFill="1" applyBorder="1" applyAlignment="1">
      <alignment horizontal="center" vertical="center"/>
    </xf>
    <xf numFmtId="0" fontId="6" fillId="3" borderId="152" xfId="0" applyNumberFormat="1" applyFont="1" applyFill="1" applyBorder="1" applyAlignment="1">
      <alignment horizontal="center" vertical="center"/>
    </xf>
    <xf numFmtId="0" fontId="2" fillId="61" borderId="154" xfId="0" applyFont="1" applyFill="1" applyBorder="1" applyAlignment="1">
      <alignment horizontal="center" vertical="center"/>
    </xf>
    <xf numFmtId="0" fontId="2" fillId="61" borderId="155" xfId="0" applyFont="1" applyFill="1" applyBorder="1" applyAlignment="1">
      <alignment horizontal="center" vertical="center"/>
    </xf>
    <xf numFmtId="0" fontId="2" fillId="61" borderId="156" xfId="0" applyFont="1" applyFill="1" applyBorder="1" applyAlignment="1">
      <alignment horizontal="center" vertical="center"/>
    </xf>
    <xf numFmtId="0" fontId="136" fillId="3" borderId="3" xfId="0" applyFont="1" applyFill="1" applyBorder="1" applyAlignment="1">
      <alignment horizontal="center" vertical="center" wrapText="1"/>
    </xf>
    <xf numFmtId="0" fontId="65" fillId="0" borderId="144" xfId="0" applyFont="1" applyFill="1" applyBorder="1" applyAlignment="1">
      <alignment horizontal="center" vertical="center" wrapText="1"/>
    </xf>
    <xf numFmtId="0" fontId="126" fillId="0" borderId="144" xfId="0" applyNumberFormat="1" applyFont="1" applyFill="1" applyBorder="1" applyAlignment="1">
      <alignment horizontal="center" vertical="center"/>
    </xf>
    <xf numFmtId="0" fontId="136" fillId="3" borderId="144" xfId="0" applyFont="1" applyFill="1" applyBorder="1" applyAlignment="1">
      <alignment horizontal="center" vertical="center" wrapText="1"/>
    </xf>
    <xf numFmtId="191" fontId="131" fillId="0" borderId="0" xfId="0" applyNumberFormat="1" applyFont="1" applyFill="1" applyBorder="1" applyAlignment="1">
      <alignment horizontal="center" vertical="center"/>
    </xf>
    <xf numFmtId="192" fontId="137" fillId="0" borderId="0" xfId="0" applyNumberFormat="1" applyFont="1" applyFill="1" applyBorder="1" applyAlignment="1">
      <alignment horizontal="center" vertical="center"/>
    </xf>
    <xf numFmtId="192" fontId="137" fillId="0" borderId="28" xfId="0" applyNumberFormat="1" applyFont="1" applyFill="1" applyBorder="1" applyAlignment="1">
      <alignment horizontal="center" vertical="center"/>
    </xf>
    <xf numFmtId="184" fontId="108" fillId="3" borderId="5" xfId="0" applyNumberFormat="1" applyFont="1" applyFill="1" applyBorder="1" applyAlignment="1">
      <alignment horizontal="left" vertical="center" wrapText="1"/>
    </xf>
    <xf numFmtId="184" fontId="108" fillId="3" borderId="157" xfId="0" applyNumberFormat="1" applyFont="1" applyFill="1" applyBorder="1" applyAlignment="1">
      <alignment horizontal="left" vertical="center" wrapText="1"/>
    </xf>
    <xf numFmtId="0" fontId="114" fillId="63" borderId="5" xfId="0" applyFont="1" applyFill="1" applyBorder="1" applyAlignment="1">
      <alignment vertical="center" wrapText="1"/>
    </xf>
    <xf numFmtId="0" fontId="114" fillId="63" borderId="158" xfId="0" applyFont="1" applyFill="1" applyBorder="1" applyAlignment="1">
      <alignment vertical="center" wrapText="1"/>
    </xf>
    <xf numFmtId="0" fontId="108" fillId="3" borderId="0" xfId="0" applyFont="1" applyFill="1" applyBorder="1" applyAlignment="1">
      <alignment horizontal="center" vertical="center" wrapText="1"/>
    </xf>
    <xf numFmtId="184" fontId="108" fillId="3" borderId="28" xfId="0" applyNumberFormat="1" applyFont="1" applyFill="1" applyBorder="1" applyAlignment="1">
      <alignment horizontal="left" vertical="center" wrapText="1"/>
    </xf>
    <xf numFmtId="184" fontId="108" fillId="3" borderId="100" xfId="0" applyNumberFormat="1" applyFont="1" applyFill="1" applyBorder="1" applyAlignment="1">
      <alignment horizontal="left" vertical="center" wrapText="1"/>
    </xf>
    <xf numFmtId="0" fontId="108" fillId="3" borderId="28" xfId="0" applyFont="1" applyFill="1" applyBorder="1" applyAlignment="1" applyProtection="1">
      <alignment horizontal="center" vertical="center" wrapText="1"/>
      <protection locked="0"/>
    </xf>
    <xf numFmtId="0" fontId="108" fillId="3" borderId="159" xfId="0" applyFont="1" applyFill="1" applyBorder="1" applyAlignment="1" applyProtection="1">
      <alignment horizontal="center" vertical="center" wrapText="1"/>
      <protection locked="0"/>
    </xf>
    <xf numFmtId="0" fontId="7" fillId="32" borderId="159" xfId="0" applyNumberFormat="1" applyFont="1" applyFill="1" applyBorder="1" applyAlignment="1" applyProtection="1">
      <alignment horizontal="center" vertical="center" wrapText="1"/>
      <protection locked="0"/>
    </xf>
    <xf numFmtId="0" fontId="54" fillId="3" borderId="28" xfId="0" applyNumberFormat="1" applyFont="1" applyFill="1" applyBorder="1" applyAlignment="1">
      <alignment horizontal="center" vertical="center"/>
    </xf>
    <xf numFmtId="0" fontId="46" fillId="32" borderId="28" xfId="0" applyNumberFormat="1" applyFont="1" applyFill="1" applyBorder="1" applyAlignment="1" applyProtection="1">
      <alignment horizontal="center" vertical="center"/>
      <protection locked="0"/>
    </xf>
    <xf numFmtId="0" fontId="46" fillId="32" borderId="100" xfId="0" applyNumberFormat="1" applyFont="1" applyFill="1" applyBorder="1" applyAlignment="1" applyProtection="1">
      <alignment horizontal="center" vertical="center"/>
      <protection locked="0"/>
    </xf>
    <xf numFmtId="178" fontId="6" fillId="3" borderId="3" xfId="0" applyNumberFormat="1" applyFont="1" applyFill="1" applyBorder="1" applyAlignment="1">
      <alignment horizontal="center" vertical="center" wrapText="1"/>
    </xf>
    <xf numFmtId="178" fontId="6" fillId="3" borderId="3" xfId="0" applyNumberFormat="1" applyFont="1" applyFill="1" applyBorder="1" applyAlignment="1">
      <alignment horizontal="center" vertical="center"/>
    </xf>
    <xf numFmtId="0" fontId="6" fillId="2" borderId="3" xfId="0" applyNumberFormat="1" applyFont="1" applyFill="1" applyBorder="1" applyAlignment="1" applyProtection="1">
      <alignment horizontal="left" vertical="center"/>
      <protection locked="0"/>
    </xf>
    <xf numFmtId="0" fontId="129" fillId="32" borderId="52" xfId="0" applyFont="1" applyFill="1" applyBorder="1" applyAlignment="1">
      <alignment horizontal="center" vertical="center"/>
    </xf>
    <xf numFmtId="178" fontId="138" fillId="64" borderId="141" xfId="0" applyNumberFormat="1" applyFont="1" applyFill="1" applyBorder="1" applyAlignment="1">
      <alignment horizontal="center" vertical="center"/>
    </xf>
    <xf numFmtId="178" fontId="138" fillId="64" borderId="160" xfId="0" applyNumberFormat="1" applyFont="1" applyFill="1" applyBorder="1" applyAlignment="1">
      <alignment horizontal="center" vertical="center"/>
    </xf>
    <xf numFmtId="0" fontId="139" fillId="61" borderId="68" xfId="0" applyFont="1" applyFill="1" applyBorder="1" applyAlignment="1">
      <alignment horizontal="center" vertical="center"/>
    </xf>
    <xf numFmtId="0" fontId="139" fillId="61" borderId="26" xfId="0" applyFont="1" applyFill="1" applyBorder="1" applyAlignment="1">
      <alignment horizontal="center" vertical="center"/>
    </xf>
    <xf numFmtId="0" fontId="126" fillId="3" borderId="150" xfId="0" applyNumberFormat="1" applyFont="1" applyFill="1" applyBorder="1" applyAlignment="1">
      <alignment horizontal="center" vertical="center"/>
    </xf>
    <xf numFmtId="0" fontId="140" fillId="3" borderId="20" xfId="6" applyFill="1" applyBorder="1" applyAlignment="1">
      <alignment horizontal="center" vertical="center"/>
      <protection locked="0"/>
    </xf>
    <xf numFmtId="0" fontId="0" fillId="3" borderId="10"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126" fillId="0" borderId="150" xfId="0" applyNumberFormat="1" applyFont="1" applyFill="1" applyBorder="1" applyAlignment="1">
      <alignment horizontal="center" vertical="center"/>
    </xf>
    <xf numFmtId="0" fontId="141" fillId="0" borderId="3" xfId="0" applyFont="1" applyFill="1" applyBorder="1" applyAlignment="1" applyProtection="1">
      <alignment horizontal="center" vertical="center" wrapText="1"/>
      <protection locked="0"/>
    </xf>
    <xf numFmtId="0" fontId="141" fillId="3" borderId="3" xfId="0" applyNumberFormat="1" applyFont="1" applyFill="1" applyBorder="1" applyAlignment="1">
      <alignment horizontal="center" vertical="center"/>
    </xf>
    <xf numFmtId="0" fontId="141" fillId="3" borderId="150" xfId="0" applyNumberFormat="1" applyFont="1" applyFill="1" applyBorder="1" applyAlignment="1">
      <alignment horizontal="center" vertical="center"/>
    </xf>
    <xf numFmtId="0" fontId="141" fillId="0" borderId="144" xfId="0" applyFont="1" applyFill="1" applyBorder="1" applyAlignment="1" applyProtection="1">
      <alignment horizontal="center" vertical="center" wrapText="1"/>
      <protection locked="0"/>
    </xf>
    <xf numFmtId="0" fontId="141" fillId="3" borderId="144" xfId="0" applyNumberFormat="1" applyFont="1" applyFill="1" applyBorder="1" applyAlignment="1">
      <alignment horizontal="center" vertical="center"/>
    </xf>
    <xf numFmtId="0" fontId="141" fillId="3" borderId="161" xfId="0" applyNumberFormat="1" applyFont="1" applyFill="1" applyBorder="1" applyAlignment="1">
      <alignment horizontal="center" vertical="center"/>
    </xf>
    <xf numFmtId="0" fontId="0" fillId="3" borderId="22"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73" fillId="0" borderId="28" xfId="0" applyFont="1" applyFill="1" applyBorder="1" applyAlignment="1">
      <alignment horizontal="center" vertical="center"/>
    </xf>
    <xf numFmtId="193" fontId="131" fillId="0" borderId="28" xfId="0" applyNumberFormat="1" applyFont="1" applyFill="1" applyBorder="1" applyAlignment="1">
      <alignment horizontal="center" vertical="center"/>
    </xf>
    <xf numFmtId="194" fontId="108" fillId="63" borderId="99" xfId="0" applyNumberFormat="1" applyFont="1" applyFill="1" applyBorder="1" applyAlignment="1">
      <alignment horizontal="center" vertical="center"/>
    </xf>
    <xf numFmtId="194" fontId="108" fillId="63" borderId="0" xfId="0" applyNumberFormat="1" applyFont="1" applyFill="1" applyAlignment="1">
      <alignment horizontal="center" vertical="center"/>
    </xf>
    <xf numFmtId="194" fontId="108" fillId="3" borderId="101" xfId="0" applyNumberFormat="1" applyFont="1" applyFill="1" applyBorder="1" applyAlignment="1" applyProtection="1">
      <alignment horizontal="center" vertical="center"/>
      <protection locked="0"/>
    </xf>
    <xf numFmtId="194" fontId="108" fillId="3" borderId="28" xfId="0" applyNumberFormat="1" applyFont="1" applyFill="1" applyBorder="1" applyAlignment="1" applyProtection="1">
      <alignment horizontal="center" vertical="center"/>
      <protection locked="0"/>
    </xf>
    <xf numFmtId="0" fontId="7" fillId="3" borderId="139" xfId="0" applyNumberFormat="1" applyFont="1" applyFill="1" applyBorder="1" applyAlignment="1">
      <alignment horizontal="center" vertical="center"/>
    </xf>
    <xf numFmtId="0" fontId="45" fillId="32" borderId="82" xfId="0" applyNumberFormat="1" applyFont="1" applyFill="1" applyBorder="1" applyAlignment="1" applyProtection="1">
      <alignment horizontal="center" vertical="center"/>
      <protection locked="0"/>
    </xf>
    <xf numFmtId="0" fontId="142" fillId="3" borderId="3" xfId="0" applyNumberFormat="1" applyFont="1" applyFill="1" applyBorder="1" applyAlignment="1" applyProtection="1">
      <alignment horizontal="center" vertical="center"/>
      <protection locked="0"/>
    </xf>
    <xf numFmtId="0" fontId="142" fillId="33" borderId="3" xfId="0" applyNumberFormat="1" applyFont="1" applyFill="1" applyBorder="1" applyAlignment="1" applyProtection="1">
      <alignment horizontal="center" vertical="center"/>
      <protection locked="0"/>
    </xf>
    <xf numFmtId="0" fontId="142" fillId="62" borderId="89" xfId="0" applyNumberFormat="1" applyFont="1" applyFill="1" applyBorder="1" applyAlignment="1" applyProtection="1">
      <alignment horizontal="center" vertical="center"/>
      <protection locked="0"/>
    </xf>
    <xf numFmtId="180" fontId="133" fillId="62" borderId="89" xfId="0" applyNumberFormat="1" applyFont="1" applyFill="1" applyBorder="1" applyAlignment="1">
      <alignment horizontal="center" vertical="center"/>
    </xf>
    <xf numFmtId="0" fontId="142" fillId="3" borderId="88" xfId="0" applyNumberFormat="1" applyFont="1" applyFill="1" applyBorder="1" applyAlignment="1" applyProtection="1">
      <alignment horizontal="center" vertical="center"/>
      <protection locked="0"/>
    </xf>
    <xf numFmtId="0" fontId="142" fillId="3" borderId="89" xfId="0" applyNumberFormat="1" applyFont="1" applyFill="1" applyBorder="1" applyAlignment="1" applyProtection="1">
      <alignment horizontal="center" vertical="center"/>
      <protection locked="0"/>
    </xf>
    <xf numFmtId="0" fontId="2" fillId="61" borderId="162" xfId="0" applyFont="1" applyFill="1" applyBorder="1" applyAlignment="1">
      <alignment horizontal="center" vertical="center"/>
    </xf>
    <xf numFmtId="0" fontId="135" fillId="61" borderId="49" xfId="0" applyFont="1" applyFill="1" applyBorder="1" applyAlignment="1">
      <alignment horizontal="center" vertical="center"/>
    </xf>
    <xf numFmtId="0" fontId="135" fillId="61" borderId="50" xfId="0" applyFont="1" applyFill="1" applyBorder="1" applyAlignment="1">
      <alignment horizontal="center" vertical="center"/>
    </xf>
    <xf numFmtId="0" fontId="129" fillId="32" borderId="163" xfId="0" applyFont="1" applyFill="1" applyBorder="1" applyAlignment="1">
      <alignment horizontal="center" vertical="center"/>
    </xf>
    <xf numFmtId="0" fontId="129" fillId="0" borderId="51" xfId="0" applyFont="1" applyFill="1" applyBorder="1" applyAlignment="1">
      <alignment horizontal="center" vertical="center" wrapText="1"/>
    </xf>
    <xf numFmtId="0" fontId="129" fillId="0" borderId="52" xfId="0" applyFont="1" applyFill="1" applyBorder="1" applyAlignment="1">
      <alignment horizontal="center" vertical="center" wrapText="1"/>
    </xf>
    <xf numFmtId="0" fontId="139" fillId="61" borderId="13" xfId="0" applyFont="1" applyFill="1" applyBorder="1" applyAlignment="1">
      <alignment horizontal="center" vertical="center"/>
    </xf>
    <xf numFmtId="0" fontId="2" fillId="61" borderId="3" xfId="0" applyFont="1" applyFill="1" applyBorder="1" applyAlignment="1">
      <alignment horizontal="center" vertical="center"/>
    </xf>
    <xf numFmtId="0" fontId="125" fillId="61" borderId="3" xfId="0" applyFont="1" applyFill="1" applyBorder="1" applyAlignment="1">
      <alignment horizontal="center" vertical="center"/>
    </xf>
    <xf numFmtId="0" fontId="0" fillId="3" borderId="16" xfId="0" applyFill="1" applyBorder="1" applyAlignment="1" applyProtection="1">
      <alignment horizontal="center" vertical="center"/>
      <protection locked="0"/>
    </xf>
    <xf numFmtId="0" fontId="71" fillId="32" borderId="3" xfId="0" applyFont="1" applyFill="1" applyBorder="1" applyAlignment="1">
      <alignment horizontal="center" vertical="center" wrapText="1"/>
    </xf>
    <xf numFmtId="0" fontId="0" fillId="3" borderId="17" xfId="0" applyFill="1" applyBorder="1" applyAlignment="1" applyProtection="1">
      <alignment horizontal="center" vertical="center"/>
      <protection locked="0"/>
    </xf>
    <xf numFmtId="0" fontId="71" fillId="33" borderId="3" xfId="0" applyFont="1" applyFill="1" applyBorder="1" applyAlignment="1">
      <alignment horizontal="center" vertical="center" wrapText="1"/>
    </xf>
    <xf numFmtId="0" fontId="71" fillId="3" borderId="3" xfId="0" applyFont="1" applyFill="1" applyBorder="1" applyAlignment="1">
      <alignment horizontal="center" vertical="center" wrapText="1"/>
    </xf>
    <xf numFmtId="0" fontId="0" fillId="3" borderId="19" xfId="0" applyFill="1" applyBorder="1" applyAlignment="1" applyProtection="1">
      <alignment horizontal="center" vertical="center"/>
      <protection locked="0"/>
    </xf>
    <xf numFmtId="193" fontId="131" fillId="0" borderId="0" xfId="0" applyNumberFormat="1" applyFont="1" applyFill="1" applyBorder="1" applyAlignment="1">
      <alignment horizontal="center" vertical="center"/>
    </xf>
    <xf numFmtId="0" fontId="19" fillId="0" borderId="3" xfId="0" applyFont="1" applyBorder="1">
      <alignment vertical="center"/>
    </xf>
    <xf numFmtId="0" fontId="108" fillId="3" borderId="157" xfId="0" applyFont="1" applyFill="1" applyBorder="1" applyAlignment="1">
      <alignment horizontal="center" vertical="center" wrapText="1"/>
    </xf>
    <xf numFmtId="0" fontId="108" fillId="63" borderId="5" xfId="0" applyFont="1" applyFill="1" applyBorder="1" applyAlignment="1">
      <alignment horizontal="center" vertical="center" wrapText="1"/>
    </xf>
    <xf numFmtId="0" fontId="108" fillId="63" borderId="11" xfId="0" applyFont="1" applyFill="1" applyBorder="1" applyAlignment="1">
      <alignment horizontal="center" vertical="center" wrapText="1"/>
    </xf>
    <xf numFmtId="0" fontId="108" fillId="3" borderId="98" xfId="0" applyFont="1" applyFill="1" applyBorder="1" applyAlignment="1">
      <alignment horizontal="center" vertical="center" wrapText="1"/>
    </xf>
    <xf numFmtId="195" fontId="108" fillId="3" borderId="0" xfId="0" applyNumberFormat="1" applyFont="1" applyFill="1" applyAlignment="1" applyProtection="1">
      <alignment horizontal="center" vertical="center" wrapText="1"/>
      <protection locked="0"/>
    </xf>
    <xf numFmtId="195" fontId="108" fillId="3" borderId="12" xfId="0" applyNumberFormat="1" applyFont="1" applyFill="1" applyBorder="1" applyAlignment="1" applyProtection="1">
      <alignment horizontal="center" vertical="center" wrapText="1"/>
      <protection locked="0"/>
    </xf>
    <xf numFmtId="0" fontId="45" fillId="32" borderId="83" xfId="0" applyNumberFormat="1" applyFont="1" applyFill="1" applyBorder="1" applyAlignment="1" applyProtection="1">
      <alignment horizontal="center" vertical="center"/>
      <protection locked="0"/>
    </xf>
    <xf numFmtId="0" fontId="0" fillId="0" borderId="0" xfId="0" applyBorder="1">
      <alignment vertical="center"/>
    </xf>
    <xf numFmtId="0" fontId="0" fillId="0" borderId="3" xfId="0" applyBorder="1">
      <alignment vertical="center"/>
    </xf>
    <xf numFmtId="0" fontId="2" fillId="61" borderId="11" xfId="0" applyFont="1" applyFill="1" applyBorder="1" applyAlignment="1">
      <alignment horizontal="center" vertical="center"/>
    </xf>
    <xf numFmtId="0" fontId="19" fillId="0" borderId="3" xfId="0" applyFont="1" applyFill="1" applyBorder="1">
      <alignment vertical="center"/>
    </xf>
    <xf numFmtId="0" fontId="6" fillId="32" borderId="164" xfId="0" applyFont="1" applyFill="1" applyBorder="1" applyAlignment="1">
      <alignment horizontal="center" vertical="center"/>
    </xf>
    <xf numFmtId="0" fontId="44" fillId="33" borderId="3" xfId="0" applyFont="1" applyFill="1" applyBorder="1" applyAlignment="1">
      <alignment horizontal="center" vertical="center"/>
    </xf>
    <xf numFmtId="178" fontId="143" fillId="3" borderId="3" xfId="0" applyNumberFormat="1" applyFont="1" applyFill="1" applyBorder="1" applyAlignment="1">
      <alignment horizontal="center" vertical="center"/>
    </xf>
    <xf numFmtId="178" fontId="144" fillId="3" borderId="3" xfId="0" applyNumberFormat="1" applyFont="1" applyFill="1" applyBorder="1" applyAlignment="1">
      <alignment horizontal="center" vertical="center"/>
    </xf>
    <xf numFmtId="0" fontId="145" fillId="3" borderId="3" xfId="0" applyFont="1" applyFill="1" applyBorder="1" applyAlignment="1">
      <alignment horizontal="center" vertical="center"/>
    </xf>
    <xf numFmtId="0" fontId="146" fillId="32" borderId="3" xfId="0" applyFont="1" applyFill="1" applyBorder="1" applyAlignment="1">
      <alignment horizontal="center" vertical="center"/>
    </xf>
    <xf numFmtId="0" fontId="62" fillId="3" borderId="3" xfId="0" applyFont="1" applyFill="1" applyBorder="1" applyAlignment="1" applyProtection="1">
      <alignment horizontal="center" vertical="center"/>
      <protection hidden="1"/>
    </xf>
    <xf numFmtId="49" fontId="147" fillId="0" borderId="3" xfId="0" applyNumberFormat="1" applyFont="1" applyFill="1" applyBorder="1" applyAlignment="1">
      <alignment horizontal="center" vertical="center"/>
    </xf>
    <xf numFmtId="49" fontId="147" fillId="0" borderId="3" xfId="0" applyNumberFormat="1" applyFont="1" applyFill="1" applyBorder="1" applyAlignment="1" applyProtection="1">
      <alignment horizontal="center" vertical="center"/>
      <protection locked="0"/>
    </xf>
    <xf numFmtId="0" fontId="62" fillId="3" borderId="3" xfId="0" applyFont="1" applyFill="1" applyBorder="1" applyAlignment="1" applyProtection="1">
      <alignment horizontal="center" vertical="center"/>
      <protection locked="0" hidden="1"/>
    </xf>
    <xf numFmtId="0" fontId="148" fillId="32" borderId="3" xfId="0" applyFont="1" applyFill="1" applyBorder="1" applyAlignment="1" applyProtection="1">
      <alignment horizontal="center" vertical="center" wrapText="1"/>
      <protection locked="0"/>
    </xf>
    <xf numFmtId="0" fontId="148" fillId="32" borderId="3" xfId="0" applyFont="1" applyFill="1" applyBorder="1" applyAlignment="1" applyProtection="1">
      <alignment horizontal="center" vertical="center"/>
      <protection locked="0"/>
    </xf>
    <xf numFmtId="0" fontId="62" fillId="3" borderId="3" xfId="0" applyFont="1" applyFill="1" applyBorder="1" applyAlignment="1" applyProtection="1">
      <alignment horizontal="center" vertical="center" wrapText="1"/>
      <protection locked="0"/>
    </xf>
    <xf numFmtId="0" fontId="62" fillId="3" borderId="3" xfId="0" applyFont="1" applyFill="1" applyBorder="1" applyAlignment="1" applyProtection="1">
      <alignment horizontal="center" vertical="center"/>
      <protection locked="0"/>
    </xf>
    <xf numFmtId="0" fontId="7" fillId="0" borderId="0" xfId="0" applyFont="1" applyFill="1" applyBorder="1">
      <alignment vertical="center"/>
    </xf>
    <xf numFmtId="49" fontId="62" fillId="0" borderId="3" xfId="0" applyNumberFormat="1" applyFont="1" applyFill="1" applyBorder="1" applyAlignment="1" applyProtection="1">
      <alignment horizontal="center" vertical="center"/>
      <protection locked="0"/>
    </xf>
    <xf numFmtId="0" fontId="141" fillId="32" borderId="68" xfId="0" applyFont="1" applyFill="1" applyBorder="1" applyAlignment="1">
      <alignment horizontal="center" vertical="center" wrapText="1"/>
    </xf>
    <xf numFmtId="0" fontId="141" fillId="32" borderId="26" xfId="0" applyFont="1" applyFill="1" applyBorder="1" applyAlignment="1">
      <alignment horizontal="center" vertical="center" wrapText="1"/>
    </xf>
    <xf numFmtId="0" fontId="149" fillId="33" borderId="20" xfId="0" applyFont="1" applyFill="1" applyBorder="1" applyAlignment="1">
      <alignment horizontal="center" vertical="center" wrapText="1"/>
    </xf>
    <xf numFmtId="0" fontId="149" fillId="33" borderId="10" xfId="0" applyFont="1" applyFill="1" applyBorder="1" applyAlignment="1">
      <alignment horizontal="center" vertical="center" wrapText="1"/>
    </xf>
    <xf numFmtId="0" fontId="149" fillId="33" borderId="21" xfId="0" applyFont="1" applyFill="1" applyBorder="1" applyAlignment="1">
      <alignment horizontal="center" vertical="center" wrapText="1"/>
    </xf>
    <xf numFmtId="0" fontId="149" fillId="33" borderId="0" xfId="0" applyFont="1" applyFill="1" applyAlignment="1">
      <alignment horizontal="center" vertical="center" wrapText="1"/>
    </xf>
    <xf numFmtId="0" fontId="149" fillId="33" borderId="0" xfId="0" applyFont="1" applyFill="1" applyBorder="1" applyAlignment="1">
      <alignment horizontal="center" vertical="center" wrapText="1"/>
    </xf>
    <xf numFmtId="0" fontId="2" fillId="61" borderId="72" xfId="0" applyFont="1" applyFill="1" applyBorder="1" applyAlignment="1">
      <alignment horizontal="center" vertical="center"/>
    </xf>
    <xf numFmtId="0" fontId="139" fillId="61" borderId="3" xfId="0" applyFont="1" applyFill="1" applyBorder="1" applyAlignment="1">
      <alignment horizontal="center" vertical="center"/>
    </xf>
    <xf numFmtId="180" fontId="6" fillId="33" borderId="62" xfId="0" applyNumberFormat="1" applyFont="1" applyFill="1" applyBorder="1" applyAlignment="1">
      <alignment horizontal="center" vertical="center"/>
    </xf>
    <xf numFmtId="0" fontId="2" fillId="61" borderId="81" xfId="0" applyFont="1" applyFill="1" applyBorder="1" applyAlignment="1">
      <alignment horizontal="center" vertical="center"/>
    </xf>
    <xf numFmtId="0" fontId="2" fillId="61" borderId="82" xfId="0" applyFont="1" applyFill="1" applyBorder="1" applyAlignment="1">
      <alignment horizontal="center" vertical="center"/>
    </xf>
    <xf numFmtId="0" fontId="149" fillId="33" borderId="4" xfId="0" applyFont="1" applyFill="1" applyBorder="1" applyAlignment="1">
      <alignment horizontal="center" vertical="center" wrapText="1"/>
    </xf>
    <xf numFmtId="0" fontId="149" fillId="33" borderId="5" xfId="0" applyFont="1" applyFill="1" applyBorder="1" applyAlignment="1">
      <alignment horizontal="center" vertical="center" wrapText="1"/>
    </xf>
    <xf numFmtId="0" fontId="149" fillId="33" borderId="6" xfId="0" applyFont="1" applyFill="1" applyBorder="1" applyAlignment="1">
      <alignment horizontal="center" vertical="center" wrapText="1"/>
    </xf>
    <xf numFmtId="0" fontId="0" fillId="3" borderId="81" xfId="0" applyFill="1" applyBorder="1" applyAlignment="1" applyProtection="1">
      <alignment horizontal="center" vertical="center"/>
      <protection locked="0"/>
    </xf>
    <xf numFmtId="0" fontId="0" fillId="3" borderId="82" xfId="0" applyFill="1"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180" fontId="6" fillId="62" borderId="66" xfId="0" applyNumberFormat="1" applyFont="1" applyFill="1" applyBorder="1" applyAlignment="1">
      <alignment horizontal="center" vertical="center"/>
    </xf>
    <xf numFmtId="0" fontId="135" fillId="61" borderId="56" xfId="0" applyFont="1" applyFill="1" applyBorder="1" applyAlignment="1">
      <alignment horizontal="center" vertical="center"/>
    </xf>
    <xf numFmtId="0" fontId="43" fillId="0" borderId="52" xfId="0" applyFont="1" applyFill="1" applyBorder="1" applyAlignment="1">
      <alignment horizontal="center" vertical="center"/>
    </xf>
    <xf numFmtId="0" fontId="43" fillId="0" borderId="58" xfId="0" applyFont="1" applyFill="1" applyBorder="1" applyAlignment="1">
      <alignment horizontal="center" vertical="center"/>
    </xf>
    <xf numFmtId="0" fontId="108" fillId="0" borderId="3" xfId="0" applyFont="1" applyFill="1" applyBorder="1" applyAlignment="1">
      <alignment horizontal="center" vertical="center"/>
    </xf>
    <xf numFmtId="0" fontId="44" fillId="4" borderId="3" xfId="0" applyFont="1" applyFill="1" applyBorder="1" applyAlignment="1" applyProtection="1">
      <alignment horizontal="center" vertical="center"/>
      <protection locked="0"/>
    </xf>
    <xf numFmtId="0" fontId="44" fillId="33" borderId="3" xfId="0" applyFont="1" applyFill="1" applyBorder="1" applyAlignment="1" applyProtection="1">
      <alignment horizontal="center" vertical="center"/>
      <protection locked="0"/>
    </xf>
    <xf numFmtId="0" fontId="150" fillId="65" borderId="3" xfId="0" applyFont="1" applyFill="1" applyBorder="1" applyAlignment="1" applyProtection="1">
      <alignment horizontal="center" vertical="center"/>
      <protection hidden="1"/>
    </xf>
    <xf numFmtId="0" fontId="62" fillId="3" borderId="3" xfId="0" applyFont="1" applyFill="1" applyBorder="1" applyProtection="1">
      <alignment vertical="center"/>
      <protection hidden="1"/>
    </xf>
    <xf numFmtId="0" fontId="62" fillId="54" borderId="3" xfId="0" applyFont="1" applyFill="1" applyBorder="1" applyAlignment="1" applyProtection="1">
      <alignment horizontal="center" vertical="center" wrapText="1"/>
      <protection hidden="1"/>
    </xf>
    <xf numFmtId="0" fontId="62" fillId="54" borderId="3" xfId="0" applyFont="1" applyFill="1" applyBorder="1" applyAlignment="1" applyProtection="1">
      <alignment horizontal="center" vertical="center"/>
      <protection hidden="1"/>
    </xf>
    <xf numFmtId="0" fontId="151" fillId="0" borderId="3" xfId="0" applyNumberFormat="1" applyFont="1" applyFill="1" applyBorder="1" applyAlignment="1" applyProtection="1">
      <alignment horizontal="center" vertical="center"/>
      <protection hidden="1"/>
    </xf>
    <xf numFmtId="177" fontId="151" fillId="0" borderId="3" xfId="0" applyNumberFormat="1" applyFont="1" applyFill="1" applyBorder="1" applyAlignment="1" applyProtection="1">
      <alignment horizontal="center" vertical="center"/>
      <protection hidden="1"/>
    </xf>
    <xf numFmtId="49" fontId="7" fillId="0" borderId="3" xfId="0" applyNumberFormat="1" applyFont="1" applyFill="1" applyBorder="1" applyAlignment="1">
      <alignment horizontal="center" vertical="center"/>
    </xf>
    <xf numFmtId="0" fontId="151" fillId="0" borderId="3" xfId="0" applyNumberFormat="1" applyFont="1" applyFill="1" applyBorder="1" applyAlignment="1" applyProtection="1">
      <alignment horizontal="center" vertical="center"/>
      <protection locked="0" hidden="1"/>
    </xf>
    <xf numFmtId="177" fontId="151" fillId="0" borderId="3" xfId="0" applyNumberFormat="1" applyFont="1" applyFill="1" applyBorder="1" applyAlignment="1" applyProtection="1">
      <alignment horizontal="center" vertical="center"/>
      <protection locked="0" hidden="1"/>
    </xf>
    <xf numFmtId="196" fontId="7" fillId="0" borderId="3" xfId="0" applyNumberFormat="1" applyFont="1" applyFill="1" applyBorder="1" applyAlignment="1" applyProtection="1">
      <alignment horizontal="center" vertical="center"/>
      <protection locked="0"/>
    </xf>
    <xf numFmtId="0" fontId="62" fillId="3" borderId="3" xfId="0" applyFont="1" applyFill="1" applyBorder="1" applyProtection="1">
      <alignment vertical="center"/>
      <protection locked="0" hidden="1"/>
    </xf>
    <xf numFmtId="0" fontId="62" fillId="54" borderId="3" xfId="0" applyFont="1" applyFill="1" applyBorder="1" applyAlignment="1" applyProtection="1">
      <alignment horizontal="center" vertical="center"/>
      <protection locked="0"/>
    </xf>
    <xf numFmtId="49" fontId="108" fillId="0" borderId="3" xfId="0" applyNumberFormat="1" applyFont="1" applyFill="1" applyBorder="1" applyAlignment="1" applyProtection="1">
      <alignment horizontal="left" vertical="top"/>
      <protection locked="0"/>
    </xf>
    <xf numFmtId="0" fontId="141" fillId="32" borderId="13" xfId="0" applyFont="1" applyFill="1" applyBorder="1" applyAlignment="1">
      <alignment horizontal="center" vertical="center" wrapText="1"/>
    </xf>
    <xf numFmtId="0" fontId="81" fillId="63" borderId="68" xfId="0" applyFont="1" applyFill="1" applyBorder="1" applyAlignment="1">
      <alignment horizontal="center" vertical="center" wrapText="1"/>
    </xf>
    <xf numFmtId="0" fontId="81" fillId="63" borderId="26" xfId="0" applyFont="1" applyFill="1" applyBorder="1" applyAlignment="1">
      <alignment horizontal="center" vertical="center" wrapText="1"/>
    </xf>
    <xf numFmtId="0" fontId="149" fillId="33" borderId="16" xfId="0" applyFont="1" applyFill="1" applyBorder="1" applyAlignment="1">
      <alignment horizontal="center" vertical="center" wrapText="1"/>
    </xf>
    <xf numFmtId="0" fontId="152" fillId="3" borderId="20" xfId="0" applyNumberFormat="1" applyFont="1" applyFill="1" applyBorder="1" applyAlignment="1">
      <alignment horizontal="center" vertical="center" wrapText="1"/>
    </xf>
    <xf numFmtId="0" fontId="152" fillId="3" borderId="10" xfId="0" applyNumberFormat="1" applyFont="1" applyFill="1" applyBorder="1" applyAlignment="1">
      <alignment horizontal="center" vertical="center" wrapText="1"/>
    </xf>
    <xf numFmtId="0" fontId="149" fillId="33" borderId="17" xfId="0" applyFont="1" applyFill="1" applyBorder="1" applyAlignment="1">
      <alignment horizontal="center" vertical="center" wrapText="1"/>
    </xf>
    <xf numFmtId="0" fontId="152" fillId="3" borderId="21" xfId="0" applyNumberFormat="1" applyFont="1" applyFill="1" applyBorder="1" applyAlignment="1">
      <alignment horizontal="center" vertical="center" wrapText="1"/>
    </xf>
    <xf numFmtId="0" fontId="152" fillId="3" borderId="0" xfId="0" applyNumberFormat="1" applyFont="1" applyFill="1" applyAlignment="1">
      <alignment horizontal="center" vertical="center" wrapText="1"/>
    </xf>
    <xf numFmtId="0" fontId="152" fillId="3" borderId="0" xfId="0" applyNumberFormat="1" applyFont="1" applyFill="1" applyBorder="1" applyAlignment="1">
      <alignment horizontal="center" vertical="center" wrapText="1"/>
    </xf>
    <xf numFmtId="0" fontId="127" fillId="3" borderId="3" xfId="0" applyFont="1" applyFill="1" applyBorder="1" applyAlignment="1">
      <alignment horizontal="center" vertical="center"/>
    </xf>
    <xf numFmtId="0" fontId="153" fillId="33" borderId="3" xfId="0" applyFont="1" applyFill="1" applyBorder="1" applyAlignment="1">
      <alignment horizontal="left" vertical="top"/>
    </xf>
    <xf numFmtId="0" fontId="133" fillId="3" borderId="3" xfId="0" applyFont="1" applyFill="1" applyBorder="1" applyAlignment="1">
      <alignment horizontal="center" vertical="center"/>
    </xf>
    <xf numFmtId="0" fontId="154" fillId="33" borderId="3" xfId="0" applyFont="1" applyFill="1" applyBorder="1" applyAlignment="1">
      <alignment horizontal="left" vertical="top"/>
    </xf>
    <xf numFmtId="0" fontId="155" fillId="3" borderId="3" xfId="0" applyFont="1" applyFill="1" applyBorder="1" applyAlignment="1">
      <alignment horizontal="center" vertical="center"/>
    </xf>
    <xf numFmtId="0" fontId="156" fillId="33" borderId="3" xfId="0" applyFont="1" applyFill="1" applyBorder="1" applyAlignment="1">
      <alignment horizontal="left" vertical="top"/>
    </xf>
    <xf numFmtId="0" fontId="130" fillId="3" borderId="3" xfId="0" applyFont="1" applyFill="1" applyBorder="1" applyAlignment="1">
      <alignment horizontal="center" vertical="center"/>
    </xf>
    <xf numFmtId="0" fontId="157" fillId="60" borderId="3" xfId="0" applyFont="1" applyFill="1" applyBorder="1" applyAlignment="1">
      <alignment horizontal="left" vertical="center"/>
    </xf>
    <xf numFmtId="0" fontId="0" fillId="3" borderId="83" xfId="0" applyFill="1"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71" fillId="32" borderId="3" xfId="0" applyNumberFormat="1" applyFont="1" applyFill="1" applyBorder="1" applyAlignment="1">
      <alignment horizontal="center" vertical="center" wrapText="1"/>
    </xf>
    <xf numFmtId="0" fontId="158" fillId="45" borderId="3" xfId="0" applyFont="1" applyFill="1" applyBorder="1" applyAlignment="1" applyProtection="1">
      <alignment horizontal="center" vertical="center"/>
      <protection hidden="1"/>
    </xf>
    <xf numFmtId="0" fontId="108" fillId="66" borderId="3" xfId="0" applyFont="1" applyFill="1" applyBorder="1" applyAlignment="1" applyProtection="1">
      <alignment horizontal="center" vertical="center" wrapText="1"/>
      <protection hidden="1"/>
    </xf>
    <xf numFmtId="0" fontId="108" fillId="66" borderId="3" xfId="0" applyFont="1" applyFill="1" applyBorder="1" applyAlignment="1" applyProtection="1">
      <alignment horizontal="center" vertical="center"/>
      <protection hidden="1"/>
    </xf>
    <xf numFmtId="49" fontId="62" fillId="0" borderId="3" xfId="0" applyNumberFormat="1" applyFont="1" applyFill="1" applyBorder="1" applyAlignment="1" applyProtection="1">
      <alignment horizontal="center" vertical="center"/>
      <protection locked="0" hidden="1"/>
    </xf>
    <xf numFmtId="0" fontId="62" fillId="66" borderId="3" xfId="0" applyFont="1" applyFill="1" applyBorder="1" applyAlignment="1" applyProtection="1">
      <alignment horizontal="center" vertical="center"/>
      <protection locked="0"/>
    </xf>
    <xf numFmtId="177" fontId="62" fillId="0" borderId="3" xfId="0" applyNumberFormat="1" applyFont="1" applyFill="1" applyBorder="1" applyAlignment="1" applyProtection="1">
      <alignment horizontal="center" vertical="center"/>
      <protection locked="0" hidden="1"/>
    </xf>
    <xf numFmtId="0" fontId="63" fillId="67" borderId="3" xfId="0" applyFont="1" applyFill="1" applyBorder="1" applyAlignment="1" applyProtection="1">
      <alignment horizontal="center" vertical="center" wrapText="1"/>
      <protection locked="0"/>
    </xf>
    <xf numFmtId="0" fontId="63" fillId="67" borderId="3" xfId="0" applyFont="1" applyFill="1" applyBorder="1" applyAlignment="1" applyProtection="1">
      <alignment horizontal="center" vertical="center"/>
      <protection locked="0"/>
    </xf>
    <xf numFmtId="0" fontId="62" fillId="68" borderId="3" xfId="0" applyFont="1" applyFill="1" applyBorder="1" applyAlignment="1" applyProtection="1">
      <alignment horizontal="center" vertical="center"/>
      <protection locked="0"/>
    </xf>
    <xf numFmtId="0" fontId="159" fillId="48" borderId="3" xfId="0" applyNumberFormat="1" applyFont="1" applyFill="1" applyBorder="1" applyAlignment="1">
      <alignment horizontal="center" vertical="center" wrapText="1"/>
    </xf>
    <xf numFmtId="0" fontId="159" fillId="69" borderId="3" xfId="0" applyNumberFormat="1" applyFont="1" applyFill="1" applyBorder="1" applyAlignment="1">
      <alignment horizontal="center" vertical="center" wrapText="1"/>
    </xf>
    <xf numFmtId="0" fontId="159" fillId="48" borderId="1" xfId="0" applyNumberFormat="1" applyFont="1" applyFill="1" applyBorder="1" applyAlignment="1">
      <alignment horizontal="center" vertical="center" wrapText="1"/>
    </xf>
    <xf numFmtId="0" fontId="159" fillId="69" borderId="1" xfId="0" applyNumberFormat="1" applyFont="1" applyFill="1" applyBorder="1" applyAlignment="1">
      <alignment horizontal="center" vertical="center" wrapText="1"/>
    </xf>
    <xf numFmtId="177" fontId="45" fillId="3" borderId="82" xfId="0" applyNumberFormat="1" applyFont="1" applyFill="1" applyBorder="1" applyAlignment="1" applyProtection="1">
      <alignment vertical="center" shrinkToFit="1"/>
      <protection locked="0"/>
    </xf>
    <xf numFmtId="177" fontId="45" fillId="3" borderId="24" xfId="0" applyNumberFormat="1" applyFont="1" applyFill="1" applyBorder="1" applyAlignment="1" applyProtection="1">
      <alignment vertical="center" shrinkToFit="1"/>
      <protection locked="0"/>
    </xf>
    <xf numFmtId="177" fontId="45" fillId="0" borderId="165" xfId="0" applyNumberFormat="1" applyFont="1" applyFill="1" applyBorder="1" applyAlignment="1" applyProtection="1">
      <alignment vertical="center" shrinkToFit="1"/>
      <protection locked="0"/>
    </xf>
    <xf numFmtId="177" fontId="45" fillId="0" borderId="24" xfId="0" applyNumberFormat="1" applyFont="1" applyFill="1" applyBorder="1" applyAlignment="1" applyProtection="1">
      <alignment vertical="center" shrinkToFit="1"/>
      <protection locked="0"/>
    </xf>
    <xf numFmtId="177" fontId="45" fillId="3" borderId="22" xfId="0" applyNumberFormat="1" applyFont="1" applyFill="1" applyBorder="1" applyAlignment="1" applyProtection="1">
      <alignment vertical="center" shrinkToFit="1"/>
      <protection locked="0"/>
    </xf>
    <xf numFmtId="177" fontId="45" fillId="3" borderId="166" xfId="0" applyNumberFormat="1" applyFont="1" applyFill="1" applyBorder="1" applyAlignment="1" applyProtection="1">
      <alignment vertical="center" shrinkToFit="1"/>
      <protection locked="0"/>
    </xf>
    <xf numFmtId="177" fontId="45" fillId="0" borderId="22" xfId="0" applyNumberFormat="1" applyFont="1" applyFill="1" applyBorder="1" applyAlignment="1" applyProtection="1">
      <alignment vertical="center" shrinkToFit="1"/>
      <protection locked="0"/>
    </xf>
    <xf numFmtId="177" fontId="45" fillId="0" borderId="166" xfId="0" applyNumberFormat="1" applyFont="1" applyFill="1" applyBorder="1" applyAlignment="1" applyProtection="1">
      <alignment vertical="center" shrinkToFit="1"/>
      <protection locked="0"/>
    </xf>
    <xf numFmtId="177" fontId="45" fillId="3" borderId="68" xfId="0" applyNumberFormat="1" applyFont="1" applyFill="1" applyBorder="1" applyAlignment="1" applyProtection="1">
      <alignment vertical="center" shrinkToFit="1"/>
      <protection locked="0"/>
    </xf>
    <xf numFmtId="177" fontId="45" fillId="3" borderId="110" xfId="0" applyNumberFormat="1" applyFont="1" applyFill="1" applyBorder="1" applyAlignment="1" applyProtection="1">
      <alignment vertical="center" shrinkToFit="1"/>
      <protection locked="0"/>
    </xf>
    <xf numFmtId="0" fontId="81" fillId="63" borderId="13" xfId="0" applyFont="1" applyFill="1" applyBorder="1" applyAlignment="1">
      <alignment horizontal="center" vertical="center" wrapText="1"/>
    </xf>
    <xf numFmtId="0" fontId="152" fillId="3" borderId="16" xfId="0" applyNumberFormat="1" applyFont="1" applyFill="1" applyBorder="1" applyAlignment="1">
      <alignment horizontal="center" vertical="center" wrapText="1"/>
    </xf>
    <xf numFmtId="0" fontId="152" fillId="3" borderId="17" xfId="0" applyNumberFormat="1" applyFont="1" applyFill="1" applyBorder="1" applyAlignment="1">
      <alignment horizontal="center" vertical="center" wrapText="1"/>
    </xf>
    <xf numFmtId="0" fontId="160" fillId="60" borderId="68" xfId="0" applyFont="1" applyFill="1" applyBorder="1" applyAlignment="1">
      <alignment horizontal="center" vertical="center"/>
    </xf>
    <xf numFmtId="0" fontId="160" fillId="60" borderId="26" xfId="0" applyFont="1" applyFill="1" applyBorder="1" applyAlignment="1">
      <alignment horizontal="center" vertical="center"/>
    </xf>
    <xf numFmtId="0" fontId="160" fillId="60" borderId="13" xfId="0" applyFont="1" applyFill="1" applyBorder="1" applyAlignment="1">
      <alignment horizontal="center" vertical="center"/>
    </xf>
    <xf numFmtId="0" fontId="160" fillId="3" borderId="3" xfId="0" applyFont="1" applyFill="1" applyBorder="1" applyAlignment="1">
      <alignment horizontal="center" vertical="center"/>
    </xf>
    <xf numFmtId="0" fontId="161" fillId="70" borderId="3" xfId="0" applyFont="1" applyFill="1" applyBorder="1" applyAlignment="1">
      <alignment horizontal="center" vertical="center"/>
    </xf>
    <xf numFmtId="0" fontId="161" fillId="63" borderId="3" xfId="0" applyFont="1" applyFill="1" applyBorder="1" applyAlignment="1">
      <alignment horizontal="center" vertical="center"/>
    </xf>
    <xf numFmtId="177" fontId="45" fillId="3" borderId="167" xfId="0" applyNumberFormat="1" applyFont="1" applyFill="1" applyBorder="1" applyAlignment="1" applyProtection="1">
      <alignment vertical="center" shrinkToFit="1"/>
      <protection locked="0"/>
    </xf>
    <xf numFmtId="177" fontId="45" fillId="3" borderId="168" xfId="0" applyNumberFormat="1" applyFont="1" applyFill="1" applyBorder="1" applyAlignment="1" applyProtection="1">
      <alignment vertical="center" shrinkToFit="1"/>
      <protection locked="0"/>
    </xf>
    <xf numFmtId="177" fontId="45" fillId="0" borderId="167" xfId="0" applyNumberFormat="1" applyFont="1" applyFill="1" applyBorder="1" applyAlignment="1" applyProtection="1">
      <alignment vertical="center" shrinkToFit="1"/>
      <protection locked="0"/>
    </xf>
    <xf numFmtId="177" fontId="45" fillId="0" borderId="168" xfId="0" applyNumberFormat="1" applyFont="1" applyFill="1" applyBorder="1" applyAlignment="1" applyProtection="1">
      <alignment vertical="center" shrinkToFit="1"/>
      <protection locked="0"/>
    </xf>
    <xf numFmtId="188" fontId="108" fillId="0" borderId="0" xfId="0" applyNumberFormat="1" applyFont="1" applyFill="1" applyBorder="1" applyAlignment="1">
      <alignment vertical="center" wrapText="1"/>
    </xf>
    <xf numFmtId="188" fontId="108" fillId="0" borderId="0" xfId="0" applyNumberFormat="1" applyFont="1" applyFill="1" applyBorder="1">
      <alignment vertical="center"/>
    </xf>
    <xf numFmtId="0" fontId="114" fillId="0" borderId="0" xfId="0" applyFont="1" applyFill="1" applyBorder="1" applyAlignment="1">
      <alignment vertical="center" wrapText="1"/>
    </xf>
    <xf numFmtId="0" fontId="129" fillId="33" borderId="136" xfId="0" applyNumberFormat="1" applyFont="1" applyFill="1" applyBorder="1" applyAlignment="1">
      <alignment horizontal="center" vertical="center"/>
    </xf>
    <xf numFmtId="0" fontId="129" fillId="33" borderId="52" xfId="0" applyNumberFormat="1" applyFont="1" applyFill="1" applyBorder="1" applyAlignment="1">
      <alignment horizontal="center" vertical="center"/>
    </xf>
    <xf numFmtId="0" fontId="129" fillId="0" borderId="136" xfId="0" applyNumberFormat="1" applyFont="1" applyBorder="1" applyAlignment="1" applyProtection="1">
      <alignment horizontal="center" vertical="center"/>
      <protection locked="0"/>
    </xf>
    <xf numFmtId="0" fontId="129" fillId="0" borderId="52" xfId="0" applyNumberFormat="1" applyFont="1" applyBorder="1" applyAlignment="1" applyProtection="1">
      <alignment horizontal="center" vertical="center"/>
      <protection locked="0"/>
    </xf>
    <xf numFmtId="0" fontId="129" fillId="33" borderId="136" xfId="0" applyNumberFormat="1" applyFont="1" applyFill="1" applyBorder="1" applyAlignment="1" applyProtection="1">
      <alignment horizontal="center" vertical="center"/>
      <protection locked="0"/>
    </xf>
    <xf numFmtId="0" fontId="129" fillId="33" borderId="52" xfId="0" applyNumberFormat="1" applyFont="1" applyFill="1" applyBorder="1" applyAlignment="1" applyProtection="1">
      <alignment horizontal="center" vertical="center"/>
      <protection locked="0"/>
    </xf>
    <xf numFmtId="0" fontId="129" fillId="0" borderId="136" xfId="0" applyNumberFormat="1" applyFont="1" applyFill="1" applyBorder="1" applyAlignment="1" applyProtection="1">
      <alignment horizontal="center" vertical="center"/>
      <protection locked="0"/>
    </xf>
    <xf numFmtId="0" fontId="129" fillId="0" borderId="52" xfId="0" applyNumberFormat="1" applyFont="1" applyFill="1" applyBorder="1" applyAlignment="1" applyProtection="1">
      <alignment horizontal="center" vertical="center"/>
      <protection locked="0"/>
    </xf>
    <xf numFmtId="0" fontId="129" fillId="0" borderId="169" xfId="0" applyNumberFormat="1" applyFont="1" applyBorder="1" applyAlignment="1" applyProtection="1">
      <alignment horizontal="center" vertical="center"/>
      <protection locked="0"/>
    </xf>
    <xf numFmtId="0" fontId="129" fillId="0" borderId="170" xfId="0" applyNumberFormat="1" applyFont="1" applyBorder="1" applyAlignment="1" applyProtection="1">
      <alignment horizontal="center" vertical="center"/>
      <protection locked="0"/>
    </xf>
    <xf numFmtId="0" fontId="129" fillId="0" borderId="170" xfId="0" applyNumberFormat="1" applyFont="1" applyFill="1" applyBorder="1" applyAlignment="1" applyProtection="1">
      <alignment horizontal="center" vertical="center"/>
      <protection locked="0"/>
    </xf>
    <xf numFmtId="0" fontId="109" fillId="33" borderId="3" xfId="0" applyFont="1" applyFill="1" applyBorder="1" applyAlignment="1">
      <alignment horizontal="center" vertical="center"/>
    </xf>
    <xf numFmtId="0" fontId="129" fillId="33" borderId="3" xfId="0" applyNumberFormat="1" applyFont="1" applyFill="1" applyBorder="1" applyAlignment="1">
      <alignment horizontal="center" vertical="center"/>
    </xf>
    <xf numFmtId="0" fontId="109" fillId="0" borderId="3" xfId="0" applyFont="1" applyFill="1" applyBorder="1" applyAlignment="1">
      <alignment horizontal="left" vertical="top" wrapText="1"/>
    </xf>
    <xf numFmtId="0" fontId="109" fillId="0" borderId="1" xfId="0" applyFont="1" applyFill="1" applyBorder="1" applyAlignment="1">
      <alignment horizontal="left" vertical="top" wrapText="1"/>
    </xf>
    <xf numFmtId="0" fontId="6" fillId="33" borderId="3" xfId="0" applyFont="1" applyFill="1" applyBorder="1" applyAlignment="1">
      <alignment horizontal="center" vertical="center"/>
    </xf>
    <xf numFmtId="0" fontId="6" fillId="33" borderId="3" xfId="0" applyFont="1" applyFill="1" applyBorder="1" applyAlignment="1">
      <alignment horizontal="center" vertical="center" wrapText="1"/>
    </xf>
    <xf numFmtId="0" fontId="6" fillId="0" borderId="3" xfId="0" applyFont="1" applyFill="1" applyBorder="1" applyAlignment="1" applyProtection="1">
      <alignment horizontal="center" vertical="center" wrapText="1"/>
      <protection locked="0"/>
    </xf>
    <xf numFmtId="0" fontId="108" fillId="0" borderId="3" xfId="0" applyFont="1" applyFill="1" applyBorder="1" applyAlignment="1" applyProtection="1">
      <alignment horizontal="center" vertical="top" wrapText="1"/>
      <protection locked="0"/>
    </xf>
    <xf numFmtId="0" fontId="6" fillId="3" borderId="3" xfId="0" applyFont="1" applyFill="1" applyBorder="1" applyAlignment="1" applyProtection="1">
      <alignment horizontal="center" vertical="center" wrapText="1"/>
      <protection locked="0"/>
    </xf>
    <xf numFmtId="0" fontId="108" fillId="3" borderId="3" xfId="0" applyFont="1" applyFill="1" applyBorder="1" applyAlignment="1" applyProtection="1">
      <alignment horizontal="center" vertical="top" wrapText="1"/>
      <protection locked="0"/>
    </xf>
    <xf numFmtId="0" fontId="127" fillId="0" borderId="171" xfId="0" applyFont="1" applyFill="1" applyBorder="1" applyAlignment="1">
      <alignment horizontal="left" vertical="center"/>
    </xf>
    <xf numFmtId="0" fontId="162" fillId="61" borderId="68" xfId="0" applyFont="1" applyFill="1" applyBorder="1" applyAlignment="1">
      <alignment horizontal="center" vertical="center"/>
    </xf>
    <xf numFmtId="0" fontId="162" fillId="61" borderId="26" xfId="0" applyFont="1" applyFill="1" applyBorder="1" applyAlignment="1">
      <alignment horizontal="center" vertical="center"/>
    </xf>
    <xf numFmtId="0" fontId="43" fillId="33" borderId="68" xfId="0" applyFont="1" applyFill="1" applyBorder="1" applyAlignment="1">
      <alignment horizontal="center" vertical="center"/>
    </xf>
    <xf numFmtId="0" fontId="43" fillId="33" borderId="26" xfId="0" applyFont="1" applyFill="1" applyBorder="1" applyAlignment="1">
      <alignment horizontal="center" vertical="center"/>
    </xf>
    <xf numFmtId="0" fontId="43" fillId="33" borderId="13" xfId="0" applyFont="1" applyFill="1" applyBorder="1" applyAlignment="1">
      <alignment horizontal="center" vertical="center"/>
    </xf>
    <xf numFmtId="0" fontId="127" fillId="3" borderId="68" xfId="0" applyFont="1" applyFill="1" applyBorder="1" applyAlignment="1" applyProtection="1">
      <alignment horizontal="center" vertical="center"/>
      <protection locked="0"/>
    </xf>
    <xf numFmtId="0" fontId="127" fillId="3" borderId="26" xfId="0" applyFont="1" applyFill="1" applyBorder="1" applyAlignment="1" applyProtection="1">
      <alignment horizontal="center" vertical="center"/>
      <protection locked="0"/>
    </xf>
    <xf numFmtId="0" fontId="127" fillId="3" borderId="13" xfId="0" applyFont="1" applyFill="1" applyBorder="1" applyAlignment="1" applyProtection="1">
      <alignment horizontal="center" vertical="center"/>
      <protection locked="0"/>
    </xf>
    <xf numFmtId="0" fontId="45" fillId="3" borderId="68" xfId="0" applyFont="1" applyFill="1" applyBorder="1" applyAlignment="1" applyProtection="1">
      <alignment horizontal="center" vertical="center"/>
      <protection locked="0"/>
    </xf>
    <xf numFmtId="0" fontId="45" fillId="3" borderId="26" xfId="0" applyFont="1" applyFill="1" applyBorder="1" applyAlignment="1" applyProtection="1">
      <alignment horizontal="center" vertical="center"/>
      <protection locked="0"/>
    </xf>
    <xf numFmtId="0" fontId="45" fillId="3" borderId="13" xfId="0" applyFont="1" applyFill="1" applyBorder="1" applyAlignment="1" applyProtection="1">
      <alignment horizontal="center" vertical="center"/>
      <protection locked="0"/>
    </xf>
    <xf numFmtId="0" fontId="163" fillId="3" borderId="68" xfId="0" applyFont="1" applyFill="1" applyBorder="1" applyAlignment="1" applyProtection="1">
      <alignment horizontal="center" vertical="center"/>
      <protection locked="0"/>
    </xf>
    <xf numFmtId="0" fontId="163" fillId="3" borderId="26" xfId="0" applyFont="1" applyFill="1" applyBorder="1" applyAlignment="1" applyProtection="1">
      <alignment horizontal="center" vertical="center"/>
      <protection locked="0"/>
    </xf>
    <xf numFmtId="0" fontId="163" fillId="3" borderId="13" xfId="0" applyFont="1" applyFill="1" applyBorder="1" applyAlignment="1" applyProtection="1">
      <alignment horizontal="center" vertical="center"/>
      <protection locked="0"/>
    </xf>
    <xf numFmtId="0" fontId="2" fillId="61" borderId="172" xfId="0" applyFont="1" applyFill="1" applyBorder="1" applyAlignment="1">
      <alignment horizontal="center" vertical="center"/>
    </xf>
    <xf numFmtId="49" fontId="164" fillId="32" borderId="114" xfId="0" applyNumberFormat="1" applyFont="1" applyFill="1" applyBorder="1" applyAlignment="1">
      <alignment horizontal="center" vertical="top" wrapText="1"/>
    </xf>
    <xf numFmtId="49" fontId="164" fillId="32" borderId="115" xfId="0" applyNumberFormat="1" applyFont="1" applyFill="1" applyBorder="1" applyAlignment="1">
      <alignment horizontal="center" vertical="top" wrapText="1"/>
    </xf>
    <xf numFmtId="49" fontId="108" fillId="3" borderId="6" xfId="0" applyNumberFormat="1" applyFont="1" applyFill="1" applyBorder="1" applyAlignment="1" applyProtection="1">
      <alignment horizontal="center" vertical="center" wrapText="1"/>
      <protection locked="0"/>
    </xf>
    <xf numFmtId="49" fontId="108" fillId="3" borderId="0" xfId="0" applyNumberFormat="1" applyFont="1" applyFill="1" applyBorder="1" applyAlignment="1" applyProtection="1">
      <alignment horizontal="center" vertical="center" wrapText="1"/>
      <protection locked="0"/>
    </xf>
    <xf numFmtId="49" fontId="108" fillId="33" borderId="6" xfId="0" applyNumberFormat="1" applyFont="1" applyFill="1" applyBorder="1" applyAlignment="1" applyProtection="1">
      <alignment horizontal="center" vertical="center" wrapText="1"/>
      <protection locked="0"/>
    </xf>
    <xf numFmtId="49" fontId="108" fillId="33" borderId="0" xfId="0" applyNumberFormat="1" applyFont="1" applyFill="1" applyBorder="1" applyAlignment="1" applyProtection="1">
      <alignment horizontal="center" vertical="center" wrapText="1"/>
      <protection locked="0"/>
    </xf>
    <xf numFmtId="49" fontId="45" fillId="3" borderId="49" xfId="0" applyNumberFormat="1" applyFont="1" applyFill="1" applyBorder="1" applyAlignment="1" applyProtection="1">
      <alignment horizontal="center" vertical="center" wrapText="1"/>
      <protection locked="0"/>
    </xf>
    <xf numFmtId="49" fontId="45" fillId="3" borderId="50" xfId="0" applyNumberFormat="1" applyFont="1" applyFill="1" applyBorder="1" applyAlignment="1" applyProtection="1">
      <alignment horizontal="center" vertical="center" wrapText="1"/>
      <protection locked="0"/>
    </xf>
    <xf numFmtId="49" fontId="45" fillId="3" borderId="56" xfId="0" applyNumberFormat="1" applyFont="1" applyFill="1" applyBorder="1" applyAlignment="1" applyProtection="1">
      <alignment horizontal="center" vertical="center" wrapText="1"/>
      <protection locked="0"/>
    </xf>
    <xf numFmtId="49" fontId="71" fillId="32" borderId="49" xfId="0" applyNumberFormat="1" applyFont="1" applyFill="1" applyBorder="1" applyAlignment="1" applyProtection="1">
      <alignment horizontal="center" vertical="center" wrapText="1"/>
      <protection locked="0"/>
    </xf>
    <xf numFmtId="49" fontId="71" fillId="32" borderId="50" xfId="0" applyNumberFormat="1" applyFont="1" applyFill="1" applyBorder="1" applyAlignment="1" applyProtection="1">
      <alignment horizontal="center" vertical="center" wrapText="1"/>
      <protection locked="0"/>
    </xf>
    <xf numFmtId="49" fontId="45" fillId="3" borderId="51" xfId="0" applyNumberFormat="1" applyFont="1" applyFill="1" applyBorder="1" applyAlignment="1" applyProtection="1">
      <alignment horizontal="center" vertical="center" wrapText="1"/>
      <protection locked="0"/>
    </xf>
    <xf numFmtId="49" fontId="45" fillId="3" borderId="52" xfId="0" applyNumberFormat="1" applyFont="1" applyFill="1" applyBorder="1" applyAlignment="1" applyProtection="1">
      <alignment horizontal="center" vertical="center" wrapText="1"/>
      <protection locked="0"/>
    </xf>
    <xf numFmtId="49" fontId="45" fillId="3" borderId="58" xfId="0" applyNumberFormat="1" applyFont="1" applyFill="1" applyBorder="1" applyAlignment="1" applyProtection="1">
      <alignment horizontal="center" vertical="center" wrapText="1"/>
      <protection locked="0"/>
    </xf>
    <xf numFmtId="49" fontId="71" fillId="32" borderId="51" xfId="0" applyNumberFormat="1" applyFont="1" applyFill="1" applyBorder="1" applyAlignment="1" applyProtection="1">
      <alignment horizontal="center" vertical="center" wrapText="1"/>
      <protection locked="0"/>
    </xf>
    <xf numFmtId="49" fontId="71" fillId="32" borderId="52" xfId="0" applyNumberFormat="1" applyFont="1" applyFill="1" applyBorder="1" applyAlignment="1" applyProtection="1">
      <alignment horizontal="center" vertical="center" wrapText="1"/>
      <protection locked="0"/>
    </xf>
    <xf numFmtId="49" fontId="45" fillId="3" borderId="69" xfId="0" applyNumberFormat="1" applyFont="1" applyFill="1" applyBorder="1" applyAlignment="1" applyProtection="1">
      <alignment horizontal="center" vertical="center" wrapText="1"/>
      <protection locked="0"/>
    </xf>
    <xf numFmtId="49" fontId="45" fillId="3" borderId="70" xfId="0" applyNumberFormat="1" applyFont="1" applyFill="1" applyBorder="1" applyAlignment="1" applyProtection="1">
      <alignment horizontal="center" vertical="center" wrapText="1"/>
      <protection locked="0"/>
    </xf>
    <xf numFmtId="49" fontId="45" fillId="3" borderId="71" xfId="0" applyNumberFormat="1" applyFont="1" applyFill="1" applyBorder="1" applyAlignment="1" applyProtection="1">
      <alignment horizontal="center" vertical="center" wrapText="1"/>
      <protection locked="0"/>
    </xf>
    <xf numFmtId="49" fontId="71" fillId="32" borderId="69" xfId="0" applyNumberFormat="1" applyFont="1" applyFill="1" applyBorder="1" applyAlignment="1" applyProtection="1">
      <alignment horizontal="center" vertical="center" wrapText="1"/>
      <protection locked="0"/>
    </xf>
    <xf numFmtId="49" fontId="71" fillId="32" borderId="70" xfId="0" applyNumberFormat="1" applyFont="1" applyFill="1" applyBorder="1" applyAlignment="1" applyProtection="1">
      <alignment horizontal="center" vertical="center" wrapText="1"/>
      <protection locked="0"/>
    </xf>
    <xf numFmtId="0" fontId="129" fillId="0" borderId="52" xfId="0" applyFont="1" applyFill="1" applyBorder="1" applyAlignment="1">
      <alignment horizontal="center" vertical="center"/>
    </xf>
    <xf numFmtId="0" fontId="129" fillId="0" borderId="52" xfId="0" applyNumberFormat="1" applyFont="1" applyBorder="1" applyAlignment="1">
      <alignment horizontal="center" vertical="center" wrapText="1"/>
    </xf>
    <xf numFmtId="0" fontId="129" fillId="0" borderId="52" xfId="0" applyNumberFormat="1" applyFont="1" applyBorder="1" applyAlignment="1">
      <alignment horizontal="center" vertical="center"/>
    </xf>
    <xf numFmtId="0" fontId="129" fillId="33" borderId="52" xfId="0" applyNumberFormat="1" applyFont="1" applyFill="1" applyBorder="1" applyAlignment="1">
      <alignment horizontal="center" vertical="center" wrapText="1"/>
    </xf>
    <xf numFmtId="0" fontId="129" fillId="0" borderId="170" xfId="0" applyNumberFormat="1" applyFont="1" applyBorder="1" applyAlignment="1">
      <alignment horizontal="center" vertical="center" wrapText="1"/>
    </xf>
    <xf numFmtId="0" fontId="129" fillId="0" borderId="170" xfId="0" applyNumberFormat="1" applyFont="1" applyBorder="1" applyAlignment="1">
      <alignment horizontal="center" vertical="center"/>
    </xf>
    <xf numFmtId="177" fontId="129" fillId="33" borderId="3" xfId="0" applyNumberFormat="1" applyFont="1" applyFill="1" applyBorder="1" applyAlignment="1">
      <alignment horizontal="center" vertical="center"/>
    </xf>
    <xf numFmtId="0" fontId="165" fillId="0" borderId="3" xfId="0" applyFont="1" applyFill="1" applyBorder="1" applyAlignment="1" applyProtection="1">
      <alignment horizontal="left" vertical="top" wrapText="1"/>
      <protection locked="0"/>
    </xf>
    <xf numFmtId="0" fontId="165" fillId="0" borderId="1" xfId="0" applyFont="1" applyFill="1" applyBorder="1" applyAlignment="1" applyProtection="1">
      <alignment horizontal="left" vertical="top" wrapText="1"/>
      <protection locked="0"/>
    </xf>
    <xf numFmtId="0" fontId="108" fillId="3" borderId="1" xfId="0" applyFont="1" applyFill="1" applyBorder="1" applyAlignment="1" applyProtection="1">
      <alignment horizontal="center" vertical="top" wrapText="1"/>
      <protection locked="0"/>
    </xf>
    <xf numFmtId="0" fontId="127" fillId="33" borderId="171" xfId="0" applyFont="1" applyFill="1" applyBorder="1" applyAlignment="1">
      <alignment horizontal="center" vertical="center"/>
    </xf>
    <xf numFmtId="0" fontId="127" fillId="33" borderId="21" xfId="0" applyFont="1" applyFill="1" applyBorder="1" applyAlignment="1">
      <alignment horizontal="center" vertical="center"/>
    </xf>
    <xf numFmtId="177" fontId="6" fillId="0" borderId="173" xfId="0" applyNumberFormat="1" applyFont="1" applyFill="1" applyBorder="1" applyAlignment="1" applyProtection="1">
      <alignment horizontal="left" vertical="center"/>
      <protection locked="0"/>
    </xf>
    <xf numFmtId="177" fontId="6" fillId="0" borderId="174" xfId="0" applyNumberFormat="1" applyFont="1" applyFill="1" applyBorder="1" applyAlignment="1" applyProtection="1">
      <alignment horizontal="left" vertical="center"/>
      <protection locked="0"/>
    </xf>
    <xf numFmtId="0" fontId="43" fillId="33" borderId="3" xfId="0" applyFont="1" applyFill="1" applyBorder="1" applyAlignment="1">
      <alignment horizontal="center" vertical="center"/>
    </xf>
    <xf numFmtId="0" fontId="127" fillId="3" borderId="3" xfId="0" applyFont="1" applyFill="1" applyBorder="1" applyAlignment="1" applyProtection="1">
      <alignment horizontal="center" vertical="center"/>
      <protection locked="0"/>
    </xf>
    <xf numFmtId="0" fontId="45" fillId="3" borderId="3" xfId="0" applyFont="1" applyFill="1" applyBorder="1" applyAlignment="1" applyProtection="1">
      <alignment horizontal="center" vertical="center"/>
      <protection locked="0"/>
    </xf>
    <xf numFmtId="0" fontId="163" fillId="3" borderId="68" xfId="0" applyFont="1" applyFill="1" applyBorder="1" applyAlignment="1" applyProtection="1">
      <alignment horizontal="center" vertical="center" wrapText="1"/>
      <protection locked="0"/>
    </xf>
    <xf numFmtId="0" fontId="163" fillId="3" borderId="26" xfId="0" applyFont="1" applyFill="1" applyBorder="1" applyAlignment="1" applyProtection="1">
      <alignment horizontal="center" vertical="center" wrapText="1"/>
      <protection locked="0"/>
    </xf>
    <xf numFmtId="49" fontId="164" fillId="32" borderId="98" xfId="0" applyNumberFormat="1" applyFont="1" applyFill="1" applyBorder="1" applyAlignment="1">
      <alignment horizontal="center" vertical="top"/>
    </xf>
    <xf numFmtId="49" fontId="164" fillId="32" borderId="115" xfId="0" applyNumberFormat="1" applyFont="1" applyFill="1" applyBorder="1" applyAlignment="1">
      <alignment horizontal="center" vertical="top"/>
    </xf>
    <xf numFmtId="49" fontId="108" fillId="3" borderId="98" xfId="0" applyNumberFormat="1" applyFont="1" applyFill="1" applyBorder="1" applyAlignment="1" applyProtection="1">
      <alignment horizontal="center" vertical="center" wrapText="1"/>
      <protection locked="0"/>
    </xf>
    <xf numFmtId="49" fontId="108" fillId="33" borderId="98" xfId="0" applyNumberFormat="1" applyFont="1" applyFill="1" applyBorder="1" applyAlignment="1" applyProtection="1">
      <alignment horizontal="center" vertical="center" wrapText="1"/>
      <protection locked="0"/>
    </xf>
    <xf numFmtId="49" fontId="71" fillId="32" borderId="56" xfId="0" applyNumberFormat="1" applyFont="1" applyFill="1" applyBorder="1" applyAlignment="1" applyProtection="1">
      <alignment horizontal="center" vertical="center" wrapText="1"/>
      <protection locked="0"/>
    </xf>
    <xf numFmtId="0" fontId="109" fillId="0" borderId="49" xfId="0" applyNumberFormat="1" applyFont="1" applyFill="1" applyBorder="1" applyAlignment="1" applyProtection="1">
      <alignment horizontal="left" vertical="top" wrapText="1"/>
      <protection locked="0"/>
    </xf>
    <xf numFmtId="0" fontId="109" fillId="0" borderId="50" xfId="0" applyNumberFormat="1" applyFont="1" applyFill="1" applyBorder="1" applyAlignment="1" applyProtection="1">
      <alignment horizontal="left" vertical="top" wrapText="1"/>
      <protection locked="0"/>
    </xf>
    <xf numFmtId="49" fontId="71" fillId="32" borderId="58" xfId="0" applyNumberFormat="1" applyFont="1" applyFill="1" applyBorder="1" applyAlignment="1" applyProtection="1">
      <alignment horizontal="center" vertical="center" wrapText="1"/>
      <protection locked="0"/>
    </xf>
    <xf numFmtId="0" fontId="109" fillId="0" borderId="51" xfId="0" applyNumberFormat="1" applyFont="1" applyFill="1" applyBorder="1" applyAlignment="1" applyProtection="1">
      <alignment horizontal="left" vertical="top" wrapText="1"/>
      <protection locked="0"/>
    </xf>
    <xf numFmtId="0" fontId="109" fillId="0" borderId="52" xfId="0" applyNumberFormat="1" applyFont="1" applyFill="1" applyBorder="1" applyAlignment="1" applyProtection="1">
      <alignment horizontal="left" vertical="top" wrapText="1"/>
      <protection locked="0"/>
    </xf>
    <xf numFmtId="49" fontId="71" fillId="32" borderId="71" xfId="0" applyNumberFormat="1" applyFont="1" applyFill="1" applyBorder="1" applyAlignment="1" applyProtection="1">
      <alignment horizontal="center" vertical="center" wrapText="1"/>
      <protection locked="0"/>
    </xf>
    <xf numFmtId="0" fontId="109" fillId="0" borderId="69" xfId="0" applyNumberFormat="1" applyFont="1" applyFill="1" applyBorder="1" applyAlignment="1" applyProtection="1">
      <alignment horizontal="left" vertical="top" wrapText="1"/>
      <protection locked="0"/>
    </xf>
    <xf numFmtId="0" fontId="109" fillId="0" borderId="70" xfId="0" applyNumberFormat="1" applyFont="1" applyFill="1" applyBorder="1" applyAlignment="1" applyProtection="1">
      <alignment horizontal="left" vertical="top" wrapText="1"/>
      <protection locked="0"/>
    </xf>
    <xf numFmtId="180" fontId="129" fillId="33" borderId="52" xfId="0" applyNumberFormat="1" applyFont="1" applyFill="1" applyBorder="1" applyAlignment="1">
      <alignment horizontal="center" vertical="center"/>
    </xf>
    <xf numFmtId="0" fontId="129" fillId="0" borderId="52" xfId="0" applyNumberFormat="1" applyFont="1" applyFill="1" applyBorder="1" applyAlignment="1">
      <alignment horizontal="center" vertical="center"/>
    </xf>
    <xf numFmtId="0" fontId="129" fillId="0" borderId="170" xfId="0" applyNumberFormat="1" applyFont="1" applyFill="1" applyBorder="1" applyAlignment="1">
      <alignment horizontal="center" vertical="center"/>
    </xf>
    <xf numFmtId="0" fontId="166" fillId="3" borderId="3" xfId="0" applyFont="1" applyFill="1" applyBorder="1" applyAlignment="1">
      <alignment horizontal="center" vertical="center" wrapText="1"/>
    </xf>
    <xf numFmtId="0" fontId="167" fillId="3" borderId="3" xfId="0" applyNumberFormat="1" applyFont="1" applyFill="1" applyBorder="1" applyAlignment="1">
      <alignment horizontal="center" vertical="center" wrapText="1"/>
    </xf>
    <xf numFmtId="0" fontId="166" fillId="0" borderId="3" xfId="0" applyFont="1" applyFill="1" applyBorder="1" applyAlignment="1">
      <alignment horizontal="center" vertical="center"/>
    </xf>
    <xf numFmtId="0" fontId="166" fillId="3" borderId="3" xfId="0" applyFont="1" applyFill="1" applyBorder="1" applyAlignment="1">
      <alignment horizontal="center" vertical="center"/>
    </xf>
    <xf numFmtId="0" fontId="166" fillId="0" borderId="3" xfId="0" applyFont="1" applyFill="1" applyBorder="1" applyAlignment="1">
      <alignment horizontal="center" vertical="center" wrapText="1"/>
    </xf>
    <xf numFmtId="0" fontId="2" fillId="61" borderId="1" xfId="0" applyFont="1" applyFill="1" applyBorder="1" applyAlignment="1">
      <alignment horizontal="center" vertical="center"/>
    </xf>
    <xf numFmtId="0" fontId="6" fillId="33" borderId="68" xfId="0" applyFont="1" applyFill="1" applyBorder="1" applyAlignment="1">
      <alignment horizontal="center" vertical="center"/>
    </xf>
    <xf numFmtId="0" fontId="6" fillId="33" borderId="63" xfId="0" applyFont="1" applyFill="1" applyBorder="1" applyAlignment="1">
      <alignment horizontal="center" vertical="center"/>
    </xf>
    <xf numFmtId="0" fontId="6" fillId="33" borderId="88" xfId="0" applyFont="1" applyFill="1" applyBorder="1" applyAlignment="1">
      <alignment horizontal="center" vertical="center"/>
    </xf>
    <xf numFmtId="0" fontId="6" fillId="33" borderId="64" xfId="0" applyFont="1" applyFill="1" applyBorder="1" applyAlignment="1">
      <alignment horizontal="center" vertical="center"/>
    </xf>
    <xf numFmtId="0" fontId="108" fillId="0" borderId="68" xfId="0" applyFont="1" applyFill="1" applyBorder="1" applyAlignment="1" applyProtection="1">
      <alignment horizontal="center" vertical="top" wrapText="1"/>
      <protection locked="0"/>
    </xf>
    <xf numFmtId="177" fontId="108" fillId="0" borderId="61" xfId="0" applyNumberFormat="1" applyFont="1" applyFill="1" applyBorder="1" applyAlignment="1" applyProtection="1">
      <alignment horizontal="center" vertical="center"/>
      <protection locked="0"/>
    </xf>
    <xf numFmtId="177" fontId="108" fillId="0" borderId="3" xfId="0" applyNumberFormat="1" applyFont="1" applyFill="1" applyBorder="1" applyAlignment="1" applyProtection="1">
      <alignment horizontal="center" vertical="center"/>
      <protection locked="0"/>
    </xf>
    <xf numFmtId="177" fontId="108" fillId="0" borderId="62" xfId="0" applyNumberFormat="1" applyFont="1" applyFill="1" applyBorder="1" applyAlignment="1" applyProtection="1">
      <alignment horizontal="center" vertical="center"/>
      <protection locked="0"/>
    </xf>
    <xf numFmtId="0" fontId="108" fillId="3" borderId="68" xfId="0" applyFont="1" applyFill="1" applyBorder="1" applyAlignment="1" applyProtection="1">
      <alignment horizontal="center" vertical="top" wrapText="1"/>
      <protection locked="0"/>
    </xf>
    <xf numFmtId="177" fontId="108" fillId="3" borderId="61" xfId="0" applyNumberFormat="1" applyFont="1" applyFill="1" applyBorder="1" applyAlignment="1" applyProtection="1">
      <alignment horizontal="center" vertical="center"/>
      <protection locked="0"/>
    </xf>
    <xf numFmtId="177" fontId="108" fillId="3" borderId="3" xfId="0" applyNumberFormat="1" applyFont="1" applyFill="1" applyBorder="1" applyAlignment="1" applyProtection="1">
      <alignment horizontal="center" vertical="center"/>
      <protection locked="0"/>
    </xf>
    <xf numFmtId="177" fontId="108" fillId="3" borderId="62" xfId="0" applyNumberFormat="1" applyFont="1" applyFill="1" applyBorder="1" applyAlignment="1" applyProtection="1">
      <alignment horizontal="center" vertical="center"/>
      <protection locked="0"/>
    </xf>
    <xf numFmtId="0" fontId="136" fillId="3" borderId="3" xfId="0" applyFont="1" applyFill="1" applyBorder="1" applyAlignment="1">
      <alignment horizontal="center" vertical="center"/>
    </xf>
    <xf numFmtId="0" fontId="108" fillId="3" borderId="20" xfId="0" applyFont="1" applyFill="1" applyBorder="1" applyAlignment="1" applyProtection="1">
      <alignment horizontal="center" vertical="top" wrapText="1"/>
      <protection locked="0"/>
    </xf>
    <xf numFmtId="177" fontId="108" fillId="3" borderId="175" xfId="0" applyNumberFormat="1" applyFont="1" applyFill="1" applyBorder="1" applyAlignment="1" applyProtection="1">
      <alignment horizontal="center" vertical="center"/>
      <protection locked="0"/>
    </xf>
    <xf numFmtId="177" fontId="108" fillId="3" borderId="1" xfId="0" applyNumberFormat="1" applyFont="1" applyFill="1" applyBorder="1" applyAlignment="1" applyProtection="1">
      <alignment horizontal="center" vertical="center"/>
      <protection locked="0"/>
    </xf>
    <xf numFmtId="177" fontId="108" fillId="3" borderId="93" xfId="0" applyNumberFormat="1" applyFont="1" applyFill="1" applyBorder="1" applyAlignment="1" applyProtection="1">
      <alignment horizontal="center" vertical="center"/>
      <protection locked="0"/>
    </xf>
    <xf numFmtId="0" fontId="136" fillId="0" borderId="3" xfId="0" applyFont="1" applyFill="1" applyBorder="1" applyAlignment="1">
      <alignment horizontal="center" vertical="center"/>
    </xf>
    <xf numFmtId="177" fontId="6" fillId="0" borderId="168" xfId="0" applyNumberFormat="1" applyFont="1" applyFill="1" applyBorder="1" applyAlignment="1" applyProtection="1">
      <alignment horizontal="left" vertical="center"/>
      <protection locked="0"/>
    </xf>
    <xf numFmtId="0" fontId="162" fillId="61" borderId="13" xfId="0" applyFont="1" applyFill="1" applyBorder="1" applyAlignment="1">
      <alignment horizontal="center" vertical="center"/>
    </xf>
    <xf numFmtId="0" fontId="45" fillId="33" borderId="3" xfId="0" applyFont="1" applyFill="1" applyBorder="1" applyAlignment="1" applyProtection="1">
      <alignment horizontal="center" vertical="top" wrapText="1"/>
      <protection locked="0"/>
    </xf>
    <xf numFmtId="0" fontId="163" fillId="3" borderId="13" xfId="0" applyFont="1" applyFill="1" applyBorder="1" applyAlignment="1" applyProtection="1">
      <alignment horizontal="center" vertical="center" wrapText="1"/>
      <protection locked="0"/>
    </xf>
    <xf numFmtId="0" fontId="108" fillId="0" borderId="18" xfId="0" applyFont="1" applyFill="1" applyBorder="1">
      <alignment vertical="center"/>
    </xf>
    <xf numFmtId="49" fontId="164" fillId="32" borderId="176" xfId="0" applyNumberFormat="1" applyFont="1" applyFill="1" applyBorder="1" applyAlignment="1">
      <alignment horizontal="center" vertical="top"/>
    </xf>
    <xf numFmtId="0" fontId="164" fillId="32" borderId="3" xfId="0" applyFont="1" applyFill="1" applyBorder="1" applyAlignment="1">
      <alignment horizontal="center" vertical="center"/>
    </xf>
    <xf numFmtId="49" fontId="108" fillId="3" borderId="12" xfId="0" applyNumberFormat="1" applyFont="1" applyFill="1" applyBorder="1" applyAlignment="1" applyProtection="1">
      <alignment horizontal="center" vertical="center" wrapText="1"/>
      <protection locked="0"/>
    </xf>
    <xf numFmtId="0" fontId="168" fillId="33" borderId="3" xfId="27" applyFont="1" applyFill="1" applyBorder="1" applyAlignment="1" applyProtection="1">
      <alignment horizontal="center" vertical="center"/>
    </xf>
    <xf numFmtId="49" fontId="108" fillId="33" borderId="12" xfId="0" applyNumberFormat="1" applyFont="1" applyFill="1" applyBorder="1" applyAlignment="1" applyProtection="1">
      <alignment horizontal="center" vertical="center" wrapText="1"/>
      <protection locked="0"/>
    </xf>
    <xf numFmtId="49" fontId="121" fillId="3" borderId="3" xfId="0" applyNumberFormat="1" applyFont="1" applyFill="1" applyBorder="1" applyAlignment="1" applyProtection="1">
      <alignment horizontal="center" vertical="center" wrapText="1"/>
      <protection locked="0"/>
    </xf>
    <xf numFmtId="49" fontId="108" fillId="33" borderId="3" xfId="0" applyNumberFormat="1" applyFont="1" applyFill="1" applyBorder="1" applyAlignment="1" applyProtection="1">
      <alignment horizontal="center" vertical="center" wrapText="1"/>
      <protection locked="0"/>
    </xf>
    <xf numFmtId="49" fontId="108" fillId="3" borderId="3" xfId="0" applyNumberFormat="1" applyFont="1" applyFill="1" applyBorder="1" applyAlignment="1" applyProtection="1">
      <alignment horizontal="center" vertical="center" wrapText="1"/>
      <protection locked="0"/>
    </xf>
    <xf numFmtId="0" fontId="2" fillId="61" borderId="20" xfId="25" applyFont="1" applyFill="1" applyBorder="1" applyAlignment="1" applyProtection="1">
      <alignment horizontal="center" vertical="center"/>
    </xf>
    <xf numFmtId="0" fontId="2" fillId="61" borderId="10" xfId="25" applyFont="1" applyFill="1" applyBorder="1" applyAlignment="1" applyProtection="1">
      <alignment horizontal="center" vertical="center"/>
    </xf>
    <xf numFmtId="0" fontId="109" fillId="0" borderId="56" xfId="0" applyNumberFormat="1" applyFont="1" applyFill="1" applyBorder="1" applyAlignment="1" applyProtection="1">
      <alignment horizontal="left" vertical="top" wrapText="1"/>
      <protection locked="0"/>
    </xf>
    <xf numFmtId="49" fontId="169" fillId="32" borderId="177" xfId="0" applyNumberFormat="1" applyFont="1" applyFill="1" applyBorder="1" applyAlignment="1">
      <alignment horizontal="center" vertical="center"/>
    </xf>
    <xf numFmtId="49" fontId="169" fillId="32" borderId="178" xfId="0" applyNumberFormat="1" applyFont="1" applyFill="1" applyBorder="1" applyAlignment="1">
      <alignment horizontal="center" vertical="center"/>
    </xf>
    <xf numFmtId="0" fontId="109" fillId="0" borderId="58" xfId="0" applyNumberFormat="1" applyFont="1" applyFill="1" applyBorder="1" applyAlignment="1" applyProtection="1">
      <alignment horizontal="left" vertical="top" wrapText="1"/>
      <protection locked="0"/>
    </xf>
    <xf numFmtId="49" fontId="106" fillId="32" borderId="177" xfId="0" applyNumberFormat="1" applyFont="1" applyFill="1" applyBorder="1" applyAlignment="1" applyProtection="1">
      <alignment horizontal="center" vertical="center"/>
      <protection locked="0"/>
    </xf>
    <xf numFmtId="49" fontId="45" fillId="32" borderId="178" xfId="0" applyNumberFormat="1" applyFont="1" applyFill="1" applyBorder="1" applyAlignment="1" applyProtection="1">
      <alignment horizontal="center" vertical="center"/>
      <protection locked="0"/>
    </xf>
    <xf numFmtId="0" fontId="109" fillId="0" borderId="71" xfId="0" applyNumberFormat="1" applyFont="1" applyFill="1" applyBorder="1" applyAlignment="1" applyProtection="1">
      <alignment horizontal="left" vertical="top" wrapText="1"/>
      <protection locked="0"/>
    </xf>
    <xf numFmtId="0" fontId="127" fillId="3" borderId="3" xfId="0" applyFont="1" applyFill="1" applyBorder="1" applyAlignment="1" applyProtection="1">
      <alignment horizontal="center" vertical="center" wrapText="1"/>
      <protection locked="0"/>
    </xf>
    <xf numFmtId="0" fontId="127" fillId="0" borderId="3" xfId="0" applyFont="1" applyFill="1" applyBorder="1" applyAlignment="1" applyProtection="1">
      <alignment horizontal="center" vertical="center" wrapText="1"/>
      <protection locked="0"/>
    </xf>
    <xf numFmtId="49" fontId="170" fillId="3" borderId="3" xfId="0" applyNumberFormat="1" applyFont="1" applyFill="1" applyBorder="1" applyAlignment="1" applyProtection="1">
      <alignment horizontal="center" vertical="center" wrapText="1"/>
      <protection locked="0"/>
    </xf>
    <xf numFmtId="49" fontId="114" fillId="33" borderId="3" xfId="0" applyNumberFormat="1" applyFont="1" applyFill="1" applyBorder="1" applyAlignment="1" applyProtection="1">
      <alignment horizontal="center" vertical="center" wrapText="1"/>
      <protection locked="0"/>
    </xf>
    <xf numFmtId="49" fontId="109" fillId="3" borderId="3" xfId="0" applyNumberFormat="1" applyFont="1" applyFill="1" applyBorder="1" applyAlignment="1" applyProtection="1">
      <alignment horizontal="center" vertical="center" wrapText="1"/>
      <protection locked="0"/>
    </xf>
    <xf numFmtId="0" fontId="169" fillId="32" borderId="55" xfId="28" applyFont="1" applyFill="1" applyBorder="1" applyAlignment="1" applyProtection="1">
      <alignment horizontal="center" vertical="center"/>
    </xf>
    <xf numFmtId="0" fontId="169" fillId="32" borderId="116" xfId="28" applyFont="1" applyFill="1" applyBorder="1" applyAlignment="1" applyProtection="1">
      <alignment horizontal="center" vertical="center"/>
    </xf>
    <xf numFmtId="0" fontId="169" fillId="32" borderId="60" xfId="28" applyFont="1" applyFill="1" applyBorder="1" applyAlignment="1" applyProtection="1">
      <alignment horizontal="center" vertical="center"/>
    </xf>
    <xf numFmtId="49" fontId="109" fillId="3" borderId="99" xfId="0" applyNumberFormat="1" applyFont="1" applyFill="1" applyBorder="1" applyAlignment="1" applyProtection="1">
      <alignment horizontal="center" vertical="center" wrapText="1"/>
      <protection locked="0"/>
    </xf>
    <xf numFmtId="49" fontId="109" fillId="33" borderId="99" xfId="0" applyNumberFormat="1" applyFont="1" applyFill="1" applyBorder="1" applyAlignment="1" applyProtection="1">
      <alignment horizontal="center" vertical="center" wrapText="1"/>
      <protection locked="0"/>
    </xf>
    <xf numFmtId="0" fontId="129" fillId="33" borderId="163" xfId="0" applyNumberFormat="1" applyFont="1" applyFill="1" applyBorder="1" applyAlignment="1">
      <alignment horizontal="center" vertical="center"/>
    </xf>
    <xf numFmtId="0" fontId="129" fillId="0" borderId="163" xfId="0" applyNumberFormat="1" applyFont="1" applyBorder="1" applyAlignment="1">
      <alignment horizontal="center" vertical="center"/>
    </xf>
    <xf numFmtId="0" fontId="109" fillId="3" borderId="51" xfId="0" applyFont="1" applyFill="1" applyBorder="1" applyAlignment="1">
      <alignment horizontal="center" vertical="center" wrapText="1"/>
    </xf>
    <xf numFmtId="0" fontId="109" fillId="3" borderId="52" xfId="0" applyFont="1" applyFill="1" applyBorder="1" applyAlignment="1">
      <alignment horizontal="center" vertical="center" wrapText="1"/>
    </xf>
    <xf numFmtId="0" fontId="129" fillId="0" borderId="163" xfId="0" applyNumberFormat="1" applyFont="1" applyFill="1" applyBorder="1" applyAlignment="1">
      <alignment horizontal="center" vertical="center"/>
    </xf>
    <xf numFmtId="0" fontId="109" fillId="0" borderId="51" xfId="0" applyFont="1" applyFill="1" applyBorder="1" applyAlignment="1">
      <alignment horizontal="center" vertical="center" wrapText="1"/>
    </xf>
    <xf numFmtId="0" fontId="109" fillId="0" borderId="52" xfId="0" applyFont="1" applyFill="1" applyBorder="1" applyAlignment="1">
      <alignment horizontal="center" vertical="center" wrapText="1"/>
    </xf>
    <xf numFmtId="0" fontId="129" fillId="0" borderId="179" xfId="0" applyNumberFormat="1" applyFont="1" applyFill="1" applyBorder="1" applyAlignment="1">
      <alignment horizontal="center" vertical="center"/>
    </xf>
    <xf numFmtId="0" fontId="109" fillId="0" borderId="69" xfId="0" applyFont="1" applyFill="1" applyBorder="1" applyAlignment="1">
      <alignment horizontal="center" vertical="center" wrapText="1"/>
    </xf>
    <xf numFmtId="0" fontId="109" fillId="0" borderId="70" xfId="0" applyFont="1" applyFill="1" applyBorder="1" applyAlignment="1">
      <alignment horizontal="center" vertical="center" wrapText="1"/>
    </xf>
    <xf numFmtId="0" fontId="48" fillId="0" borderId="0" xfId="0" applyFont="1" applyFill="1" applyBorder="1" applyAlignment="1">
      <alignment horizontal="left" vertical="center"/>
    </xf>
    <xf numFmtId="0" fontId="168" fillId="33" borderId="180" xfId="27" applyFont="1" applyFill="1" applyBorder="1" applyAlignment="1" applyProtection="1">
      <alignment horizontal="center" vertical="center"/>
    </xf>
    <xf numFmtId="0" fontId="168" fillId="33" borderId="3" xfId="0" applyFont="1" applyFill="1" applyBorder="1" applyAlignment="1">
      <alignment horizontal="center" vertical="center"/>
    </xf>
    <xf numFmtId="49" fontId="170" fillId="3" borderId="180" xfId="0" applyNumberFormat="1" applyFont="1" applyFill="1" applyBorder="1" applyAlignment="1" applyProtection="1">
      <alignment horizontal="center" vertical="center" wrapText="1"/>
      <protection locked="0"/>
    </xf>
    <xf numFmtId="49" fontId="114" fillId="33" borderId="180" xfId="0" applyNumberFormat="1" applyFont="1" applyFill="1" applyBorder="1" applyAlignment="1" applyProtection="1">
      <alignment horizontal="center" vertical="center" wrapText="1"/>
      <protection locked="0"/>
    </xf>
    <xf numFmtId="49" fontId="109" fillId="3" borderId="180" xfId="0" applyNumberFormat="1" applyFont="1" applyFill="1" applyBorder="1" applyAlignment="1" applyProtection="1">
      <alignment horizontal="center" vertical="center" wrapText="1"/>
      <protection locked="0"/>
    </xf>
    <xf numFmtId="49" fontId="169" fillId="32" borderId="55" xfId="0" applyNumberFormat="1" applyFont="1" applyFill="1" applyBorder="1" applyAlignment="1">
      <alignment horizontal="center" vertical="center" wrapText="1"/>
    </xf>
    <xf numFmtId="49" fontId="169" fillId="32" borderId="116" xfId="0" applyNumberFormat="1" applyFont="1" applyFill="1" applyBorder="1" applyAlignment="1">
      <alignment horizontal="center" vertical="center" wrapText="1"/>
    </xf>
    <xf numFmtId="0" fontId="44" fillId="3" borderId="52" xfId="0" applyFont="1" applyFill="1" applyBorder="1" applyAlignment="1">
      <alignment horizontal="center" vertical="center"/>
    </xf>
    <xf numFmtId="0" fontId="44" fillId="3" borderId="58" xfId="0" applyFont="1" applyFill="1" applyBorder="1" applyAlignment="1">
      <alignment horizontal="center" vertical="center"/>
    </xf>
    <xf numFmtId="0" fontId="81" fillId="3" borderId="4" xfId="0" applyFont="1" applyFill="1" applyBorder="1" applyAlignment="1">
      <alignment horizontal="center" vertical="center"/>
    </xf>
    <xf numFmtId="0" fontId="81" fillId="3" borderId="5" xfId="0" applyFont="1" applyFill="1" applyBorder="1" applyAlignment="1">
      <alignment horizontal="center" vertical="center"/>
    </xf>
    <xf numFmtId="0" fontId="108" fillId="2" borderId="4" xfId="0" applyFont="1" applyFill="1" applyBorder="1" applyAlignment="1">
      <alignment horizontal="center" vertical="center"/>
    </xf>
    <xf numFmtId="0" fontId="108" fillId="2" borderId="5" xfId="0" applyFont="1" applyFill="1" applyBorder="1" applyAlignment="1">
      <alignment horizontal="center" vertical="center"/>
    </xf>
    <xf numFmtId="180" fontId="109" fillId="0" borderId="52" xfId="0" applyNumberFormat="1" applyFont="1" applyFill="1" applyBorder="1" applyAlignment="1">
      <alignment horizontal="center" vertical="center"/>
    </xf>
    <xf numFmtId="180" fontId="109" fillId="0" borderId="58" xfId="0" applyNumberFormat="1" applyFont="1" applyFill="1" applyBorder="1" applyAlignment="1">
      <alignment horizontal="center" vertical="center"/>
    </xf>
    <xf numFmtId="0" fontId="108" fillId="71" borderId="6" xfId="0" applyFont="1" applyFill="1" applyBorder="1" applyAlignment="1">
      <alignment horizontal="center" vertical="center"/>
    </xf>
    <xf numFmtId="180" fontId="109" fillId="0" borderId="70" xfId="0" applyNumberFormat="1" applyFont="1" applyFill="1" applyBorder="1" applyAlignment="1">
      <alignment horizontal="center" vertical="center"/>
    </xf>
    <xf numFmtId="180" fontId="109" fillId="0" borderId="71" xfId="0" applyNumberFormat="1" applyFont="1" applyFill="1" applyBorder="1" applyAlignment="1">
      <alignment horizontal="center" vertical="center"/>
    </xf>
    <xf numFmtId="0" fontId="171" fillId="61" borderId="3" xfId="0" applyFont="1" applyFill="1" applyBorder="1" applyAlignment="1">
      <alignment horizontal="center" vertical="center" wrapText="1"/>
    </xf>
    <xf numFmtId="0" fontId="171" fillId="61" borderId="3" xfId="0" applyFont="1" applyFill="1" applyBorder="1" applyAlignment="1">
      <alignment horizontal="center" vertical="center"/>
    </xf>
    <xf numFmtId="0" fontId="108" fillId="2" borderId="0" xfId="0" applyFont="1" applyFill="1" applyBorder="1" applyAlignment="1">
      <alignment horizontal="center" vertical="center"/>
    </xf>
    <xf numFmtId="0" fontId="0" fillId="3" borderId="68" xfId="0" applyFont="1" applyFill="1" applyBorder="1" applyAlignment="1" applyProtection="1">
      <alignment horizontal="center" vertical="center" wrapText="1"/>
      <protection locked="0"/>
    </xf>
    <xf numFmtId="0" fontId="44" fillId="3" borderId="13" xfId="0" applyFont="1" applyFill="1" applyBorder="1" applyAlignment="1" applyProtection="1">
      <alignment horizontal="center" vertical="center" wrapText="1"/>
      <protection locked="0"/>
    </xf>
    <xf numFmtId="0" fontId="172" fillId="2" borderId="68" xfId="0" applyFont="1" applyFill="1" applyBorder="1" applyAlignment="1" applyProtection="1">
      <alignment horizontal="center" vertical="center" wrapText="1"/>
      <protection locked="0"/>
    </xf>
    <xf numFmtId="0" fontId="172" fillId="2" borderId="13" xfId="0" applyFont="1" applyFill="1" applyBorder="1" applyAlignment="1" applyProtection="1">
      <alignment horizontal="center" vertical="center" wrapText="1"/>
      <protection locked="0"/>
    </xf>
    <xf numFmtId="0" fontId="173" fillId="0" borderId="68" xfId="0" applyFont="1" applyFill="1" applyBorder="1" applyAlignment="1" applyProtection="1">
      <alignment horizontal="center" vertical="center"/>
      <protection locked="0"/>
    </xf>
    <xf numFmtId="0" fontId="173" fillId="0" borderId="13" xfId="0" applyFont="1" applyFill="1" applyBorder="1" applyAlignment="1" applyProtection="1">
      <alignment horizontal="center" vertical="center"/>
      <protection locked="0"/>
    </xf>
    <xf numFmtId="0" fontId="173" fillId="3" borderId="68" xfId="0" applyFont="1" applyFill="1" applyBorder="1" applyAlignment="1" applyProtection="1">
      <alignment horizontal="center" vertical="center"/>
      <protection locked="0"/>
    </xf>
    <xf numFmtId="0" fontId="173" fillId="3" borderId="13" xfId="0" applyFont="1" applyFill="1" applyBorder="1" applyAlignment="1" applyProtection="1">
      <alignment horizontal="center" vertical="center"/>
      <protection locked="0"/>
    </xf>
    <xf numFmtId="0" fontId="108" fillId="71" borderId="0" xfId="0" applyFont="1" applyFill="1" applyBorder="1" applyAlignment="1">
      <alignment horizontal="center" vertical="center"/>
    </xf>
    <xf numFmtId="0" fontId="108" fillId="2" borderId="27" xfId="0" applyFont="1" applyFill="1" applyBorder="1" applyAlignment="1">
      <alignment horizontal="center" vertical="center"/>
    </xf>
    <xf numFmtId="0" fontId="108" fillId="2" borderId="28" xfId="0" applyFont="1" applyFill="1" applyBorder="1" applyAlignment="1">
      <alignment horizontal="center" vertical="center"/>
    </xf>
    <xf numFmtId="0" fontId="2" fillId="61" borderId="6" xfId="0" applyFont="1" applyFill="1" applyBorder="1" applyAlignment="1">
      <alignment horizontal="center" vertical="center"/>
    </xf>
    <xf numFmtId="0" fontId="2" fillId="61" borderId="0" xfId="0" applyFont="1" applyFill="1" applyBorder="1" applyAlignment="1">
      <alignment horizontal="center" vertical="center"/>
    </xf>
    <xf numFmtId="0" fontId="43" fillId="32" borderId="175" xfId="0" applyFont="1" applyFill="1" applyBorder="1" applyAlignment="1">
      <alignment horizontal="center" vertical="center"/>
    </xf>
    <xf numFmtId="0" fontId="43" fillId="32" borderId="1" xfId="0" applyFont="1" applyFill="1" applyBorder="1" applyAlignment="1">
      <alignment horizontal="center" vertical="center"/>
    </xf>
    <xf numFmtId="0" fontId="108" fillId="3" borderId="61" xfId="0" applyFont="1" applyFill="1" applyBorder="1" applyAlignment="1" applyProtection="1">
      <alignment horizontal="center" vertical="center"/>
      <protection locked="0"/>
    </xf>
    <xf numFmtId="0" fontId="108" fillId="3" borderId="3" xfId="0" applyFont="1" applyFill="1" applyBorder="1" applyAlignment="1" applyProtection="1">
      <alignment horizontal="center" vertical="center"/>
      <protection locked="0"/>
    </xf>
    <xf numFmtId="0" fontId="108" fillId="3" borderId="175" xfId="0" applyFont="1" applyFill="1" applyBorder="1" applyAlignment="1" applyProtection="1">
      <alignment horizontal="center" vertical="center"/>
      <protection locked="0"/>
    </xf>
    <xf numFmtId="0" fontId="108" fillId="3" borderId="1" xfId="0" applyFont="1" applyFill="1" applyBorder="1" applyAlignment="1" applyProtection="1">
      <alignment horizontal="center" vertical="center"/>
      <protection locked="0"/>
    </xf>
    <xf numFmtId="0" fontId="2" fillId="61" borderId="21" xfId="0" applyFont="1" applyFill="1" applyBorder="1" applyAlignment="1">
      <alignment horizontal="center" vertical="center"/>
    </xf>
    <xf numFmtId="0" fontId="2" fillId="61" borderId="0" xfId="0" applyFont="1" applyFill="1" applyAlignment="1">
      <alignment horizontal="center" vertical="center"/>
    </xf>
    <xf numFmtId="49" fontId="6" fillId="38" borderId="72" xfId="0" applyNumberFormat="1" applyFont="1" applyFill="1" applyBorder="1" applyAlignment="1">
      <alignment horizontal="center" vertical="center" wrapText="1"/>
    </xf>
    <xf numFmtId="49" fontId="6" fillId="38" borderId="3" xfId="0" applyNumberFormat="1" applyFont="1" applyFill="1" applyBorder="1" applyAlignment="1">
      <alignment horizontal="center" vertical="center" wrapText="1"/>
    </xf>
    <xf numFmtId="49" fontId="6" fillId="38" borderId="20" xfId="0" applyNumberFormat="1" applyFont="1" applyFill="1" applyBorder="1" applyAlignment="1">
      <alignment horizontal="center" vertical="center" wrapText="1"/>
    </xf>
    <xf numFmtId="49" fontId="6" fillId="38" borderId="10" xfId="0" applyNumberFormat="1" applyFont="1" applyFill="1" applyBorder="1" applyAlignment="1">
      <alignment horizontal="center" vertical="center" wrapText="1"/>
    </xf>
    <xf numFmtId="49" fontId="6" fillId="38" borderId="21" xfId="0" applyNumberFormat="1" applyFont="1" applyFill="1" applyBorder="1" applyAlignment="1">
      <alignment horizontal="center" vertical="center" wrapText="1"/>
    </xf>
    <xf numFmtId="49" fontId="6" fillId="38" borderId="0" xfId="0" applyNumberFormat="1" applyFont="1" applyFill="1" applyAlignment="1">
      <alignment horizontal="center" vertical="center" wrapText="1"/>
    </xf>
    <xf numFmtId="49" fontId="6" fillId="38" borderId="22" xfId="0" applyNumberFormat="1" applyFont="1" applyFill="1" applyBorder="1" applyAlignment="1">
      <alignment horizontal="center" vertical="center" wrapText="1"/>
    </xf>
    <xf numFmtId="49" fontId="6" fillId="38" borderId="18" xfId="0" applyNumberFormat="1" applyFont="1" applyFill="1" applyBorder="1" applyAlignment="1">
      <alignment horizontal="center" vertical="center" wrapText="1"/>
    </xf>
    <xf numFmtId="0" fontId="174" fillId="61" borderId="181" xfId="0" applyFont="1" applyFill="1" applyBorder="1" applyAlignment="1">
      <alignment horizontal="center" vertical="center" wrapText="1"/>
    </xf>
    <xf numFmtId="0" fontId="174" fillId="61" borderId="182" xfId="0" applyFont="1" applyFill="1" applyBorder="1" applyAlignment="1">
      <alignment horizontal="center" vertical="center" wrapText="1"/>
    </xf>
    <xf numFmtId="0" fontId="175" fillId="32" borderId="72" xfId="0" applyFont="1" applyFill="1" applyBorder="1" applyAlignment="1">
      <alignment horizontal="center" vertical="center" wrapText="1"/>
    </xf>
    <xf numFmtId="0" fontId="176" fillId="3" borderId="3" xfId="0" applyFont="1" applyFill="1" applyBorder="1" applyAlignment="1" applyProtection="1">
      <alignment horizontal="center" vertical="center" wrapText="1"/>
      <protection locked="0"/>
    </xf>
    <xf numFmtId="0" fontId="2" fillId="61" borderId="16" xfId="25" applyFont="1" applyFill="1" applyBorder="1" applyAlignment="1" applyProtection="1">
      <alignment horizontal="center" vertical="center"/>
    </xf>
    <xf numFmtId="49" fontId="169" fillId="32" borderId="183" xfId="0" applyNumberFormat="1" applyFont="1" applyFill="1" applyBorder="1" applyAlignment="1">
      <alignment horizontal="center" vertical="center" wrapText="1"/>
    </xf>
    <xf numFmtId="0" fontId="45" fillId="33" borderId="68" xfId="0" applyFont="1" applyFill="1" applyBorder="1" applyAlignment="1">
      <alignment horizontal="center" vertical="center" wrapText="1"/>
    </xf>
    <xf numFmtId="0" fontId="45" fillId="33" borderId="26" xfId="0" applyFont="1" applyFill="1" applyBorder="1" applyAlignment="1">
      <alignment horizontal="center" vertical="center" wrapText="1"/>
    </xf>
    <xf numFmtId="49" fontId="109" fillId="3" borderId="184" xfId="0" applyNumberFormat="1" applyFont="1" applyFill="1" applyBorder="1" applyAlignment="1" applyProtection="1">
      <alignment horizontal="center" vertical="center" wrapText="1"/>
      <protection locked="0"/>
    </xf>
    <xf numFmtId="0" fontId="177" fillId="0" borderId="0" xfId="0" applyNumberFormat="1" applyFont="1" applyBorder="1" applyAlignment="1">
      <alignment vertical="top"/>
    </xf>
    <xf numFmtId="0" fontId="178" fillId="38" borderId="3" xfId="0" applyFont="1" applyFill="1" applyBorder="1" applyAlignment="1">
      <alignment horizontal="center" vertical="center" wrapText="1"/>
    </xf>
    <xf numFmtId="49" fontId="109" fillId="33" borderId="184" xfId="0" applyNumberFormat="1" applyFont="1" applyFill="1" applyBorder="1" applyAlignment="1" applyProtection="1">
      <alignment horizontal="center" vertical="center" wrapText="1"/>
      <protection locked="0"/>
    </xf>
    <xf numFmtId="0" fontId="179" fillId="38" borderId="68" xfId="0" applyFont="1" applyFill="1" applyBorder="1" applyAlignment="1">
      <alignment horizontal="center" vertical="center" wrapText="1"/>
    </xf>
    <xf numFmtId="0" fontId="179" fillId="38" borderId="26" xfId="0" applyFont="1" applyFill="1" applyBorder="1" applyAlignment="1">
      <alignment horizontal="center" vertical="center" wrapText="1"/>
    </xf>
    <xf numFmtId="177" fontId="45" fillId="3" borderId="5" xfId="0" applyNumberFormat="1" applyFont="1" applyFill="1" applyBorder="1" applyAlignment="1">
      <alignment horizontal="center" vertical="top"/>
    </xf>
    <xf numFmtId="0" fontId="180" fillId="3" borderId="5" xfId="0" applyFont="1" applyFill="1" applyBorder="1" applyAlignment="1">
      <alignment vertical="top"/>
    </xf>
    <xf numFmtId="0" fontId="181" fillId="3" borderId="5" xfId="0" applyFont="1" applyFill="1" applyBorder="1" applyAlignment="1">
      <alignment horizontal="center" vertical="top"/>
    </xf>
    <xf numFmtId="0" fontId="181" fillId="3" borderId="11" xfId="0" applyFont="1" applyFill="1" applyBorder="1" applyAlignment="1">
      <alignment vertical="top"/>
    </xf>
    <xf numFmtId="0" fontId="108" fillId="0" borderId="5" xfId="0" applyFont="1" applyFill="1" applyBorder="1" applyAlignment="1">
      <alignment horizontal="center" vertical="center"/>
    </xf>
    <xf numFmtId="0" fontId="108" fillId="71" borderId="5" xfId="0" applyFont="1" applyFill="1" applyBorder="1" applyAlignment="1">
      <alignment horizontal="center" vertical="center"/>
    </xf>
    <xf numFmtId="0" fontId="108" fillId="71" borderId="12" xfId="0" applyFont="1" applyFill="1" applyBorder="1" applyAlignment="1">
      <alignment horizontal="center" vertical="center"/>
    </xf>
    <xf numFmtId="0" fontId="73" fillId="71" borderId="0" xfId="0" applyFont="1" applyFill="1" applyBorder="1" applyAlignment="1">
      <alignment horizontal="center" vertical="center"/>
    </xf>
    <xf numFmtId="0" fontId="108" fillId="0" borderId="12" xfId="0" applyFont="1" applyFill="1" applyBorder="1" applyAlignment="1">
      <alignment horizontal="center" vertical="center"/>
    </xf>
    <xf numFmtId="0" fontId="108" fillId="2" borderId="30" xfId="0" applyFont="1" applyFill="1" applyBorder="1" applyAlignment="1">
      <alignment horizontal="center" vertical="center"/>
    </xf>
    <xf numFmtId="0" fontId="6" fillId="32" borderId="1" xfId="0" applyFont="1" applyFill="1" applyBorder="1" applyAlignment="1">
      <alignment horizontal="center" vertical="center"/>
    </xf>
    <xf numFmtId="0" fontId="6" fillId="32" borderId="171" xfId="0" applyNumberFormat="1" applyFont="1" applyFill="1" applyBorder="1" applyAlignment="1">
      <alignment horizontal="center" vertical="center" wrapText="1"/>
    </xf>
    <xf numFmtId="49" fontId="6" fillId="38" borderId="68" xfId="0" applyNumberFormat="1" applyFont="1" applyFill="1" applyBorder="1" applyAlignment="1">
      <alignment horizontal="center" vertical="center" wrapText="1"/>
    </xf>
    <xf numFmtId="0" fontId="45" fillId="3" borderId="3" xfId="0" applyNumberFormat="1" applyFont="1" applyFill="1" applyBorder="1" applyAlignment="1">
      <alignment horizontal="center" vertical="center" wrapText="1"/>
    </xf>
    <xf numFmtId="0" fontId="6" fillId="3" borderId="3" xfId="0" applyNumberFormat="1" applyFont="1" applyFill="1" applyBorder="1" applyAlignment="1">
      <alignment horizontal="center" vertical="center" wrapText="1"/>
    </xf>
    <xf numFmtId="49" fontId="6" fillId="38" borderId="0" xfId="0" applyNumberFormat="1" applyFont="1" applyFill="1" applyBorder="1" applyAlignment="1">
      <alignment horizontal="center" vertical="center" wrapText="1"/>
    </xf>
    <xf numFmtId="0" fontId="182" fillId="32" borderId="3" xfId="0" applyFont="1" applyFill="1" applyBorder="1" applyAlignment="1">
      <alignment horizontal="center" vertical="center" wrapText="1"/>
    </xf>
    <xf numFmtId="0" fontId="179" fillId="38" borderId="13" xfId="0" applyFont="1" applyFill="1" applyBorder="1" applyAlignment="1">
      <alignment horizontal="center" vertical="center" wrapText="1"/>
    </xf>
    <xf numFmtId="0" fontId="183" fillId="0" borderId="3" xfId="0" applyFont="1" applyFill="1" applyBorder="1" applyAlignment="1">
      <alignment horizontal="left" vertical="top" wrapText="1"/>
    </xf>
    <xf numFmtId="177" fontId="45" fillId="0" borderId="21" xfId="0" applyNumberFormat="1" applyFont="1" applyFill="1" applyBorder="1" applyAlignment="1" applyProtection="1">
      <alignment vertical="center" shrinkToFit="1"/>
      <protection locked="0"/>
    </xf>
    <xf numFmtId="177" fontId="45" fillId="0" borderId="86" xfId="0" applyNumberFormat="1" applyFont="1" applyFill="1" applyBorder="1" applyAlignment="1" applyProtection="1">
      <alignment vertical="center" shrinkToFit="1"/>
      <protection locked="0"/>
    </xf>
    <xf numFmtId="0" fontId="184" fillId="61" borderId="4" xfId="0" applyFont="1" applyFill="1" applyBorder="1" applyAlignment="1">
      <alignment horizontal="center" vertical="center" wrapText="1"/>
    </xf>
    <xf numFmtId="0" fontId="184" fillId="61" borderId="5" xfId="0" applyFont="1" applyFill="1" applyBorder="1" applyAlignment="1">
      <alignment horizontal="center" vertical="center" wrapText="1"/>
    </xf>
    <xf numFmtId="0" fontId="185" fillId="33" borderId="3" xfId="0" applyFont="1" applyFill="1" applyBorder="1" applyAlignment="1">
      <alignment horizontal="center" vertical="center"/>
    </xf>
    <xf numFmtId="0" fontId="108" fillId="3" borderId="25" xfId="0" applyFont="1" applyFill="1" applyBorder="1" applyAlignment="1" applyProtection="1">
      <alignment horizontal="center" vertical="center"/>
      <protection locked="0"/>
    </xf>
    <xf numFmtId="0" fontId="108" fillId="3" borderId="13" xfId="0" applyFont="1" applyFill="1" applyBorder="1" applyAlignment="1" applyProtection="1">
      <alignment horizontal="center" vertical="center"/>
      <protection locked="0"/>
    </xf>
    <xf numFmtId="0" fontId="108" fillId="0" borderId="68" xfId="0" applyFont="1" applyFill="1" applyBorder="1" applyAlignment="1" applyProtection="1">
      <alignment horizontal="center" vertical="center"/>
      <protection locked="0"/>
    </xf>
    <xf numFmtId="0" fontId="108" fillId="0" borderId="26" xfId="0" applyFont="1" applyFill="1" applyBorder="1" applyAlignment="1" applyProtection="1">
      <alignment horizontal="center" vertical="center"/>
      <protection locked="0"/>
    </xf>
    <xf numFmtId="0" fontId="108" fillId="0" borderId="13" xfId="0" applyFont="1" applyFill="1" applyBorder="1" applyAlignment="1" applyProtection="1">
      <alignment horizontal="center" vertical="center"/>
      <protection locked="0"/>
    </xf>
    <xf numFmtId="0" fontId="108" fillId="3" borderId="26" xfId="0" applyFont="1" applyFill="1" applyBorder="1" applyAlignment="1" applyProtection="1">
      <alignment horizontal="center" vertical="center"/>
      <protection locked="0"/>
    </xf>
    <xf numFmtId="0" fontId="108" fillId="3" borderId="185" xfId="0" applyFont="1" applyFill="1" applyBorder="1" applyAlignment="1" applyProtection="1">
      <alignment horizontal="center" vertical="center"/>
      <protection locked="0"/>
    </xf>
    <xf numFmtId="0" fontId="108" fillId="3" borderId="186" xfId="0" applyFont="1" applyFill="1" applyBorder="1" applyAlignment="1" applyProtection="1">
      <alignment horizontal="center" vertical="center"/>
      <protection locked="0"/>
    </xf>
    <xf numFmtId="0" fontId="108" fillId="0" borderId="187" xfId="0" applyFont="1" applyFill="1" applyBorder="1" applyAlignment="1" applyProtection="1">
      <alignment horizontal="center" vertical="center"/>
      <protection locked="0"/>
    </xf>
    <xf numFmtId="0" fontId="108" fillId="0" borderId="188" xfId="0" applyFont="1" applyFill="1" applyBorder="1" applyAlignment="1" applyProtection="1">
      <alignment horizontal="center" vertical="center"/>
      <protection locked="0"/>
    </xf>
    <xf numFmtId="0" fontId="108" fillId="0" borderId="186" xfId="0" applyFont="1" applyFill="1" applyBorder="1" applyAlignment="1" applyProtection="1">
      <alignment horizontal="center" vertical="center"/>
      <protection locked="0"/>
    </xf>
    <xf numFmtId="0" fontId="108" fillId="3" borderId="188" xfId="0" applyFont="1" applyFill="1" applyBorder="1" applyAlignment="1" applyProtection="1">
      <alignment horizontal="center" vertical="center"/>
      <protection locked="0"/>
    </xf>
    <xf numFmtId="0" fontId="6" fillId="32" borderId="21" xfId="0" applyFont="1" applyFill="1" applyBorder="1" applyAlignment="1">
      <alignment horizontal="center" vertical="center"/>
    </xf>
    <xf numFmtId="0" fontId="6" fillId="34" borderId="171" xfId="0" applyFont="1" applyFill="1" applyBorder="1" applyAlignment="1">
      <alignment horizontal="center" vertical="center"/>
    </xf>
    <xf numFmtId="177" fontId="6" fillId="2" borderId="171" xfId="0" applyNumberFormat="1" applyFont="1" applyFill="1" applyBorder="1" applyAlignment="1" applyProtection="1">
      <alignment horizontal="center" vertical="center" wrapText="1"/>
      <protection locked="0"/>
    </xf>
    <xf numFmtId="0" fontId="45" fillId="33" borderId="13" xfId="0" applyFont="1" applyFill="1" applyBorder="1" applyAlignment="1">
      <alignment horizontal="center" vertical="center" wrapText="1"/>
    </xf>
    <xf numFmtId="0" fontId="186" fillId="3" borderId="68" xfId="0" applyFont="1" applyFill="1" applyBorder="1" applyAlignment="1">
      <alignment horizontal="center" vertical="center" wrapText="1"/>
    </xf>
    <xf numFmtId="0" fontId="186" fillId="3" borderId="26" xfId="0" applyFont="1" applyFill="1" applyBorder="1" applyAlignment="1">
      <alignment horizontal="center" vertical="center" wrapText="1"/>
    </xf>
    <xf numFmtId="0" fontId="184" fillId="61" borderId="11" xfId="0" applyFont="1" applyFill="1" applyBorder="1" applyAlignment="1">
      <alignment horizontal="center" vertical="center" wrapText="1"/>
    </xf>
    <xf numFmtId="0" fontId="108" fillId="0" borderId="29" xfId="0" applyFont="1" applyFill="1" applyBorder="1" applyAlignment="1" applyProtection="1">
      <alignment horizontal="center" vertical="center"/>
      <protection locked="0"/>
    </xf>
    <xf numFmtId="0" fontId="108" fillId="0" borderId="189" xfId="0" applyFont="1" applyFill="1" applyBorder="1" applyAlignment="1" applyProtection="1">
      <alignment horizontal="center" vertical="center"/>
      <protection locked="0"/>
    </xf>
    <xf numFmtId="0" fontId="2" fillId="61" borderId="12" xfId="0" applyFont="1" applyFill="1" applyBorder="1" applyAlignment="1">
      <alignment horizontal="center" vertical="center"/>
    </xf>
    <xf numFmtId="0" fontId="6" fillId="32" borderId="0" xfId="0" applyFont="1" applyFill="1" applyAlignment="1">
      <alignment horizontal="center" vertical="center"/>
    </xf>
    <xf numFmtId="0" fontId="6" fillId="32" borderId="12" xfId="0" applyFont="1" applyFill="1" applyBorder="1" applyAlignment="1">
      <alignment horizontal="center" vertical="center"/>
    </xf>
    <xf numFmtId="0" fontId="108" fillId="3" borderId="62" xfId="0" applyFont="1" applyFill="1" applyBorder="1" applyAlignment="1" applyProtection="1">
      <alignment horizontal="center" vertical="center"/>
      <protection locked="0"/>
    </xf>
    <xf numFmtId="0" fontId="108" fillId="3" borderId="93" xfId="0" applyFont="1" applyFill="1" applyBorder="1" applyAlignment="1" applyProtection="1">
      <alignment horizontal="center" vertical="center"/>
      <protection locked="0"/>
    </xf>
    <xf numFmtId="0" fontId="127" fillId="32" borderId="21" xfId="0" applyFont="1" applyFill="1" applyBorder="1" applyAlignment="1" applyProtection="1">
      <alignment horizontal="center" vertical="center"/>
      <protection locked="0"/>
    </xf>
    <xf numFmtId="0" fontId="127" fillId="32" borderId="0" xfId="0" applyFont="1" applyFill="1" applyAlignment="1" applyProtection="1">
      <alignment horizontal="center" vertical="center"/>
      <protection locked="0"/>
    </xf>
    <xf numFmtId="0" fontId="127" fillId="32" borderId="12" xfId="0" applyFont="1" applyFill="1" applyBorder="1" applyAlignment="1" applyProtection="1">
      <alignment horizontal="center" vertical="center"/>
      <protection locked="0"/>
    </xf>
    <xf numFmtId="0" fontId="174" fillId="61" borderId="190" xfId="0" applyFont="1" applyFill="1" applyBorder="1" applyAlignment="1">
      <alignment horizontal="center" vertical="center" wrapText="1"/>
    </xf>
    <xf numFmtId="0" fontId="186" fillId="3" borderId="13" xfId="0" applyFont="1" applyFill="1" applyBorder="1" applyAlignment="1">
      <alignment horizontal="center" vertical="center" wrapText="1"/>
    </xf>
    <xf numFmtId="0" fontId="187" fillId="32" borderId="3" xfId="0" applyFont="1" applyFill="1" applyBorder="1" applyAlignment="1">
      <alignment horizontal="center" vertical="center" wrapText="1"/>
    </xf>
    <xf numFmtId="0" fontId="188" fillId="32" borderId="3" xfId="0" applyFont="1" applyFill="1" applyBorder="1" applyAlignment="1">
      <alignment horizontal="center" vertical="center" wrapText="1"/>
    </xf>
    <xf numFmtId="0" fontId="2" fillId="61" borderId="140" xfId="0" applyFont="1" applyFill="1" applyBorder="1" applyAlignment="1">
      <alignment horizontal="center" vertical="center"/>
    </xf>
    <xf numFmtId="0" fontId="2" fillId="61" borderId="141" xfId="0" applyFont="1" applyFill="1" applyBorder="1" applyAlignment="1">
      <alignment horizontal="center" vertical="center"/>
    </xf>
    <xf numFmtId="0" fontId="169" fillId="72" borderId="142" xfId="0" applyFont="1" applyFill="1" applyBorder="1" applyAlignment="1">
      <alignment horizontal="center" vertical="center"/>
    </xf>
    <xf numFmtId="0" fontId="169" fillId="72" borderId="3" xfId="0" applyFont="1" applyFill="1" applyBorder="1" applyAlignment="1">
      <alignment horizontal="center" vertical="center"/>
    </xf>
    <xf numFmtId="0" fontId="189" fillId="33" borderId="142" xfId="0" applyFont="1" applyFill="1" applyBorder="1" applyAlignment="1" applyProtection="1">
      <alignment horizontal="center" vertical="center"/>
      <protection locked="0"/>
    </xf>
    <xf numFmtId="0" fontId="189" fillId="33" borderId="3" xfId="0" applyFont="1" applyFill="1" applyBorder="1" applyAlignment="1" applyProtection="1">
      <alignment horizontal="center" vertical="center"/>
      <protection locked="0"/>
    </xf>
    <xf numFmtId="9" fontId="190" fillId="3" borderId="142" xfId="0" applyNumberFormat="1" applyFont="1" applyFill="1" applyBorder="1" applyAlignment="1" applyProtection="1">
      <alignment horizontal="center" vertical="center"/>
      <protection locked="0"/>
    </xf>
    <xf numFmtId="9" fontId="190" fillId="3" borderId="3" xfId="0" applyNumberFormat="1" applyFont="1" applyFill="1" applyBorder="1" applyAlignment="1" applyProtection="1">
      <alignment horizontal="center" vertical="center"/>
      <protection locked="0"/>
    </xf>
    <xf numFmtId="49" fontId="190" fillId="3" borderId="3" xfId="0" applyNumberFormat="1" applyFont="1" applyFill="1" applyBorder="1" applyAlignment="1" applyProtection="1">
      <alignment horizontal="center" vertical="center"/>
      <protection locked="0"/>
    </xf>
    <xf numFmtId="0" fontId="190" fillId="3" borderId="3" xfId="0" applyFont="1" applyFill="1" applyBorder="1" applyAlignment="1" applyProtection="1">
      <alignment horizontal="center" vertical="center"/>
      <protection locked="0"/>
    </xf>
    <xf numFmtId="0" fontId="190" fillId="72" borderId="142" xfId="0" applyFont="1" applyFill="1" applyBorder="1" applyAlignment="1">
      <alignment horizontal="center" vertical="center"/>
    </xf>
    <xf numFmtId="0" fontId="190" fillId="72" borderId="3" xfId="0" applyFont="1" applyFill="1" applyBorder="1" applyAlignment="1">
      <alignment horizontal="center" vertical="center"/>
    </xf>
    <xf numFmtId="0" fontId="190" fillId="33" borderId="3" xfId="0" applyFont="1" applyFill="1" applyBorder="1" applyAlignment="1">
      <alignment horizontal="center" vertical="center"/>
    </xf>
    <xf numFmtId="0" fontId="190" fillId="72" borderId="149" xfId="0" applyFont="1" applyFill="1" applyBorder="1" applyAlignment="1">
      <alignment horizontal="center" vertical="center"/>
    </xf>
    <xf numFmtId="0" fontId="190" fillId="72" borderId="72" xfId="0" applyFont="1" applyFill="1" applyBorder="1" applyAlignment="1">
      <alignment horizontal="center" vertical="center"/>
    </xf>
    <xf numFmtId="0" fontId="190" fillId="33" borderId="72" xfId="0" applyFont="1" applyFill="1" applyBorder="1" applyAlignment="1">
      <alignment horizontal="center" vertical="center"/>
    </xf>
    <xf numFmtId="0" fontId="190" fillId="72" borderId="191" xfId="0" applyFont="1" applyFill="1" applyBorder="1" applyAlignment="1">
      <alignment horizontal="center" vertical="center"/>
    </xf>
    <xf numFmtId="0" fontId="190" fillId="72" borderId="171" xfId="0" applyFont="1" applyFill="1" applyBorder="1" applyAlignment="1">
      <alignment horizontal="center" vertical="center"/>
    </xf>
    <xf numFmtId="0" fontId="190" fillId="33" borderId="171" xfId="0" applyFont="1" applyFill="1" applyBorder="1" applyAlignment="1">
      <alignment horizontal="center" vertical="center"/>
    </xf>
    <xf numFmtId="0" fontId="135" fillId="61" borderId="104" xfId="0" applyFont="1" applyFill="1" applyBorder="1" applyAlignment="1">
      <alignment horizontal="center" vertical="center" wrapText="1"/>
    </xf>
    <xf numFmtId="0" fontId="135" fillId="61" borderId="192" xfId="0" applyFont="1" applyFill="1" applyBorder="1" applyAlignment="1">
      <alignment horizontal="center" vertical="center" wrapText="1"/>
    </xf>
    <xf numFmtId="0" fontId="191" fillId="3" borderId="81" xfId="0" applyFont="1" applyFill="1" applyBorder="1" applyAlignment="1">
      <alignment horizontal="center" vertical="center"/>
    </xf>
    <xf numFmtId="0" fontId="191" fillId="3" borderId="83" xfId="0" applyFont="1" applyFill="1" applyBorder="1" applyAlignment="1">
      <alignment horizontal="center" vertical="center"/>
    </xf>
    <xf numFmtId="0" fontId="190" fillId="3" borderId="156" xfId="0" applyFont="1" applyFill="1" applyBorder="1" applyAlignment="1" applyProtection="1">
      <alignment horizontal="center" vertical="center" wrapText="1"/>
      <protection locked="0"/>
    </xf>
    <xf numFmtId="0" fontId="190" fillId="3" borderId="141" xfId="0" applyFont="1" applyFill="1" applyBorder="1" applyAlignment="1" applyProtection="1">
      <alignment horizontal="center" vertical="center" wrapText="1"/>
      <protection locked="0"/>
    </xf>
    <xf numFmtId="0" fontId="190" fillId="32" borderId="6" xfId="0" applyFont="1" applyFill="1" applyBorder="1" applyAlignment="1">
      <alignment horizontal="center" vertical="center" wrapText="1"/>
    </xf>
    <xf numFmtId="0" fontId="190" fillId="32" borderId="0" xfId="0" applyFont="1" applyFill="1" applyBorder="1" applyAlignment="1">
      <alignment horizontal="center" vertical="center" wrapText="1"/>
    </xf>
    <xf numFmtId="0" fontId="190" fillId="32" borderId="10" xfId="0" applyFont="1" applyFill="1" applyBorder="1" applyAlignment="1">
      <alignment horizontal="center" vertical="center" wrapText="1"/>
    </xf>
    <xf numFmtId="0" fontId="190" fillId="32" borderId="193" xfId="0" applyFont="1" applyFill="1" applyBorder="1" applyAlignment="1">
      <alignment horizontal="center" vertical="center" wrapText="1"/>
    </xf>
    <xf numFmtId="0" fontId="190" fillId="32" borderId="102" xfId="0" applyFont="1" applyFill="1" applyBorder="1" applyAlignment="1">
      <alignment horizontal="center" vertical="center" wrapText="1"/>
    </xf>
    <xf numFmtId="0" fontId="2" fillId="61" borderId="20" xfId="0" applyFont="1" applyFill="1" applyBorder="1" applyAlignment="1">
      <alignment horizontal="center" vertical="center"/>
    </xf>
    <xf numFmtId="0" fontId="125" fillId="61" borderId="10" xfId="0" applyFont="1" applyFill="1" applyBorder="1" applyAlignment="1">
      <alignment horizontal="center" vertical="center"/>
    </xf>
    <xf numFmtId="0" fontId="129" fillId="72" borderId="3" xfId="0" applyFont="1" applyFill="1" applyBorder="1" applyAlignment="1">
      <alignment horizontal="center" vertical="center" wrapText="1"/>
    </xf>
    <xf numFmtId="0" fontId="129" fillId="34" borderId="3" xfId="0" applyFont="1" applyFill="1" applyBorder="1" applyAlignment="1" applyProtection="1">
      <alignment horizontal="center" vertical="center" wrapText="1"/>
      <protection locked="0"/>
    </xf>
    <xf numFmtId="0" fontId="129" fillId="32" borderId="68" xfId="0" applyFont="1" applyFill="1" applyBorder="1" applyAlignment="1">
      <alignment horizontal="center" vertical="center" wrapText="1"/>
    </xf>
    <xf numFmtId="0" fontId="129" fillId="32" borderId="13" xfId="0" applyFont="1" applyFill="1" applyBorder="1" applyAlignment="1">
      <alignment horizontal="center" vertical="center" wrapText="1"/>
    </xf>
    <xf numFmtId="0" fontId="129" fillId="73" borderId="68" xfId="0" applyFont="1" applyFill="1" applyBorder="1" applyAlignment="1" applyProtection="1">
      <alignment horizontal="center" vertical="center" wrapText="1"/>
      <protection locked="0"/>
    </xf>
    <xf numFmtId="0" fontId="129" fillId="73" borderId="13" xfId="0" applyFont="1" applyFill="1" applyBorder="1" applyAlignment="1" applyProtection="1">
      <alignment horizontal="center" vertical="center" wrapText="1"/>
      <protection locked="0"/>
    </xf>
    <xf numFmtId="0" fontId="129" fillId="32" borderId="20" xfId="0" applyFont="1" applyFill="1" applyBorder="1" applyAlignment="1">
      <alignment horizontal="center" vertical="center" wrapText="1"/>
    </xf>
    <xf numFmtId="0" fontId="129" fillId="32" borderId="16" xfId="0" applyFont="1" applyFill="1" applyBorder="1" applyAlignment="1">
      <alignment horizontal="center" vertical="center" wrapText="1"/>
    </xf>
    <xf numFmtId="0" fontId="167" fillId="3" borderId="68" xfId="0" applyFont="1" applyFill="1" applyBorder="1" applyAlignment="1" applyProtection="1">
      <alignment horizontal="center" vertical="center" wrapText="1"/>
      <protection locked="0"/>
    </xf>
    <xf numFmtId="0" fontId="167" fillId="3" borderId="13" xfId="0" applyFont="1" applyFill="1" applyBorder="1" applyAlignment="1" applyProtection="1">
      <alignment horizontal="center" vertical="center" wrapText="1"/>
      <protection locked="0"/>
    </xf>
    <xf numFmtId="0" fontId="129" fillId="32" borderId="22" xfId="0" applyFont="1" applyFill="1" applyBorder="1" applyAlignment="1">
      <alignment horizontal="center" vertical="center" wrapText="1"/>
    </xf>
    <xf numFmtId="0" fontId="129" fillId="32" borderId="19" xfId="0" applyFont="1" applyFill="1" applyBorder="1" applyAlignment="1">
      <alignment horizontal="center" vertical="center" wrapText="1"/>
    </xf>
    <xf numFmtId="177" fontId="129" fillId="74" borderId="68" xfId="0" applyNumberFormat="1" applyFont="1" applyFill="1" applyBorder="1" applyAlignment="1" applyProtection="1">
      <alignment horizontal="center" vertical="center" wrapText="1"/>
      <protection locked="0"/>
    </xf>
    <xf numFmtId="177" fontId="129" fillId="74" borderId="13" xfId="0" applyNumberFormat="1" applyFont="1" applyFill="1" applyBorder="1" applyAlignment="1" applyProtection="1">
      <alignment horizontal="center" vertical="center" wrapText="1"/>
      <protection locked="0"/>
    </xf>
    <xf numFmtId="177" fontId="129" fillId="74" borderId="68" xfId="0" applyNumberFormat="1" applyFont="1" applyFill="1" applyBorder="1" applyAlignment="1">
      <alignment horizontal="center" vertical="center" wrapText="1"/>
    </xf>
    <xf numFmtId="0" fontId="129" fillId="32" borderId="26" xfId="0" applyFont="1" applyFill="1" applyBorder="1" applyAlignment="1">
      <alignment horizontal="center" vertical="center" wrapText="1"/>
    </xf>
    <xf numFmtId="0" fontId="129" fillId="3" borderId="3" xfId="0" applyFont="1" applyFill="1" applyBorder="1" applyAlignment="1" applyProtection="1">
      <alignment horizontal="center" vertical="center" wrapText="1"/>
      <protection locked="0"/>
    </xf>
    <xf numFmtId="197" fontId="129" fillId="3" borderId="3" xfId="0" applyNumberFormat="1" applyFont="1" applyFill="1" applyBorder="1" applyAlignment="1" applyProtection="1">
      <alignment horizontal="center" vertical="center" wrapText="1"/>
      <protection locked="0"/>
    </xf>
    <xf numFmtId="0" fontId="121" fillId="0" borderId="0" xfId="0" applyFont="1" applyFill="1" applyAlignment="1">
      <alignment horizontal="center" vertical="center"/>
    </xf>
    <xf numFmtId="0" fontId="6" fillId="32" borderId="3" xfId="0" applyFont="1" applyFill="1" applyBorder="1" applyAlignment="1">
      <alignment horizontal="center" vertical="center"/>
    </xf>
    <xf numFmtId="0" fontId="118" fillId="38" borderId="3" xfId="0" applyFont="1" applyFill="1" applyBorder="1" applyAlignment="1" applyProtection="1">
      <alignment horizontal="center" vertical="center"/>
      <protection locked="0"/>
    </xf>
    <xf numFmtId="0" fontId="186" fillId="38" borderId="3" xfId="0" applyFont="1" applyFill="1" applyBorder="1" applyAlignment="1" applyProtection="1">
      <alignment horizontal="center" vertical="center"/>
      <protection locked="0"/>
    </xf>
    <xf numFmtId="0" fontId="192" fillId="0" borderId="4" xfId="0" applyFont="1" applyBorder="1" applyAlignment="1">
      <alignment horizontal="center" vertical="center"/>
    </xf>
    <xf numFmtId="0" fontId="192" fillId="0" borderId="5" xfId="0" applyFont="1" applyBorder="1" applyAlignment="1">
      <alignment horizontal="center" vertical="center"/>
    </xf>
    <xf numFmtId="0" fontId="192" fillId="0" borderId="6" xfId="0" applyFont="1" applyBorder="1" applyAlignment="1">
      <alignment horizontal="center" vertical="center"/>
    </xf>
    <xf numFmtId="0" fontId="192" fillId="0" borderId="0" xfId="0" applyFont="1" applyAlignment="1">
      <alignment horizontal="center" vertical="center"/>
    </xf>
    <xf numFmtId="0" fontId="192" fillId="0" borderId="27" xfId="0" applyFont="1" applyBorder="1" applyAlignment="1">
      <alignment horizontal="center" vertical="center"/>
    </xf>
    <xf numFmtId="0" fontId="192" fillId="0" borderId="28" xfId="0" applyFont="1" applyBorder="1" applyAlignment="1">
      <alignment horizontal="center" vertical="center"/>
    </xf>
    <xf numFmtId="0" fontId="127" fillId="75" borderId="3" xfId="0" applyFont="1" applyFill="1" applyBorder="1" applyAlignment="1" applyProtection="1">
      <alignment horizontal="center" vertical="center"/>
      <protection locked="0"/>
    </xf>
    <xf numFmtId="0" fontId="127" fillId="75" borderId="3" xfId="0" applyNumberFormat="1" applyFont="1" applyFill="1" applyBorder="1" applyAlignment="1" applyProtection="1">
      <alignment horizontal="center" vertical="center"/>
      <protection locked="0"/>
    </xf>
    <xf numFmtId="9" fontId="127" fillId="75" borderId="3" xfId="0" applyNumberFormat="1" applyFont="1" applyFill="1" applyBorder="1" applyAlignment="1" applyProtection="1">
      <alignment horizontal="center" vertical="center"/>
      <protection locked="0"/>
    </xf>
    <xf numFmtId="0" fontId="190" fillId="3" borderId="154" xfId="0" applyFont="1" applyFill="1" applyBorder="1" applyAlignment="1" applyProtection="1">
      <alignment horizontal="center" vertical="center" wrapText="1"/>
      <protection locked="0"/>
    </xf>
    <xf numFmtId="0" fontId="190" fillId="3" borderId="155" xfId="0" applyFont="1" applyFill="1" applyBorder="1" applyAlignment="1" applyProtection="1">
      <alignment horizontal="center" vertical="center" wrapText="1"/>
      <protection locked="0"/>
    </xf>
    <xf numFmtId="0" fontId="129" fillId="72" borderId="68" xfId="0" applyFont="1" applyFill="1" applyBorder="1" applyAlignment="1">
      <alignment horizontal="center" vertical="center" wrapText="1"/>
    </xf>
    <xf numFmtId="0" fontId="129" fillId="72" borderId="26" xfId="0" applyFont="1" applyFill="1" applyBorder="1" applyAlignment="1">
      <alignment horizontal="center" vertical="center" wrapText="1"/>
    </xf>
    <xf numFmtId="0" fontId="129" fillId="72" borderId="13" xfId="0" applyFont="1" applyFill="1" applyBorder="1" applyAlignment="1">
      <alignment horizontal="center" vertical="center" wrapText="1"/>
    </xf>
    <xf numFmtId="0" fontId="129" fillId="34" borderId="68" xfId="0" applyFont="1" applyFill="1" applyBorder="1" applyAlignment="1" applyProtection="1">
      <alignment horizontal="center" vertical="center" wrapText="1"/>
      <protection locked="0"/>
    </xf>
    <xf numFmtId="0" fontId="129" fillId="34" borderId="26" xfId="0" applyFont="1" applyFill="1" applyBorder="1" applyAlignment="1" applyProtection="1">
      <alignment horizontal="center" vertical="center" wrapText="1"/>
      <protection locked="0"/>
    </xf>
    <xf numFmtId="0" fontId="129" fillId="34" borderId="13" xfId="0" applyFont="1" applyFill="1" applyBorder="1" applyAlignment="1" applyProtection="1">
      <alignment horizontal="center" vertical="center" wrapText="1"/>
      <protection locked="0"/>
    </xf>
    <xf numFmtId="0" fontId="129" fillId="3" borderId="68" xfId="0" applyFont="1" applyFill="1" applyBorder="1" applyAlignment="1" applyProtection="1">
      <alignment horizontal="center" vertical="center" wrapText="1"/>
      <protection locked="0"/>
    </xf>
    <xf numFmtId="0" fontId="129" fillId="3" borderId="13" xfId="0" applyFont="1" applyFill="1" applyBorder="1" applyAlignment="1" applyProtection="1">
      <alignment horizontal="center" vertical="center" wrapText="1"/>
      <protection locked="0"/>
    </xf>
    <xf numFmtId="0" fontId="193" fillId="3" borderId="68" xfId="0" applyFont="1" applyFill="1" applyBorder="1" applyAlignment="1" applyProtection="1">
      <alignment horizontal="center" vertical="center" wrapText="1"/>
      <protection locked="0"/>
    </xf>
    <xf numFmtId="177" fontId="129" fillId="74" borderId="13" xfId="0" applyNumberFormat="1" applyFont="1" applyFill="1" applyBorder="1" applyAlignment="1">
      <alignment horizontal="center" vertical="center" wrapText="1"/>
    </xf>
    <xf numFmtId="0" fontId="129" fillId="74" borderId="68" xfId="0" applyFont="1" applyFill="1" applyBorder="1" applyAlignment="1" applyProtection="1">
      <alignment horizontal="center" vertical="center" wrapText="1"/>
      <protection locked="0"/>
    </xf>
    <xf numFmtId="0" fontId="129" fillId="74" borderId="13" xfId="0" applyFont="1" applyFill="1" applyBorder="1" applyAlignment="1" applyProtection="1">
      <alignment horizontal="center" vertical="center" wrapText="1"/>
      <protection locked="0"/>
    </xf>
    <xf numFmtId="0" fontId="73" fillId="0" borderId="0" xfId="0" applyFont="1" applyFill="1" applyBorder="1" applyAlignment="1">
      <alignment horizontal="center" vertical="center"/>
    </xf>
    <xf numFmtId="0" fontId="192" fillId="0" borderId="11" xfId="0" applyFont="1" applyBorder="1" applyAlignment="1">
      <alignment horizontal="center" vertical="center"/>
    </xf>
    <xf numFmtId="0" fontId="192" fillId="0" borderId="12" xfId="0" applyFont="1" applyBorder="1" applyAlignment="1">
      <alignment horizontal="center" vertical="center"/>
    </xf>
    <xf numFmtId="0" fontId="192" fillId="0" borderId="30" xfId="0" applyFont="1" applyBorder="1" applyAlignment="1">
      <alignment horizontal="center" vertical="center"/>
    </xf>
    <xf numFmtId="0" fontId="0" fillId="0" borderId="0" xfId="0" applyFont="1">
      <alignment vertical="center"/>
    </xf>
    <xf numFmtId="49" fontId="194" fillId="61" borderId="173" xfId="0" applyNumberFormat="1" applyFont="1" applyFill="1" applyBorder="1" applyAlignment="1">
      <alignment horizontal="center" vertical="center"/>
    </xf>
    <xf numFmtId="49" fontId="134" fillId="61" borderId="168" xfId="0" applyNumberFormat="1" applyFont="1" applyFill="1" applyBorder="1" applyAlignment="1">
      <alignment horizontal="center" vertical="center"/>
    </xf>
    <xf numFmtId="0" fontId="169" fillId="72" borderId="72" xfId="0" applyFont="1" applyFill="1" applyBorder="1" applyAlignment="1">
      <alignment horizontal="center" vertical="center"/>
    </xf>
    <xf numFmtId="0" fontId="169" fillId="72" borderId="148" xfId="0" applyFont="1" applyFill="1" applyBorder="1" applyAlignment="1">
      <alignment horizontal="center" vertical="center"/>
    </xf>
    <xf numFmtId="0" fontId="190" fillId="33" borderId="3" xfId="0" applyFont="1" applyFill="1" applyBorder="1" applyAlignment="1" applyProtection="1">
      <alignment horizontal="center" vertical="center"/>
      <protection locked="0"/>
    </xf>
    <xf numFmtId="0" fontId="190" fillId="33" borderId="150" xfId="0" applyFont="1" applyFill="1" applyBorder="1" applyAlignment="1" applyProtection="1">
      <alignment horizontal="center" vertical="center"/>
      <protection locked="0"/>
    </xf>
    <xf numFmtId="0" fontId="190" fillId="3" borderId="150" xfId="0" applyFont="1" applyFill="1" applyBorder="1" applyAlignment="1" applyProtection="1">
      <alignment horizontal="center" vertical="center"/>
      <protection locked="0"/>
    </xf>
    <xf numFmtId="0" fontId="190" fillId="33" borderId="150" xfId="0" applyFont="1" applyFill="1" applyBorder="1" applyAlignment="1">
      <alignment horizontal="center" vertical="center"/>
    </xf>
    <xf numFmtId="0" fontId="190" fillId="33" borderId="148" xfId="0" applyFont="1" applyFill="1" applyBorder="1" applyAlignment="1">
      <alignment horizontal="center" vertical="center"/>
    </xf>
    <xf numFmtId="0" fontId="190" fillId="33" borderId="194" xfId="0" applyFont="1" applyFill="1" applyBorder="1" applyAlignment="1">
      <alignment horizontal="center" vertical="center"/>
    </xf>
    <xf numFmtId="0" fontId="2" fillId="61" borderId="50" xfId="0" applyFont="1" applyFill="1" applyBorder="1" applyAlignment="1">
      <alignment horizontal="center" vertical="center"/>
    </xf>
    <xf numFmtId="0" fontId="135" fillId="61" borderId="195" xfId="0" applyFont="1" applyFill="1" applyBorder="1" applyAlignment="1">
      <alignment horizontal="center" vertical="center" wrapText="1"/>
    </xf>
    <xf numFmtId="49" fontId="189" fillId="32" borderId="51" xfId="0" applyNumberFormat="1" applyFont="1" applyFill="1" applyBorder="1" applyAlignment="1">
      <alignment horizontal="center" vertical="top" wrapText="1"/>
    </xf>
    <xf numFmtId="49" fontId="189" fillId="32" borderId="52" xfId="0" applyNumberFormat="1" applyFont="1" applyFill="1" applyBorder="1" applyAlignment="1">
      <alignment horizontal="center" vertical="top" wrapText="1"/>
    </xf>
    <xf numFmtId="0" fontId="190" fillId="3" borderId="196" xfId="0" applyFont="1" applyFill="1" applyBorder="1" applyAlignment="1" applyProtection="1">
      <alignment horizontal="center" vertical="center" wrapText="1"/>
      <protection locked="0"/>
    </xf>
    <xf numFmtId="49" fontId="118" fillId="3" borderId="197" xfId="0" applyNumberFormat="1" applyFont="1" applyFill="1" applyBorder="1" applyAlignment="1" applyProtection="1">
      <alignment horizontal="center" vertical="center" wrapText="1"/>
      <protection locked="0"/>
    </xf>
    <xf numFmtId="49" fontId="118" fillId="3" borderId="198" xfId="0" applyNumberFormat="1" applyFont="1" applyFill="1" applyBorder="1" applyAlignment="1" applyProtection="1">
      <alignment horizontal="center" vertical="center" wrapText="1"/>
      <protection locked="0"/>
    </xf>
    <xf numFmtId="0" fontId="190" fillId="32" borderId="15" xfId="0" applyFont="1" applyFill="1" applyBorder="1" applyAlignment="1">
      <alignment horizontal="center" vertical="center" wrapText="1"/>
    </xf>
    <xf numFmtId="49" fontId="108" fillId="33" borderId="114" xfId="0" applyNumberFormat="1" applyFont="1" applyFill="1" applyBorder="1" applyAlignment="1" applyProtection="1">
      <alignment horizontal="center" vertical="center" wrapText="1"/>
      <protection locked="0"/>
    </xf>
    <xf numFmtId="49" fontId="108" fillId="33" borderId="115" xfId="0" applyNumberFormat="1" applyFont="1" applyFill="1" applyBorder="1" applyAlignment="1" applyProtection="1">
      <alignment horizontal="center" vertical="center" wrapText="1"/>
      <protection locked="0"/>
    </xf>
    <xf numFmtId="0" fontId="190" fillId="32" borderId="199" xfId="0" applyFont="1" applyFill="1" applyBorder="1" applyAlignment="1">
      <alignment horizontal="center" vertical="center" wrapText="1"/>
    </xf>
    <xf numFmtId="49" fontId="108" fillId="3" borderId="114" xfId="0" applyNumberFormat="1" applyFont="1" applyFill="1" applyBorder="1" applyAlignment="1" applyProtection="1">
      <alignment horizontal="center" vertical="center" wrapText="1"/>
      <protection locked="0"/>
    </xf>
    <xf numFmtId="49" fontId="108" fillId="3" borderId="115" xfId="0" applyNumberFormat="1" applyFont="1" applyFill="1" applyBorder="1" applyAlignment="1" applyProtection="1">
      <alignment horizontal="center" vertical="center" wrapText="1"/>
      <protection locked="0"/>
    </xf>
    <xf numFmtId="49" fontId="108" fillId="3" borderId="27" xfId="0" applyNumberFormat="1" applyFont="1" applyFill="1" applyBorder="1" applyAlignment="1" applyProtection="1">
      <alignment horizontal="center" vertical="center" wrapText="1"/>
      <protection locked="0"/>
    </xf>
    <xf numFmtId="49" fontId="108" fillId="3" borderId="28" xfId="0" applyNumberFormat="1" applyFont="1" applyFill="1" applyBorder="1" applyAlignment="1" applyProtection="1">
      <alignment horizontal="center" vertical="center" wrapText="1"/>
      <protection locked="0"/>
    </xf>
    <xf numFmtId="0" fontId="125" fillId="61" borderId="16" xfId="0" applyFont="1" applyFill="1" applyBorder="1" applyAlignment="1">
      <alignment horizontal="center" vertical="center"/>
    </xf>
    <xf numFmtId="0" fontId="195" fillId="61" borderId="4" xfId="0" applyFont="1" applyFill="1" applyBorder="1" applyAlignment="1">
      <alignment horizontal="center" vertical="center"/>
    </xf>
    <xf numFmtId="0" fontId="6" fillId="32" borderId="200" xfId="0" applyFont="1" applyFill="1" applyBorder="1" applyAlignment="1">
      <alignment horizontal="center" vertical="center"/>
    </xf>
    <xf numFmtId="0" fontId="6" fillId="32" borderId="201" xfId="0" applyFont="1" applyFill="1" applyBorder="1" applyAlignment="1">
      <alignment horizontal="center" vertical="center"/>
    </xf>
    <xf numFmtId="0" fontId="7" fillId="33" borderId="4" xfId="0" applyFont="1" applyFill="1" applyBorder="1" applyAlignment="1" applyProtection="1">
      <alignment horizontal="center" vertical="center"/>
      <protection locked="0"/>
    </xf>
    <xf numFmtId="0" fontId="7" fillId="33" borderId="5" xfId="0" applyFont="1" applyFill="1" applyBorder="1" applyAlignment="1" applyProtection="1">
      <alignment horizontal="center" vertical="center"/>
      <protection locked="0"/>
    </xf>
    <xf numFmtId="0" fontId="7" fillId="33" borderId="27" xfId="0" applyFont="1" applyFill="1" applyBorder="1" applyAlignment="1" applyProtection="1">
      <alignment horizontal="center" vertical="center"/>
      <protection locked="0"/>
    </xf>
    <xf numFmtId="0" fontId="7" fillId="33" borderId="28" xfId="0" applyFont="1" applyFill="1" applyBorder="1" applyAlignment="1" applyProtection="1">
      <alignment horizontal="center" vertical="center"/>
      <protection locked="0"/>
    </xf>
    <xf numFmtId="0" fontId="193" fillId="3" borderId="13" xfId="0" applyFont="1" applyFill="1" applyBorder="1" applyAlignment="1" applyProtection="1">
      <alignment horizontal="center" vertical="center" wrapText="1"/>
      <protection locked="0"/>
    </xf>
    <xf numFmtId="0" fontId="2" fillId="61" borderId="200" xfId="0" applyFont="1" applyFill="1" applyBorder="1" applyAlignment="1">
      <alignment horizontal="center" vertical="center"/>
    </xf>
    <xf numFmtId="0" fontId="2" fillId="61" borderId="201" xfId="0" applyFont="1" applyFill="1" applyBorder="1" applyAlignment="1">
      <alignment horizontal="center" vertical="center"/>
    </xf>
    <xf numFmtId="0" fontId="45" fillId="32" borderId="4" xfId="0" applyFont="1" applyFill="1" applyBorder="1" applyAlignment="1" applyProtection="1">
      <alignment horizontal="center" vertical="center"/>
      <protection locked="0"/>
    </xf>
    <xf numFmtId="0" fontId="45" fillId="32" borderId="5" xfId="0" applyFont="1" applyFill="1" applyBorder="1" applyAlignment="1" applyProtection="1">
      <alignment horizontal="center" vertical="center"/>
      <protection locked="0"/>
    </xf>
    <xf numFmtId="0" fontId="45" fillId="32" borderId="27" xfId="0" applyFont="1" applyFill="1" applyBorder="1" applyAlignment="1" applyProtection="1">
      <alignment horizontal="center" vertical="center"/>
      <protection locked="0"/>
    </xf>
    <xf numFmtId="0" fontId="45" fillId="32" borderId="28" xfId="0" applyFont="1" applyFill="1" applyBorder="1" applyAlignment="1" applyProtection="1">
      <alignment horizontal="center" vertical="center"/>
      <protection locked="0"/>
    </xf>
    <xf numFmtId="0" fontId="127" fillId="3" borderId="21" xfId="0" applyFont="1" applyFill="1" applyBorder="1" applyAlignment="1" applyProtection="1">
      <alignment horizontal="center" vertical="center"/>
      <protection locked="0"/>
    </xf>
    <xf numFmtId="0" fontId="6" fillId="43" borderId="20" xfId="0" applyFont="1" applyFill="1" applyBorder="1" applyAlignment="1" applyProtection="1">
      <alignment horizontal="center" vertical="center"/>
      <protection locked="0"/>
    </xf>
    <xf numFmtId="0" fontId="127" fillId="3" borderId="20" xfId="0" applyFont="1" applyFill="1" applyBorder="1" applyAlignment="1" applyProtection="1">
      <alignment horizontal="center" vertical="center"/>
      <protection locked="0"/>
    </xf>
    <xf numFmtId="0" fontId="6" fillId="43" borderId="68" xfId="0" applyFont="1" applyFill="1" applyBorder="1" applyAlignment="1" applyProtection="1">
      <alignment horizontal="center" vertical="center"/>
      <protection locked="0"/>
    </xf>
    <xf numFmtId="49" fontId="109" fillId="3" borderId="202" xfId="0" applyNumberFormat="1" applyFont="1" applyFill="1" applyBorder="1" applyAlignment="1" applyProtection="1">
      <alignment horizontal="center" vertical="center" wrapText="1"/>
      <protection locked="0"/>
    </xf>
    <xf numFmtId="49" fontId="189" fillId="32" borderId="52" xfId="0" applyNumberFormat="1" applyFont="1" applyFill="1" applyBorder="1" applyAlignment="1">
      <alignment horizontal="center" vertical="top"/>
    </xf>
    <xf numFmtId="49" fontId="118" fillId="3" borderId="97" xfId="0" applyNumberFormat="1" applyFont="1" applyFill="1" applyBorder="1" applyAlignment="1" applyProtection="1">
      <alignment horizontal="center" vertical="center" wrapText="1"/>
      <protection locked="0"/>
    </xf>
    <xf numFmtId="49" fontId="118" fillId="3" borderId="96" xfId="0" applyNumberFormat="1" applyFont="1" applyFill="1" applyBorder="1" applyAlignment="1" applyProtection="1">
      <alignment horizontal="center" vertical="center" wrapText="1"/>
      <protection locked="0"/>
    </xf>
    <xf numFmtId="49" fontId="108" fillId="33" borderId="99" xfId="0" applyNumberFormat="1" applyFont="1" applyFill="1" applyBorder="1" applyAlignment="1" applyProtection="1">
      <alignment horizontal="center" vertical="center" wrapText="1"/>
      <protection locked="0"/>
    </xf>
    <xf numFmtId="49" fontId="108" fillId="3" borderId="99" xfId="0" applyNumberFormat="1" applyFont="1" applyFill="1" applyBorder="1" applyAlignment="1" applyProtection="1">
      <alignment horizontal="center" vertical="center" wrapText="1"/>
      <protection locked="0"/>
    </xf>
    <xf numFmtId="49" fontId="108" fillId="3" borderId="101" xfId="0" applyNumberFormat="1" applyFont="1" applyFill="1" applyBorder="1" applyAlignment="1" applyProtection="1">
      <alignment horizontal="center" vertical="center" wrapText="1"/>
      <protection locked="0"/>
    </xf>
    <xf numFmtId="49" fontId="108" fillId="3" borderId="100" xfId="0" applyNumberFormat="1" applyFont="1" applyFill="1" applyBorder="1" applyAlignment="1" applyProtection="1">
      <alignment horizontal="center" vertical="center" wrapText="1"/>
      <protection locked="0"/>
    </xf>
    <xf numFmtId="0" fontId="6" fillId="32" borderId="203" xfId="0" applyFont="1" applyFill="1" applyBorder="1" applyAlignment="1">
      <alignment horizontal="center" vertical="center"/>
    </xf>
    <xf numFmtId="0" fontId="7" fillId="33" borderId="11" xfId="0" applyFont="1" applyFill="1" applyBorder="1" applyAlignment="1" applyProtection="1">
      <alignment horizontal="center" vertical="center"/>
      <protection locked="0"/>
    </xf>
    <xf numFmtId="0" fontId="108" fillId="3" borderId="4" xfId="0" applyFont="1" applyFill="1" applyBorder="1" applyAlignment="1" applyProtection="1">
      <alignment horizontal="center" vertical="center"/>
      <protection locked="0"/>
    </xf>
    <xf numFmtId="0" fontId="108" fillId="3" borderId="5" xfId="0" applyFont="1" applyFill="1" applyBorder="1" applyAlignment="1" applyProtection="1">
      <alignment horizontal="center" vertical="center"/>
      <protection locked="0"/>
    </xf>
    <xf numFmtId="0" fontId="108" fillId="3" borderId="11" xfId="0" applyFont="1" applyFill="1" applyBorder="1" applyAlignment="1" applyProtection="1">
      <alignment horizontal="center" vertical="center"/>
      <protection locked="0"/>
    </xf>
    <xf numFmtId="0" fontId="7" fillId="33" borderId="30" xfId="0" applyFont="1" applyFill="1" applyBorder="1" applyAlignment="1" applyProtection="1">
      <alignment horizontal="center" vertical="center"/>
      <protection locked="0"/>
    </xf>
    <xf numFmtId="0" fontId="108" fillId="3" borderId="27" xfId="0" applyFont="1" applyFill="1" applyBorder="1" applyAlignment="1" applyProtection="1">
      <alignment horizontal="center" vertical="center"/>
      <protection locked="0"/>
    </xf>
    <xf numFmtId="0" fontId="108" fillId="3" borderId="28" xfId="0" applyFont="1" applyFill="1" applyBorder="1" applyAlignment="1" applyProtection="1">
      <alignment horizontal="center" vertical="center"/>
      <protection locked="0"/>
    </xf>
    <xf numFmtId="0" fontId="108" fillId="3" borderId="30" xfId="0" applyFont="1" applyFill="1" applyBorder="1" applyAlignment="1" applyProtection="1">
      <alignment horizontal="center" vertical="center"/>
      <protection locked="0"/>
    </xf>
    <xf numFmtId="0" fontId="45" fillId="32" borderId="11" xfId="0" applyFont="1" applyFill="1" applyBorder="1" applyAlignment="1" applyProtection="1">
      <alignment horizontal="center" vertical="center"/>
      <protection locked="0"/>
    </xf>
    <xf numFmtId="0" fontId="6" fillId="32" borderId="4" xfId="0" applyFont="1" applyFill="1" applyBorder="1" applyAlignment="1" applyProtection="1">
      <alignment horizontal="center" vertical="center"/>
      <protection locked="0"/>
    </xf>
    <xf numFmtId="0" fontId="6" fillId="32" borderId="85" xfId="0" applyFont="1" applyFill="1" applyBorder="1" applyAlignment="1" applyProtection="1">
      <alignment horizontal="center" vertical="center"/>
      <protection locked="0"/>
    </xf>
    <xf numFmtId="0" fontId="45" fillId="32" borderId="30" xfId="0" applyFont="1" applyFill="1" applyBorder="1" applyAlignment="1" applyProtection="1">
      <alignment horizontal="center" vertical="center"/>
      <protection locked="0"/>
    </xf>
    <xf numFmtId="0" fontId="6" fillId="32" borderId="185" xfId="0" applyFont="1" applyFill="1" applyBorder="1" applyAlignment="1" applyProtection="1">
      <alignment horizontal="center" vertical="center"/>
      <protection locked="0"/>
    </xf>
    <xf numFmtId="0" fontId="6" fillId="32" borderId="187" xfId="0"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6" fillId="3" borderId="68" xfId="0" applyFont="1" applyFill="1" applyBorder="1" applyAlignment="1" applyProtection="1">
      <alignment horizontal="center" vertical="center"/>
      <protection locked="0"/>
    </xf>
    <xf numFmtId="0" fontId="6" fillId="32" borderId="81" xfId="0" applyFont="1" applyFill="1" applyBorder="1" applyAlignment="1">
      <alignment horizontal="center" vertical="center"/>
    </xf>
    <xf numFmtId="0" fontId="6" fillId="32" borderId="82" xfId="0" applyFont="1" applyFill="1" applyBorder="1" applyAlignment="1">
      <alignment horizontal="center" vertical="center"/>
    </xf>
    <xf numFmtId="0" fontId="6" fillId="32" borderId="174" xfId="0" applyFont="1" applyFill="1" applyBorder="1">
      <alignment vertical="center"/>
    </xf>
    <xf numFmtId="0" fontId="108" fillId="3" borderId="4" xfId="0" applyFont="1" applyFill="1" applyBorder="1" applyAlignment="1">
      <alignment horizontal="center" vertical="center"/>
    </xf>
    <xf numFmtId="0" fontId="108" fillId="3" borderId="204" xfId="0" applyFont="1" applyFill="1" applyBorder="1" applyAlignment="1">
      <alignment horizontal="center" vertical="center"/>
    </xf>
    <xf numFmtId="0" fontId="108" fillId="3" borderId="205" xfId="0" applyFont="1" applyFill="1" applyBorder="1" applyAlignment="1">
      <alignment horizontal="center" vertical="center"/>
    </xf>
    <xf numFmtId="0" fontId="108" fillId="3" borderId="206" xfId="0" applyFont="1" applyFill="1" applyBorder="1" applyAlignment="1">
      <alignment horizontal="center" vertical="center"/>
    </xf>
    <xf numFmtId="0" fontId="108" fillId="32" borderId="81" xfId="0" applyFont="1" applyFill="1" applyBorder="1" applyAlignment="1">
      <alignment horizontal="center" vertical="center"/>
    </xf>
    <xf numFmtId="0" fontId="108" fillId="32" borderId="82" xfId="0" applyFont="1" applyFill="1" applyBorder="1" applyAlignment="1">
      <alignment horizontal="center" vertical="center"/>
    </xf>
    <xf numFmtId="198" fontId="6" fillId="2" borderId="185" xfId="0" applyNumberFormat="1" applyFont="1" applyFill="1" applyBorder="1" applyAlignment="1" applyProtection="1">
      <alignment horizontal="center" vertical="center"/>
      <protection locked="0"/>
    </xf>
    <xf numFmtId="198" fontId="6" fillId="2" borderId="186" xfId="0" applyNumberFormat="1" applyFont="1" applyFill="1" applyBorder="1" applyAlignment="1" applyProtection="1">
      <alignment horizontal="center" vertical="center"/>
      <protection locked="0"/>
    </xf>
    <xf numFmtId="198" fontId="6" fillId="2" borderId="187" xfId="0" applyNumberFormat="1" applyFont="1" applyFill="1" applyBorder="1" applyAlignment="1" applyProtection="1">
      <alignment horizontal="center" vertical="center"/>
      <protection locked="0"/>
    </xf>
    <xf numFmtId="0" fontId="108" fillId="3" borderId="204" xfId="0" applyFont="1" applyFill="1" applyBorder="1" applyAlignment="1" applyProtection="1">
      <alignment horizontal="center" vertical="center"/>
      <protection locked="0"/>
    </xf>
    <xf numFmtId="0" fontId="108" fillId="3" borderId="205" xfId="0" applyFont="1" applyFill="1" applyBorder="1" applyAlignment="1" applyProtection="1">
      <alignment horizontal="center" vertical="center"/>
      <protection locked="0"/>
    </xf>
    <xf numFmtId="0" fontId="108" fillId="3" borderId="206" xfId="0" applyFont="1" applyFill="1" applyBorder="1" applyAlignment="1" applyProtection="1">
      <alignment horizontal="center" vertical="center"/>
      <protection locked="0"/>
    </xf>
    <xf numFmtId="0" fontId="108" fillId="32" borderId="81" xfId="0" applyFont="1" applyFill="1" applyBorder="1" applyAlignment="1" applyProtection="1">
      <alignment horizontal="center" vertical="center"/>
      <protection locked="0"/>
    </xf>
    <xf numFmtId="0" fontId="108" fillId="32" borderId="82" xfId="0" applyFont="1" applyFill="1" applyBorder="1" applyAlignment="1" applyProtection="1">
      <alignment horizontal="center" vertical="center"/>
      <protection locked="0"/>
    </xf>
    <xf numFmtId="0" fontId="196" fillId="0" borderId="0" xfId="0" applyFont="1" applyFill="1" applyBorder="1" applyAlignment="1">
      <alignment vertical="top" wrapText="1"/>
    </xf>
    <xf numFmtId="0" fontId="197" fillId="32" borderId="3" xfId="0" applyFont="1" applyFill="1" applyBorder="1" applyAlignment="1">
      <alignment horizontal="center" vertical="center" wrapText="1"/>
    </xf>
    <xf numFmtId="0" fontId="198" fillId="3" borderId="3" xfId="0" applyFont="1" applyFill="1" applyBorder="1" applyAlignment="1">
      <alignment horizontal="left" vertical="top" wrapText="1"/>
    </xf>
    <xf numFmtId="49" fontId="109" fillId="3" borderId="207" xfId="0" applyNumberFormat="1" applyFont="1" applyFill="1" applyBorder="1" applyAlignment="1" applyProtection="1">
      <alignment horizontal="center" vertical="center" wrapText="1"/>
      <protection locked="0"/>
    </xf>
    <xf numFmtId="0" fontId="2" fillId="61" borderId="56" xfId="0" applyFont="1" applyFill="1" applyBorder="1" applyAlignment="1">
      <alignment horizontal="center" vertical="center"/>
    </xf>
    <xf numFmtId="49" fontId="189" fillId="32" borderId="58" xfId="0" applyNumberFormat="1" applyFont="1" applyFill="1" applyBorder="1" applyAlignment="1">
      <alignment horizontal="center" vertical="top"/>
    </xf>
    <xf numFmtId="49" fontId="118" fillId="3" borderId="208" xfId="0" applyNumberFormat="1" applyFont="1" applyFill="1" applyBorder="1" applyAlignment="1" applyProtection="1">
      <alignment horizontal="center" vertical="center" wrapText="1"/>
      <protection locked="0"/>
    </xf>
    <xf numFmtId="49" fontId="108" fillId="33" borderId="176" xfId="0" applyNumberFormat="1" applyFont="1" applyFill="1" applyBorder="1" applyAlignment="1" applyProtection="1">
      <alignment horizontal="center" vertical="center" wrapText="1"/>
      <protection locked="0"/>
    </xf>
    <xf numFmtId="49" fontId="108" fillId="3" borderId="176" xfId="0" applyNumberFormat="1" applyFont="1" applyFill="1" applyBorder="1" applyAlignment="1" applyProtection="1">
      <alignment horizontal="center" vertical="center" wrapText="1"/>
      <protection locked="0"/>
    </xf>
    <xf numFmtId="0" fontId="45" fillId="32" borderId="3" xfId="0" applyFont="1" applyFill="1" applyBorder="1" applyAlignment="1">
      <alignment horizontal="center" vertical="center"/>
    </xf>
    <xf numFmtId="0" fontId="121" fillId="3" borderId="3" xfId="0" applyFont="1" applyFill="1" applyBorder="1" applyAlignment="1" applyProtection="1">
      <alignment horizontal="center" vertical="center"/>
      <protection locked="0"/>
    </xf>
    <xf numFmtId="0" fontId="199" fillId="3" borderId="3" xfId="0" applyFont="1" applyFill="1" applyBorder="1" applyAlignment="1" applyProtection="1">
      <alignment horizontal="center" vertical="center"/>
      <protection locked="0"/>
    </xf>
    <xf numFmtId="49" fontId="108" fillId="3" borderId="30" xfId="0" applyNumberFormat="1" applyFont="1" applyFill="1" applyBorder="1" applyAlignment="1" applyProtection="1">
      <alignment horizontal="center" vertical="center" wrapText="1"/>
      <protection locked="0"/>
    </xf>
    <xf numFmtId="0" fontId="195" fillId="61" borderId="84" xfId="0" applyFont="1" applyFill="1" applyBorder="1" applyAlignment="1">
      <alignment horizontal="center" vertical="center"/>
    </xf>
    <xf numFmtId="0" fontId="6" fillId="32" borderId="165" xfId="0" applyFont="1" applyFill="1" applyBorder="1">
      <alignment vertical="center"/>
    </xf>
    <xf numFmtId="0" fontId="6" fillId="32" borderId="4" xfId="0" applyFont="1" applyFill="1" applyBorder="1" applyAlignment="1">
      <alignment horizontal="center" vertical="center"/>
    </xf>
    <xf numFmtId="0" fontId="6" fillId="32" borderId="11" xfId="0" applyFont="1" applyFill="1" applyBorder="1" applyAlignment="1">
      <alignment horizontal="center" vertical="center"/>
    </xf>
    <xf numFmtId="0" fontId="108" fillId="3" borderId="209" xfId="0" applyFont="1" applyFill="1" applyBorder="1" applyAlignment="1">
      <alignment horizontal="center" vertical="center"/>
    </xf>
    <xf numFmtId="0" fontId="6" fillId="32" borderId="27" xfId="0" applyFont="1" applyFill="1" applyBorder="1" applyAlignment="1">
      <alignment horizontal="center" vertical="center"/>
    </xf>
    <xf numFmtId="0" fontId="6" fillId="32" borderId="30" xfId="0" applyFont="1" applyFill="1" applyBorder="1" applyAlignment="1">
      <alignment horizontal="center" vertical="center"/>
    </xf>
    <xf numFmtId="0" fontId="108" fillId="3" borderId="22" xfId="0" applyFont="1" applyFill="1" applyBorder="1" applyAlignment="1">
      <alignment horizontal="center" vertical="center"/>
    </xf>
    <xf numFmtId="0" fontId="108" fillId="3" borderId="23" xfId="0" applyFont="1" applyFill="1" applyBorder="1" applyAlignment="1">
      <alignment horizontal="center" vertical="center"/>
    </xf>
    <xf numFmtId="0" fontId="81" fillId="63" borderId="3" xfId="0" applyFont="1" applyFill="1" applyBorder="1" applyAlignment="1">
      <alignment horizontal="center" vertical="center"/>
    </xf>
    <xf numFmtId="0" fontId="108" fillId="3" borderId="209" xfId="0" applyFont="1" applyFill="1" applyBorder="1" applyAlignment="1" applyProtection="1">
      <alignment horizontal="center" vertical="center"/>
      <protection locked="0"/>
    </xf>
    <xf numFmtId="0" fontId="177" fillId="0" borderId="0" xfId="0" applyNumberFormat="1" applyFont="1" applyBorder="1" applyAlignment="1">
      <alignment horizontal="center" vertical="top"/>
    </xf>
    <xf numFmtId="0" fontId="2" fillId="61" borderId="203" xfId="0" applyFont="1" applyFill="1" applyBorder="1" applyAlignment="1">
      <alignment horizontal="center" vertical="center"/>
    </xf>
    <xf numFmtId="0" fontId="6" fillId="32" borderId="203" xfId="0" applyFont="1" applyFill="1" applyBorder="1" applyAlignment="1" applyProtection="1">
      <alignment horizontal="center" vertical="center"/>
      <protection locked="0"/>
    </xf>
    <xf numFmtId="0" fontId="6" fillId="32" borderId="66" xfId="0" applyFont="1" applyFill="1" applyBorder="1" applyAlignment="1" applyProtection="1">
      <alignment horizontal="center" vertical="center"/>
      <protection locked="0"/>
    </xf>
    <xf numFmtId="0" fontId="6" fillId="3" borderId="17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159" fillId="38" borderId="3" xfId="0" applyFont="1" applyFill="1" applyBorder="1" applyAlignment="1">
      <alignment horizontal="left" vertical="top" wrapText="1"/>
    </xf>
    <xf numFmtId="0" fontId="111" fillId="3" borderId="3" xfId="0" applyFont="1" applyFill="1" applyBorder="1" applyAlignment="1">
      <alignment horizontal="center" vertical="center"/>
    </xf>
    <xf numFmtId="0" fontId="81" fillId="3" borderId="68" xfId="0" applyFont="1" applyFill="1" applyBorder="1" applyAlignment="1">
      <alignment horizontal="center" vertical="center"/>
    </xf>
    <xf numFmtId="0" fontId="81" fillId="3" borderId="26" xfId="0" applyFont="1" applyFill="1" applyBorder="1" applyAlignment="1">
      <alignment horizontal="center" vertical="center"/>
    </xf>
    <xf numFmtId="0" fontId="43" fillId="3" borderId="68" xfId="0" applyFont="1" applyFill="1" applyBorder="1" applyAlignment="1">
      <alignment horizontal="center" vertical="center" wrapText="1"/>
    </xf>
    <xf numFmtId="0" fontId="43" fillId="3" borderId="26" xfId="0" applyFont="1" applyFill="1" applyBorder="1" applyAlignment="1">
      <alignment horizontal="center" vertical="center" wrapText="1"/>
    </xf>
    <xf numFmtId="0" fontId="43" fillId="3" borderId="20" xfId="0" applyFont="1" applyFill="1" applyBorder="1" applyAlignment="1">
      <alignment horizontal="center" vertical="center" wrapText="1"/>
    </xf>
    <xf numFmtId="0" fontId="43" fillId="3" borderId="10" xfId="0" applyFont="1" applyFill="1" applyBorder="1" applyAlignment="1">
      <alignment horizontal="center" vertical="center" wrapText="1"/>
    </xf>
    <xf numFmtId="0" fontId="43" fillId="3" borderId="21" xfId="0" applyFont="1" applyFill="1" applyBorder="1" applyAlignment="1">
      <alignment horizontal="center" vertical="center" wrapText="1"/>
    </xf>
    <xf numFmtId="0" fontId="43" fillId="3" borderId="0" xfId="0" applyFont="1" applyFill="1" applyAlignment="1">
      <alignment horizontal="center" vertical="center" wrapText="1"/>
    </xf>
    <xf numFmtId="0" fontId="43" fillId="3" borderId="22" xfId="0" applyFont="1" applyFill="1" applyBorder="1" applyAlignment="1">
      <alignment horizontal="center" vertical="center" wrapText="1"/>
    </xf>
    <xf numFmtId="0" fontId="43" fillId="3" borderId="18" xfId="0" applyFont="1" applyFill="1" applyBorder="1" applyAlignment="1">
      <alignment horizontal="center" vertical="center" wrapText="1"/>
    </xf>
    <xf numFmtId="0" fontId="81" fillId="3" borderId="13" xfId="0" applyFont="1" applyFill="1" applyBorder="1" applyAlignment="1">
      <alignment horizontal="center" vertical="center"/>
    </xf>
    <xf numFmtId="0" fontId="43" fillId="3" borderId="13" xfId="0" applyFont="1" applyFill="1" applyBorder="1" applyAlignment="1">
      <alignment horizontal="center" vertical="center" wrapText="1"/>
    </xf>
    <xf numFmtId="0" fontId="43" fillId="3" borderId="16" xfId="0" applyFont="1" applyFill="1" applyBorder="1" applyAlignment="1">
      <alignment horizontal="center" vertical="center" wrapText="1"/>
    </xf>
    <xf numFmtId="0" fontId="43" fillId="3" borderId="17" xfId="0" applyFont="1" applyFill="1" applyBorder="1" applyAlignment="1">
      <alignment horizontal="center" vertical="center" wrapText="1"/>
    </xf>
    <xf numFmtId="0" fontId="43" fillId="3" borderId="19" xfId="0" applyFont="1" applyFill="1" applyBorder="1" applyAlignment="1">
      <alignment horizontal="center" vertical="center" wrapText="1"/>
    </xf>
    <xf numFmtId="0" fontId="22" fillId="0" borderId="0" xfId="0" applyFont="1" applyFill="1" applyBorder="1" applyAlignment="1" quotePrefix="1">
      <alignment horizontal="center" vertical="center"/>
    </xf>
    <xf numFmtId="0" fontId="22" fillId="0" borderId="12" xfId="0" applyNumberFormat="1" applyFont="1" applyFill="1" applyBorder="1" applyAlignment="1" quotePrefix="1">
      <alignment horizontal="center" vertical="center"/>
    </xf>
    <xf numFmtId="0" fontId="22" fillId="0" borderId="10" xfId="0" applyFont="1" applyFill="1" applyBorder="1" applyAlignment="1" quotePrefix="1">
      <alignment horizontal="center" vertical="center"/>
    </xf>
    <xf numFmtId="0" fontId="22" fillId="8" borderId="0" xfId="0" applyFont="1" applyFill="1" applyBorder="1" applyAlignment="1" quotePrefix="1">
      <alignment horizontal="center" vertical="center"/>
    </xf>
    <xf numFmtId="0" fontId="22" fillId="8" borderId="0" xfId="49" applyFont="1" applyFill="1" applyAlignment="1" applyProtection="1" quotePrefix="1">
      <alignment horizontal="center" vertical="center"/>
    </xf>
    <xf numFmtId="0" fontId="22" fillId="10" borderId="0" xfId="0" applyFont="1" applyFill="1" applyBorder="1" applyAlignment="1" quotePrefix="1">
      <alignment horizontal="center" vertical="center"/>
    </xf>
    <xf numFmtId="0" fontId="17" fillId="0" borderId="12" xfId="49" applyNumberFormat="1" applyFont="1" applyBorder="1" applyAlignment="1" applyProtection="1" quotePrefix="1">
      <alignment horizontal="center" vertical="center"/>
    </xf>
    <xf numFmtId="0" fontId="22" fillId="17" borderId="0" xfId="0" applyFont="1" applyFill="1" applyBorder="1" applyAlignment="1" quotePrefix="1">
      <alignment horizontal="center" vertical="center"/>
    </xf>
    <xf numFmtId="0" fontId="23" fillId="0" borderId="12" xfId="0" applyNumberFormat="1" applyFont="1" applyFill="1" applyBorder="1" applyAlignment="1" quotePrefix="1">
      <alignment horizontal="center" vertical="center"/>
    </xf>
    <xf numFmtId="0" fontId="23" fillId="19" borderId="0" xfId="0" applyFont="1" applyFill="1" applyBorder="1" applyAlignment="1" quotePrefix="1">
      <alignment horizontal="center" vertical="center"/>
    </xf>
    <xf numFmtId="0" fontId="23" fillId="10" borderId="12" xfId="0" applyNumberFormat="1" applyFont="1" applyFill="1" applyBorder="1" applyAlignment="1" quotePrefix="1">
      <alignment horizontal="center" vertical="center"/>
    </xf>
    <xf numFmtId="0" fontId="23" fillId="0" borderId="0" xfId="0" applyFont="1" applyFill="1" applyBorder="1" applyAlignment="1" quotePrefix="1">
      <alignment horizontal="center" vertical="center"/>
    </xf>
    <xf numFmtId="0" fontId="23" fillId="20" borderId="0" xfId="0" applyFont="1" applyFill="1" applyBorder="1" applyAlignment="1" quotePrefix="1">
      <alignment horizontal="center" vertical="center"/>
    </xf>
    <xf numFmtId="58" fontId="23" fillId="15" borderId="12" xfId="0" applyNumberFormat="1" applyFont="1" applyFill="1" applyBorder="1" applyAlignment="1" quotePrefix="1">
      <alignment horizontal="center" vertical="center"/>
    </xf>
    <xf numFmtId="0" fontId="17" fillId="0" borderId="0" xfId="49" applyFont="1" applyAlignment="1" applyProtection="1" quotePrefix="1">
      <alignment horizontal="center" vertical="center"/>
    </xf>
    <xf numFmtId="0" fontId="23" fillId="10" borderId="0" xfId="0" applyFont="1" applyFill="1" applyBorder="1" applyAlignment="1" quotePrefix="1">
      <alignment horizontal="center" vertical="center"/>
    </xf>
    <xf numFmtId="0" fontId="23" fillId="22" borderId="0" xfId="0" applyFont="1" applyFill="1" applyBorder="1" applyAlignment="1" quotePrefix="1">
      <alignment horizontal="center" vertical="center"/>
    </xf>
    <xf numFmtId="0" fontId="17" fillId="22" borderId="0" xfId="49" applyFont="1" applyFill="1" applyAlignment="1" applyProtection="1" quotePrefix="1">
      <alignment horizontal="center" vertical="center"/>
    </xf>
    <xf numFmtId="0" fontId="23" fillId="23" borderId="0" xfId="0" applyFont="1" applyFill="1" applyBorder="1" applyAlignment="1" quotePrefix="1">
      <alignment horizontal="center" vertical="center"/>
    </xf>
    <xf numFmtId="58" fontId="23" fillId="16" borderId="12" xfId="0" applyNumberFormat="1" applyFont="1" applyFill="1" applyBorder="1" applyAlignment="1" quotePrefix="1">
      <alignment horizontal="center" vertical="center"/>
    </xf>
    <xf numFmtId="58" fontId="17" fillId="16" borderId="12" xfId="0" applyNumberFormat="1"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4">
    <dxf>
      <fill>
        <patternFill patternType="solid">
          <bgColor rgb="FFDDEBF7"/>
        </patternFill>
      </fill>
    </dxf>
    <dxf>
      <font>
        <color rgb="FFFFFFFF"/>
      </font>
      <fill>
        <patternFill patternType="solid">
          <bgColor rgb="FFC00000"/>
        </patternFill>
      </fill>
    </dxf>
    <dxf>
      <fill>
        <patternFill patternType="solid">
          <bgColor rgb="FFFFFFFF"/>
        </patternFill>
      </fill>
    </dxf>
    <dxf>
      <font>
        <color rgb="FF9C0006"/>
      </font>
    </dxf>
    <dxf>
      <font>
        <color rgb="FF9C0006"/>
      </font>
    </dxf>
    <dxf>
      <font>
        <color rgb="FF9C0006"/>
      </font>
      <fill>
        <patternFill patternType="solid">
          <bgColor rgb="FFFFC7CE"/>
        </patternFill>
      </fill>
    </dxf>
    <dxf>
      <font>
        <color rgb="FF9C0006"/>
      </font>
      <fill>
        <patternFill patternType="solid">
          <bgColor rgb="FFFFC7CE"/>
        </patternFill>
      </fill>
    </dxf>
    <dxf>
      <fill>
        <patternFill patternType="solid">
          <bgColor rgb="FFFBE4D5"/>
        </patternFill>
      </fill>
      <border>
        <left style="dotted">
          <color auto="1"/>
        </left>
        <right style="dotted">
          <color auto="1"/>
        </right>
        <top style="dotted">
          <color auto="1"/>
        </top>
        <bottom style="dotted">
          <color auto="1"/>
        </bottom>
      </border>
    </dxf>
    <dxf>
      <fill>
        <patternFill patternType="solid">
          <bgColor rgb="FFB4C7E7"/>
        </patternFill>
      </fill>
    </dxf>
    <dxf>
      <fill>
        <patternFill patternType="solid">
          <bgColor rgb="FFBED6EE"/>
        </patternFill>
      </fill>
      <border>
        <left style="dashDot">
          <color auto="1"/>
        </left>
        <right style="dashDot">
          <color auto="1"/>
        </right>
        <top style="dashDot">
          <color auto="1"/>
        </top>
        <bottom style="dashDot">
          <color auto="1"/>
        </bottom>
      </border>
    </dxf>
    <dxf>
      <fill>
        <patternFill patternType="solid">
          <bgColor rgb="FFFFE598"/>
        </patternFill>
      </fill>
      <border>
        <left style="dotted">
          <color auto="1"/>
        </left>
        <right style="dotted">
          <color auto="1"/>
        </right>
        <top style="dotted">
          <color auto="1"/>
        </top>
        <bottom style="dotted">
          <color auto="1"/>
        </bottom>
      </border>
    </dxf>
    <dxf>
      <fill>
        <patternFill patternType="solid">
          <bgColor rgb="FFC5E0B3"/>
        </patternFill>
      </fill>
      <border>
        <left style="dotted">
          <color auto="1"/>
        </left>
        <right style="dotted">
          <color auto="1"/>
        </right>
        <top style="dotted">
          <color auto="1"/>
        </top>
        <bottom style="dotted">
          <color auto="1"/>
        </bottom>
      </border>
    </dxf>
    <dxf>
      <font>
        <color rgb="FF9C0006"/>
      </font>
      <fill>
        <patternFill patternType="solid">
          <bgColor rgb="FFFFC7CE"/>
        </patternFill>
      </fill>
    </dxf>
    <dxf>
      <fill>
        <patternFill patternType="solid">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232755233650007"/>
          <c:y val="0.110410793395086"/>
          <c:w val="0.788725701943845"/>
          <c:h val="0.796640488656196"/>
        </c:manualLayout>
      </c:layout>
      <c:radarChart>
        <c:radarStyle val="filled"/>
        <c:varyColors val="0"/>
        <c:ser>
          <c:idx val="0"/>
          <c:order val="0"/>
          <c:spPr>
            <a:solidFill>
              <a:schemeClr val="accent1"/>
            </a:solidFill>
            <a:ln>
              <a:noFill/>
            </a:ln>
            <a:effectLst/>
          </c:spPr>
          <c:marker>
            <c:symbol val="none"/>
          </c:marker>
          <c:dLbls>
            <c:delete val="1"/>
          </c:dLbls>
          <c:cat>
            <c:strRef>
              <c:f>附表!$G$7:$L$7</c:f>
              <c:strCache>
                <c:ptCount val="6"/>
                <c:pt idx="0">
                  <c:v>调查</c:v>
                </c:pt>
                <c:pt idx="1">
                  <c:v>交涉</c:v>
                </c:pt>
                <c:pt idx="2">
                  <c:v>战斗</c:v>
                </c:pt>
                <c:pt idx="3">
                  <c:v>特技</c:v>
                </c:pt>
                <c:pt idx="4">
                  <c:v>支援</c:v>
                </c:pt>
                <c:pt idx="5">
                  <c:v>学问</c:v>
                </c:pt>
              </c:strCache>
            </c:strRef>
          </c:cat>
          <c:val>
            <c:numRef>
              <c:f>附表!$G$8:$L$8</c:f>
              <c:numCache>
                <c:formatCode>General</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282020864"/>
        <c:axId val="89725484"/>
      </c:radarChart>
      <c:catAx>
        <c:axId val="28202086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89725484"/>
        <c:crosses val="autoZero"/>
        <c:auto val="1"/>
        <c:lblAlgn val="ctr"/>
        <c:lblOffset val="100"/>
        <c:noMultiLvlLbl val="0"/>
      </c:catAx>
      <c:valAx>
        <c:axId val="897254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noFill/>
                <a:latin typeface="+mn-lt"/>
                <a:ea typeface="+mn-ea"/>
                <a:cs typeface="+mn-cs"/>
              </a:defRPr>
            </a:pPr>
          </a:p>
        </c:txPr>
        <c:crossAx val="282020864"/>
        <c:crosses val="autoZero"/>
        <c:crossBetween val="between"/>
      </c:valAx>
      <c:spPr>
        <a:noFill/>
        <a:ln>
          <a:noFill/>
        </a:ln>
        <a:effectLst/>
      </c:spPr>
    </c:plotArea>
    <c:plotVisOnly val="1"/>
    <c:dispBlanksAs val="gap"/>
    <c:showDLblsOverMax val="0"/>
    <c:extLst>
      <c:ext uri="{0b15fc19-7d7d-44ad-8c2d-2c3a37ce22c3}">
        <chartProps xmlns="https://web.wps.cn/et/2018/main" chartId="{5a039d48-f0ad-4473-8f0f-d6178d7f0948}"/>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780633936655"/>
          <c:y val="0.198350245800285"/>
          <c:w val="0.433223672352059"/>
          <c:h val="0.659015419051601"/>
        </c:manualLayout>
      </c:layout>
      <c:radarChart>
        <c:radarStyle val="filled"/>
        <c:varyColors val="0"/>
        <c:ser>
          <c:idx val="0"/>
          <c:order val="0"/>
          <c:spPr>
            <a:solidFill>
              <a:schemeClr val="accent1"/>
            </a:solidFill>
            <a:ln>
              <a:noFill/>
            </a:ln>
            <a:effectLst/>
          </c:spPr>
          <c:marker>
            <c:symbol val="none"/>
          </c:marker>
          <c:dLbls>
            <c:delete val="1"/>
          </c:dLbls>
          <c:cat>
            <c:strRef>
              <c:f>附表!$G$13:$O$13</c:f>
              <c:strCache>
                <c:ptCount val="9"/>
                <c:pt idx="0">
                  <c:v>力量
STR</c:v>
                </c:pt>
                <c:pt idx="1">
                  <c:v>体质
CON</c:v>
                </c:pt>
                <c:pt idx="2">
                  <c:v>体型
SIZ</c:v>
                </c:pt>
                <c:pt idx="3">
                  <c:v>敏捷
DEX</c:v>
                </c:pt>
                <c:pt idx="4">
                  <c:v>外貌
APP</c:v>
                </c:pt>
                <c:pt idx="5">
                  <c:v>智力
灵感</c:v>
                </c:pt>
                <c:pt idx="6">
                  <c:v>意志
POW</c:v>
                </c:pt>
                <c:pt idx="7">
                  <c:v>教育
EDU</c:v>
                </c:pt>
                <c:pt idx="8">
                  <c:v>幸运
Luck</c:v>
                </c:pt>
              </c:strCache>
            </c:strRef>
          </c:cat>
          <c:val>
            <c:numRef>
              <c:f>附表!$G$14:$O$14</c:f>
              <c:numCache>
                <c:formatCode>General</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axId val="793954566"/>
        <c:axId val="747028619"/>
      </c:radarChart>
      <c:catAx>
        <c:axId val="79395456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747028619"/>
        <c:crosses val="autoZero"/>
        <c:auto val="1"/>
        <c:lblAlgn val="ctr"/>
        <c:lblOffset val="100"/>
        <c:noMultiLvlLbl val="0"/>
      </c:catAx>
      <c:valAx>
        <c:axId val="747028619"/>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793954566"/>
        <c:crosses val="autoZero"/>
        <c:crossBetween val="between"/>
      </c:valAx>
      <c:spPr>
        <a:noFill/>
        <a:ln>
          <a:noFill/>
        </a:ln>
        <a:effectLst/>
      </c:spPr>
    </c:plotArea>
    <c:plotVisOnly val="1"/>
    <c:dispBlanksAs val="gap"/>
    <c:showDLblsOverMax val="0"/>
    <c:extLst>
      <c:ext uri="{0b15fc19-7d7d-44ad-8c2d-2c3a37ce22c3}">
        <chartProps xmlns="https://web.wps.cn/et/2018/main" chartId="{f792e7db-0153-4f7b-807b-ff918e427021}"/>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58</xdr:col>
      <xdr:colOff>5818</xdr:colOff>
      <xdr:row>8</xdr:row>
      <xdr:rowOff>0</xdr:rowOff>
    </xdr:from>
    <xdr:to>
      <xdr:col>69</xdr:col>
      <xdr:colOff>189826</xdr:colOff>
      <xdr:row>15</xdr:row>
      <xdr:rowOff>114300</xdr:rowOff>
    </xdr:to>
    <xdr:graphicFrame>
      <xdr:nvGraphicFramePr>
        <xdr:cNvPr id="2" name="图表 1"/>
        <xdr:cNvGraphicFramePr/>
      </xdr:nvGraphicFramePr>
      <xdr:xfrm>
        <a:off x="12601575" y="1828800"/>
        <a:ext cx="2572385" cy="17145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0</xdr:colOff>
      <xdr:row>8</xdr:row>
      <xdr:rowOff>0</xdr:rowOff>
    </xdr:from>
    <xdr:to>
      <xdr:col>58</xdr:col>
      <xdr:colOff>2666</xdr:colOff>
      <xdr:row>15</xdr:row>
      <xdr:rowOff>114300</xdr:rowOff>
    </xdr:to>
    <xdr:graphicFrame>
      <xdr:nvGraphicFramePr>
        <xdr:cNvPr id="3" name="图表 2"/>
        <xdr:cNvGraphicFramePr/>
      </xdr:nvGraphicFramePr>
      <xdr:xfrm>
        <a:off x="9989820" y="1828800"/>
        <a:ext cx="2608580" cy="17145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31</xdr:col>
      <xdr:colOff>72502</xdr:colOff>
      <xdr:row>39</xdr:row>
      <xdr:rowOff>0</xdr:rowOff>
    </xdr:from>
    <xdr:to>
      <xdr:col>41</xdr:col>
      <xdr:colOff>212643</xdr:colOff>
      <xdr:row>62</xdr:row>
      <xdr:rowOff>0</xdr:rowOff>
    </xdr:to>
    <xdr:sp>
      <xdr:nvSpPr>
        <xdr:cNvPr id="2" name=" "/>
        <xdr:cNvSpPr txBox="1"/>
      </xdr:nvSpPr>
      <xdr:spPr>
        <a:xfrm>
          <a:off x="16123920" y="8268970"/>
          <a:ext cx="4095750" cy="4675505"/>
        </a:xfrm>
        <a:prstGeom prst="rect">
          <a:avLst/>
        </a:prstGeom>
        <a:solidFill>
          <a:srgbClr val="FFFFFF"/>
        </a:solidFill>
        <a:ln w="9525" cap="flat" cmpd="sng">
          <a:solidFill>
            <a:srgbClr val="888888"/>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I234"/>
  <sheetViews>
    <sheetView showGridLines="0" tabSelected="1" topLeftCell="A31" workbookViewId="0">
      <selection activeCell="J59" sqref="J59:K59"/>
    </sheetView>
  </sheetViews>
  <sheetFormatPr defaultColWidth="3" defaultRowHeight="18" customHeight="1"/>
  <cols>
    <col min="1" max="1" width="3.10909090909091" style="1733" customWidth="1"/>
    <col min="2" max="8" width="3.10909090909091" style="1733"/>
    <col min="9" max="12" width="3.10909090909091" style="1733" customWidth="1"/>
    <col min="13" max="17" width="3.10909090909091" style="1733"/>
    <col min="18" max="20" width="3.10909090909091" style="1733" customWidth="1"/>
    <col min="21" max="21" width="3.10909090909091" style="1733"/>
    <col min="22" max="22" width="3.10909090909091" style="1733" customWidth="1"/>
    <col min="23" max="23" width="3.10909090909091" style="1733"/>
    <col min="24" max="26" width="3.10909090909091" style="1733" customWidth="1"/>
    <col min="27" max="46" width="3.10909090909091" style="1733"/>
    <col min="47" max="50" width="3.10909090909091" style="1733" customWidth="1"/>
    <col min="51" max="16384" width="3.10909090909091" style="1733"/>
  </cols>
  <sheetData>
    <row r="1" customHeight="1" spans="2:70">
      <c r="B1" s="1861" t="s">
        <v>0</v>
      </c>
      <c r="C1" s="1861"/>
      <c r="D1" s="1861"/>
      <c r="E1" s="1861"/>
      <c r="F1" s="1861"/>
      <c r="G1" s="1861"/>
      <c r="H1" s="1861"/>
      <c r="I1" s="1861"/>
      <c r="J1" s="1861"/>
      <c r="K1" s="1861"/>
      <c r="L1" s="1861"/>
      <c r="M1" s="1861"/>
      <c r="N1" s="1861"/>
      <c r="O1" s="1861"/>
      <c r="P1" s="1861"/>
      <c r="Q1" s="1861"/>
      <c r="R1" s="1861"/>
      <c r="S1" s="1997"/>
      <c r="T1" s="1997"/>
      <c r="U1" s="1997"/>
      <c r="V1" s="1997"/>
      <c r="W1" s="1997"/>
      <c r="X1" s="1997"/>
      <c r="Y1" s="1997"/>
      <c r="Z1" s="1997"/>
      <c r="AA1" s="1997"/>
      <c r="AB1" s="1997"/>
      <c r="AC1" s="1997"/>
      <c r="AD1" s="1997"/>
      <c r="AE1" s="1997"/>
      <c r="AF1" s="1997"/>
      <c r="AG1" s="1997"/>
      <c r="AH1" s="1997"/>
      <c r="AI1" s="1997"/>
      <c r="AJ1" s="1997"/>
      <c r="AK1" s="1861"/>
      <c r="AL1" s="1997"/>
      <c r="AM1" s="1997"/>
      <c r="AN1" s="1997"/>
      <c r="AO1" s="1997"/>
      <c r="AP1" s="1997"/>
      <c r="AQ1" s="1997"/>
      <c r="AR1" s="1997"/>
      <c r="AS1" s="1997"/>
      <c r="AT1" s="1861"/>
      <c r="AU1" s="1997"/>
      <c r="AV1" s="1997"/>
      <c r="AW1" s="1997"/>
      <c r="AX1" s="1997"/>
      <c r="AY1" s="1997"/>
      <c r="AZ1" s="1997"/>
      <c r="BA1" s="1997"/>
      <c r="BB1" s="1997"/>
      <c r="BC1" s="1997"/>
      <c r="BD1" s="1997"/>
      <c r="BE1" s="1997"/>
      <c r="BF1" s="1997"/>
      <c r="BG1" s="1997"/>
      <c r="BH1" s="1997"/>
      <c r="BI1" s="1997"/>
      <c r="BJ1" s="1997"/>
      <c r="BK1" s="1997"/>
      <c r="BL1" s="1997"/>
      <c r="BM1" s="1997"/>
      <c r="BN1" s="1997"/>
      <c r="BO1" s="1997"/>
      <c r="BP1" s="1997"/>
      <c r="BQ1" s="1997"/>
      <c r="BR1" s="1997"/>
    </row>
    <row r="2" customHeight="1" spans="2:70">
      <c r="B2" s="1862" t="s">
        <v>1</v>
      </c>
      <c r="C2" s="1863"/>
      <c r="D2" s="1863"/>
      <c r="E2" s="1863"/>
      <c r="F2" s="1863"/>
      <c r="G2" s="1863"/>
      <c r="H2" s="1863"/>
      <c r="I2" s="1863"/>
      <c r="J2" s="1863"/>
      <c r="K2" s="1863"/>
      <c r="L2" s="1863"/>
      <c r="M2" s="1863"/>
      <c r="N2" s="1863"/>
      <c r="O2" s="1863"/>
      <c r="P2" s="1863"/>
      <c r="Q2" s="1998"/>
      <c r="R2" s="1999"/>
      <c r="S2" s="2000" t="s">
        <v>2</v>
      </c>
      <c r="T2" s="2001"/>
      <c r="U2" s="2001"/>
      <c r="V2" s="2002" t="str">
        <f>附表!D37</f>
        <v>请和kp商议</v>
      </c>
      <c r="W2" s="2002"/>
      <c r="X2" s="2002"/>
      <c r="Y2" s="2002"/>
      <c r="Z2" s="2002"/>
      <c r="AA2" s="2054" t="s">
        <v>3</v>
      </c>
      <c r="AB2" s="2055"/>
      <c r="AC2" s="2055"/>
      <c r="AD2" s="2055"/>
      <c r="AE2" s="2055"/>
      <c r="AF2" s="2056"/>
      <c r="AG2" s="2081">
        <f>U3+U5+U7+AA3+AA5+AA7+AG3+AG5+AG7</f>
        <v>0</v>
      </c>
      <c r="AH2" s="2081"/>
      <c r="AI2" s="2081"/>
      <c r="AJ2" s="2082"/>
      <c r="AK2" s="1999"/>
      <c r="AL2" s="2083" t="s">
        <v>4</v>
      </c>
      <c r="AM2" s="2084"/>
      <c r="AN2" s="2084"/>
      <c r="AO2" s="2084"/>
      <c r="AP2" s="2084"/>
      <c r="AQ2" s="2084"/>
      <c r="AR2" s="2084"/>
      <c r="AS2" s="2119"/>
      <c r="AT2" s="1999"/>
      <c r="AU2" s="2120" t="s">
        <v>5</v>
      </c>
      <c r="AV2" s="2121"/>
      <c r="AW2" s="2121"/>
      <c r="AX2" s="2121"/>
      <c r="AY2" s="2121"/>
      <c r="AZ2" s="2121"/>
      <c r="BA2" s="2121"/>
      <c r="BB2" s="2121"/>
      <c r="BC2" s="2121"/>
      <c r="BD2" s="2121"/>
      <c r="BE2" s="2121"/>
      <c r="BF2" s="2121"/>
      <c r="BG2" s="2121"/>
      <c r="BH2" s="2121"/>
      <c r="BI2" s="2121"/>
      <c r="BJ2" s="2121"/>
      <c r="BK2" s="2121"/>
      <c r="BL2" s="2121"/>
      <c r="BM2" s="2121"/>
      <c r="BN2" s="2121"/>
      <c r="BO2" s="2121"/>
      <c r="BP2" s="2121"/>
      <c r="BQ2" s="2121"/>
      <c r="BR2" s="2121"/>
    </row>
    <row r="3" customHeight="1" spans="2:70">
      <c r="B3" s="1864" t="s">
        <v>6</v>
      </c>
      <c r="C3" s="1865"/>
      <c r="D3" s="1865"/>
      <c r="E3" s="1866"/>
      <c r="F3" s="1866"/>
      <c r="G3" s="1866"/>
      <c r="H3" s="1866"/>
      <c r="I3" s="1866"/>
      <c r="J3" s="1866"/>
      <c r="K3" s="1866"/>
      <c r="L3" s="1866"/>
      <c r="M3" s="1866"/>
      <c r="N3" s="1866"/>
      <c r="O3" s="1866"/>
      <c r="P3" s="1866"/>
      <c r="Q3" s="2003"/>
      <c r="S3" s="2004" t="s">
        <v>7</v>
      </c>
      <c r="T3" s="2005"/>
      <c r="U3" s="2006"/>
      <c r="V3" s="2006"/>
      <c r="W3" s="2007">
        <f>INT(U3/2)</f>
        <v>0</v>
      </c>
      <c r="X3" s="2007"/>
      <c r="Y3" s="2011" t="s">
        <v>8</v>
      </c>
      <c r="Z3" s="2011"/>
      <c r="AA3" s="2006"/>
      <c r="AB3" s="2006"/>
      <c r="AC3" s="2012">
        <f>INT(AA3/2)</f>
        <v>0</v>
      </c>
      <c r="AD3" s="2012"/>
      <c r="AE3" s="2005" t="s">
        <v>9</v>
      </c>
      <c r="AF3" s="2005"/>
      <c r="AG3" s="2006"/>
      <c r="AH3" s="2006"/>
      <c r="AI3" s="2007">
        <f>INT(AG3/2)</f>
        <v>0</v>
      </c>
      <c r="AJ3" s="2085"/>
      <c r="AL3" s="2086"/>
      <c r="AM3" s="2087"/>
      <c r="AN3" s="2087"/>
      <c r="AO3" s="2087"/>
      <c r="AP3" s="2087"/>
      <c r="AQ3" s="2087"/>
      <c r="AR3" s="2087"/>
      <c r="AS3" s="2122"/>
      <c r="AU3" s="2123" t="str">
        <f>IF(U3=0,"",IF(U3&lt;=15,"虚弱，孱弱",IF(U3&lt;=40,"力量弱小",IF(U3&lt;=60,"有正常人的力量",IF(U3&lt;=80,"超乎常人的力量",IF(U3&lt;100,"超乎超乎常人的力量"))))))</f>
        <v/>
      </c>
      <c r="AV3" s="2123"/>
      <c r="AW3" s="2123"/>
      <c r="AX3" s="2123"/>
      <c r="AY3" s="2123"/>
      <c r="AZ3" s="2123"/>
      <c r="BA3" s="2123"/>
      <c r="BB3" s="2123"/>
      <c r="BC3" s="2125" t="str">
        <f>IF(AA3=0,"",IF(AA3&lt;=20,"很不灵活",IF(AA3&lt;=40,"不是很灵活",IF(AA3&lt;=60,"普通人水平",IF(AA3&lt;=80,"是一位运动健将",IF(AA3&lt;100,"高速而灵活,可以达成超凡的技艺"))))))</f>
        <v/>
      </c>
      <c r="BD3" s="2125"/>
      <c r="BE3" s="2125"/>
      <c r="BF3" s="2125"/>
      <c r="BG3" s="2125"/>
      <c r="BH3" s="2125"/>
      <c r="BI3" s="2125"/>
      <c r="BJ3" s="2125"/>
      <c r="BK3" s="2126" t="str">
        <f>IF(AG3=0,"",IF(AG3&lt;=20,"尔不过玩物",IF(AG3&lt;=40,"痴愚盲目",IF(AG3&lt;=60,"如常人一般会有一定自制力",IF(AG3&lt;=80,"我心如铁，心坚石穿",IF(AG3&lt;100,"泰山崩于面而色不变",IF(AG3&lt;140,"钢铁之心，还能看见鬼","非人意志")))))))</f>
        <v/>
      </c>
      <c r="BL3" s="2126"/>
      <c r="BM3" s="2126"/>
      <c r="BN3" s="2126"/>
      <c r="BO3" s="2126"/>
      <c r="BP3" s="2126"/>
      <c r="BQ3" s="2126"/>
      <c r="BR3" s="2126"/>
    </row>
    <row r="4" customHeight="1" spans="2:70">
      <c r="B4" s="1867" t="s">
        <v>10</v>
      </c>
      <c r="C4" s="1868"/>
      <c r="D4" s="1868"/>
      <c r="E4" s="1869"/>
      <c r="F4" s="1869"/>
      <c r="G4" s="1869"/>
      <c r="H4" s="1869"/>
      <c r="I4" s="1869"/>
      <c r="J4" s="1946" t="s">
        <v>11</v>
      </c>
      <c r="K4" s="1946"/>
      <c r="L4" s="1946"/>
      <c r="M4" s="1947" t="s">
        <v>12</v>
      </c>
      <c r="N4" s="1947"/>
      <c r="O4" s="1947"/>
      <c r="P4" s="1947"/>
      <c r="Q4" s="2008"/>
      <c r="S4" s="2004"/>
      <c r="T4" s="2005"/>
      <c r="U4" s="2006"/>
      <c r="V4" s="2006"/>
      <c r="W4" s="2007">
        <f>INT(U3/5)</f>
        <v>0</v>
      </c>
      <c r="X4" s="2007"/>
      <c r="Y4" s="2011"/>
      <c r="Z4" s="2011"/>
      <c r="AA4" s="2006"/>
      <c r="AB4" s="2006"/>
      <c r="AC4" s="2012">
        <f>INT(AA3/5)</f>
        <v>0</v>
      </c>
      <c r="AD4" s="2012"/>
      <c r="AE4" s="2005"/>
      <c r="AF4" s="2005"/>
      <c r="AG4" s="2006"/>
      <c r="AH4" s="2006"/>
      <c r="AI4" s="2007">
        <f>INT(AG3/5)</f>
        <v>0</v>
      </c>
      <c r="AJ4" s="2085"/>
      <c r="AL4" s="2088"/>
      <c r="AM4" s="2089"/>
      <c r="AN4" s="2089"/>
      <c r="AO4" s="2089"/>
      <c r="AP4" s="2089"/>
      <c r="AQ4" s="2089"/>
      <c r="AR4" s="2089"/>
      <c r="AS4" s="2124"/>
      <c r="AU4" s="2123"/>
      <c r="AV4" s="2123"/>
      <c r="AW4" s="2123"/>
      <c r="AX4" s="2123"/>
      <c r="AY4" s="2123"/>
      <c r="AZ4" s="2123"/>
      <c r="BA4" s="2123"/>
      <c r="BB4" s="2123"/>
      <c r="BC4" s="2125"/>
      <c r="BD4" s="2125"/>
      <c r="BE4" s="2125"/>
      <c r="BF4" s="2125"/>
      <c r="BG4" s="2125"/>
      <c r="BH4" s="2125"/>
      <c r="BI4" s="2125"/>
      <c r="BJ4" s="2125"/>
      <c r="BK4" s="2126"/>
      <c r="BL4" s="2126"/>
      <c r="BM4" s="2126"/>
      <c r="BN4" s="2126"/>
      <c r="BO4" s="2126"/>
      <c r="BP4" s="2126"/>
      <c r="BQ4" s="2126"/>
      <c r="BR4" s="2126"/>
    </row>
    <row r="5" customHeight="1" spans="2:70">
      <c r="B5" s="1864" t="s">
        <v>13</v>
      </c>
      <c r="C5" s="1865"/>
      <c r="D5" s="1865"/>
      <c r="E5" s="1870" t="str">
        <f>VLOOKUP(M5,职业列表!A2:G370,2,1)</f>
        <v>自定义职业</v>
      </c>
      <c r="F5" s="1870"/>
      <c r="G5" s="1870"/>
      <c r="H5" s="1870"/>
      <c r="I5" s="1870"/>
      <c r="J5" s="1948" t="s">
        <v>14</v>
      </c>
      <c r="K5" s="1948"/>
      <c r="L5" s="1948"/>
      <c r="M5" s="1949">
        <v>1</v>
      </c>
      <c r="N5" s="1949"/>
      <c r="O5" s="1949"/>
      <c r="P5" s="1949"/>
      <c r="Q5" s="2009"/>
      <c r="S5" s="2010" t="s">
        <v>15</v>
      </c>
      <c r="T5" s="2011"/>
      <c r="U5" s="2006"/>
      <c r="V5" s="2006"/>
      <c r="W5" s="2012">
        <f>INT(U5/2)</f>
        <v>0</v>
      </c>
      <c r="X5" s="2012"/>
      <c r="Y5" s="2005" t="s">
        <v>16</v>
      </c>
      <c r="Z5" s="2005"/>
      <c r="AA5" s="2006"/>
      <c r="AB5" s="2006"/>
      <c r="AC5" s="2007">
        <f>INT(AA5/2)</f>
        <v>0</v>
      </c>
      <c r="AD5" s="2007"/>
      <c r="AE5" s="2011" t="s">
        <v>17</v>
      </c>
      <c r="AF5" s="2011"/>
      <c r="AG5" s="2006"/>
      <c r="AH5" s="2006"/>
      <c r="AI5" s="2012">
        <f>INT(AG5/2)</f>
        <v>0</v>
      </c>
      <c r="AJ5" s="2090"/>
      <c r="AL5" s="2088"/>
      <c r="AM5" s="2089"/>
      <c r="AN5" s="2089"/>
      <c r="AO5" s="2089"/>
      <c r="AP5" s="2089"/>
      <c r="AQ5" s="2089"/>
      <c r="AR5" s="2089"/>
      <c r="AS5" s="2124"/>
      <c r="AU5" s="2125" t="str">
        <f>IF(U5=0,"",IF(U5&lt;=20,"常年患病在身",IF(U5&lt;=40,"体弱多病",IF(U5&lt;=60,"不会生什么大毛病",IF(U5&lt;=80,"健硕，浑身湿透也不会感冒",IF(U5&lt;100,"身体素质极好，精神抖擞"))))))</f>
        <v/>
      </c>
      <c r="AV5" s="2125"/>
      <c r="AW5" s="2125"/>
      <c r="AX5" s="2125"/>
      <c r="AY5" s="2125"/>
      <c r="AZ5" s="2125"/>
      <c r="BA5" s="2125"/>
      <c r="BB5" s="2125"/>
      <c r="BC5" s="2123" t="str">
        <f>IF(AA5=0,"",IF(AA5&lt;=20,"用脸就能恐惧敌人。。或队友",IF(AA5&lt;=40,"有些难看",IF(AA5&lt;=60,"人群之中谁也不会看你一眼之后就忘不掉你容颜",IF(AA5&lt;=80,"五官端正，仪表堂堂",IF(AA5&lt;100,"沉鱼落雁，闭月羞花"))))))</f>
        <v/>
      </c>
      <c r="BD5" s="2123"/>
      <c r="BE5" s="2123"/>
      <c r="BF5" s="2123"/>
      <c r="BG5" s="2123"/>
      <c r="BH5" s="2123"/>
      <c r="BI5" s="2123"/>
      <c r="BJ5" s="2123"/>
      <c r="BK5" s="2125" t="str">
        <f>IF(AG5=0,"",IF(AG5&lt;=20,"目不识丁",IF(AG5&lt;=40,"小学毕业",IF(AG5&lt;=60,"高中毕业",IF(AG5&lt;=80,"是重点大学的学生，或是普通大学的研究生",IF(AG5&lt;100,"饱读诗书，满腹经纶"))))))</f>
        <v/>
      </c>
      <c r="BL5" s="2125"/>
      <c r="BM5" s="2125"/>
      <c r="BN5" s="2125"/>
      <c r="BO5" s="2125"/>
      <c r="BP5" s="2125"/>
      <c r="BQ5" s="2125"/>
      <c r="BR5" s="2125"/>
    </row>
    <row r="6" customHeight="1" spans="2:70">
      <c r="B6" s="1867" t="s">
        <v>18</v>
      </c>
      <c r="C6" s="1868"/>
      <c r="D6" s="1868"/>
      <c r="E6" s="1871"/>
      <c r="F6" s="1871"/>
      <c r="G6" s="1871"/>
      <c r="H6" s="1871"/>
      <c r="I6" s="1871"/>
      <c r="J6" s="1946" t="s">
        <v>19</v>
      </c>
      <c r="K6" s="1946"/>
      <c r="L6" s="1946"/>
      <c r="M6" s="1871"/>
      <c r="N6" s="1871"/>
      <c r="O6" s="1871"/>
      <c r="P6" s="1871"/>
      <c r="Q6" s="2013"/>
      <c r="S6" s="2010"/>
      <c r="T6" s="2011"/>
      <c r="U6" s="2006"/>
      <c r="V6" s="2006"/>
      <c r="W6" s="2012">
        <f>INT(U5/5)</f>
        <v>0</v>
      </c>
      <c r="X6" s="2012"/>
      <c r="Y6" s="2005"/>
      <c r="Z6" s="2005"/>
      <c r="AA6" s="2006"/>
      <c r="AB6" s="2006"/>
      <c r="AC6" s="2007">
        <f>INT(AA5/5)</f>
        <v>0</v>
      </c>
      <c r="AD6" s="2007"/>
      <c r="AE6" s="2011"/>
      <c r="AF6" s="2011"/>
      <c r="AG6" s="2006"/>
      <c r="AH6" s="2006"/>
      <c r="AI6" s="2012">
        <f>INT(AG5/5)</f>
        <v>0</v>
      </c>
      <c r="AJ6" s="2090"/>
      <c r="AL6" s="2088"/>
      <c r="AM6" s="2089"/>
      <c r="AN6" s="2089"/>
      <c r="AO6" s="2089"/>
      <c r="AP6" s="2089"/>
      <c r="AQ6" s="2089"/>
      <c r="AR6" s="2089"/>
      <c r="AS6" s="2124"/>
      <c r="AU6" s="2125"/>
      <c r="AV6" s="2125"/>
      <c r="AW6" s="2125"/>
      <c r="AX6" s="2125"/>
      <c r="AY6" s="2125"/>
      <c r="AZ6" s="2125"/>
      <c r="BA6" s="2125"/>
      <c r="BB6" s="2125"/>
      <c r="BC6" s="2123"/>
      <c r="BD6" s="2123"/>
      <c r="BE6" s="2123"/>
      <c r="BF6" s="2123"/>
      <c r="BG6" s="2123"/>
      <c r="BH6" s="2123"/>
      <c r="BI6" s="2123"/>
      <c r="BJ6" s="2123"/>
      <c r="BK6" s="2125"/>
      <c r="BL6" s="2125"/>
      <c r="BM6" s="2125"/>
      <c r="BN6" s="2125"/>
      <c r="BO6" s="2125"/>
      <c r="BP6" s="2125"/>
      <c r="BQ6" s="2125"/>
      <c r="BR6" s="2125"/>
    </row>
    <row r="7" customHeight="1" spans="2:87">
      <c r="B7" s="1864" t="s">
        <v>20</v>
      </c>
      <c r="C7" s="1865"/>
      <c r="D7" s="1865"/>
      <c r="E7" s="1866"/>
      <c r="F7" s="1866"/>
      <c r="G7" s="1866"/>
      <c r="H7" s="1866"/>
      <c r="I7" s="1866"/>
      <c r="J7" s="1865" t="s">
        <v>21</v>
      </c>
      <c r="K7" s="1865"/>
      <c r="L7" s="1865"/>
      <c r="M7" s="1866"/>
      <c r="N7" s="1866"/>
      <c r="O7" s="1866"/>
      <c r="P7" s="1866"/>
      <c r="Q7" s="2003"/>
      <c r="S7" s="2004" t="s">
        <v>22</v>
      </c>
      <c r="T7" s="2005"/>
      <c r="U7" s="2006"/>
      <c r="V7" s="2006"/>
      <c r="W7" s="2007">
        <f>INT(U7/2)</f>
        <v>0</v>
      </c>
      <c r="X7" s="2007"/>
      <c r="Y7" s="2011" t="s">
        <v>23</v>
      </c>
      <c r="Z7" s="2011"/>
      <c r="AA7" s="2006"/>
      <c r="AB7" s="2006"/>
      <c r="AC7" s="2012">
        <f>INT(AA7/2)</f>
        <v>0</v>
      </c>
      <c r="AD7" s="2012"/>
      <c r="AE7" s="2057" t="s">
        <v>24</v>
      </c>
      <c r="AF7" s="2057"/>
      <c r="AG7" s="2091"/>
      <c r="AH7" s="2091"/>
      <c r="AI7" s="2092">
        <f>INT(AG7/2)</f>
        <v>0</v>
      </c>
      <c r="AJ7" s="2093"/>
      <c r="AL7" s="2088"/>
      <c r="AM7" s="2089"/>
      <c r="AN7" s="2089"/>
      <c r="AO7" s="2089"/>
      <c r="AP7" s="2089"/>
      <c r="AQ7" s="2089"/>
      <c r="AR7" s="2089"/>
      <c r="AS7" s="2124"/>
      <c r="AU7" s="2126" t="str">
        <f>IF(U7=0,"",IF(U7&lt;=20,"孩童，身短体瘦",IF(U7&lt;=40,"乙女身材",IF(U7&lt;=60,"普遍身高155-175",IF(U7&lt;=80,"不是高就是胖",IF(U7&lt;=100,"大号的人",IF(U7&lt;150,"听说你正在申请身高世界记录？",IF(U7&lt;180,"你可能是一头牛",IF(U7&lt;200,"你已经是历史上最重的人类了","超越世俗")))))))))</f>
        <v/>
      </c>
      <c r="AV7" s="2126"/>
      <c r="AW7" s="2126"/>
      <c r="AX7" s="2126"/>
      <c r="AY7" s="2126"/>
      <c r="AZ7" s="2126"/>
      <c r="BA7" s="2126"/>
      <c r="BB7" s="2126"/>
      <c r="BC7" s="2125" t="str">
        <f>IF(AA7=0,"",IF(AA7&lt;=20,"脑子是个好东西，可惜。。。",IF(AA7&lt;=40,"理解知识要耗费比普通人更多的时间",IF(AA7&lt;=60,"有着普通人的灵光一现",IF(AA7&lt;=80,"可以自主进行发明创造",IF(INT&lt;100,"天才级水准"))))))</f>
        <v/>
      </c>
      <c r="BD7" s="2125"/>
      <c r="BE7" s="2125"/>
      <c r="BF7" s="2125"/>
      <c r="BG7" s="2125"/>
      <c r="BH7" s="2125"/>
      <c r="BI7" s="2125"/>
      <c r="BJ7" s="2125"/>
      <c r="BK7" s="2219" t="str">
        <f>IF(AG7=0,"",IF(AG7&lt;=20,"克夫克妻",IF(AG7&lt;=40,"霉运连连",IF(AG7&lt;=60,"命格平庸",IF(AG7&lt;=80,"在马路边捡到100块",IF(AG7&lt;100,"被幸运女神所眷顾"))))))</f>
        <v/>
      </c>
      <c r="BL7" s="2219"/>
      <c r="BM7" s="2219"/>
      <c r="BN7" s="2219"/>
      <c r="BO7" s="2219"/>
      <c r="BP7" s="2219"/>
      <c r="BQ7" s="2219"/>
      <c r="BR7" s="2219"/>
      <c r="CH7" s="2258"/>
      <c r="CI7" s="2258"/>
    </row>
    <row r="8" customHeight="1" spans="2:87">
      <c r="B8" s="1872" t="s">
        <v>25</v>
      </c>
      <c r="C8" s="1873"/>
      <c r="D8" s="1873"/>
      <c r="E8" s="1874" t="s">
        <v>26</v>
      </c>
      <c r="F8" s="1875"/>
      <c r="G8" s="1876">
        <v>2025</v>
      </c>
      <c r="H8" s="1877"/>
      <c r="I8" s="1877"/>
      <c r="J8" s="1874" t="s">
        <v>27</v>
      </c>
      <c r="K8" s="1875"/>
      <c r="L8" s="1950" t="s">
        <v>28</v>
      </c>
      <c r="M8" s="1951"/>
      <c r="N8" s="1952" t="s">
        <v>29</v>
      </c>
      <c r="O8" s="1952"/>
      <c r="P8" s="1952"/>
      <c r="Q8" s="2014"/>
      <c r="S8" s="2015"/>
      <c r="T8" s="2016"/>
      <c r="U8" s="2017"/>
      <c r="V8" s="2017"/>
      <c r="W8" s="2018">
        <f>INT(U7/5)</f>
        <v>0</v>
      </c>
      <c r="X8" s="2018"/>
      <c r="Y8" s="2058"/>
      <c r="Z8" s="2058"/>
      <c r="AA8" s="2017"/>
      <c r="AB8" s="2017"/>
      <c r="AC8" s="2059">
        <f>INT(AA7/5)</f>
        <v>0</v>
      </c>
      <c r="AD8" s="2059"/>
      <c r="AE8" s="2060"/>
      <c r="AF8" s="2060"/>
      <c r="AG8" s="2094"/>
      <c r="AH8" s="2094"/>
      <c r="AI8" s="2095">
        <f>INT(AG7/5)</f>
        <v>0</v>
      </c>
      <c r="AJ8" s="2096"/>
      <c r="AL8" s="2097"/>
      <c r="AM8" s="2098"/>
      <c r="AN8" s="2098"/>
      <c r="AO8" s="2098"/>
      <c r="AP8" s="2098"/>
      <c r="AQ8" s="2098"/>
      <c r="AR8" s="2098"/>
      <c r="AS8" s="2127"/>
      <c r="AU8" s="2126"/>
      <c r="AV8" s="2126"/>
      <c r="AW8" s="2126"/>
      <c r="AX8" s="2126"/>
      <c r="AY8" s="2126"/>
      <c r="AZ8" s="2126"/>
      <c r="BA8" s="2126"/>
      <c r="BB8" s="2126"/>
      <c r="BC8" s="2125"/>
      <c r="BD8" s="2125"/>
      <c r="BE8" s="2125"/>
      <c r="BF8" s="2125"/>
      <c r="BG8" s="2125"/>
      <c r="BH8" s="2125"/>
      <c r="BI8" s="2125"/>
      <c r="BJ8" s="2125"/>
      <c r="BK8" s="2219"/>
      <c r="BL8" s="2219"/>
      <c r="BM8" s="2219"/>
      <c r="BN8" s="2219"/>
      <c r="BO8" s="2219"/>
      <c r="BP8" s="2219"/>
      <c r="BQ8" s="2219"/>
      <c r="BR8" s="2219"/>
      <c r="CH8" s="2258"/>
      <c r="CI8" s="2258"/>
    </row>
    <row r="9" customHeight="1" spans="2:77">
      <c r="B9" s="1878" t="str">
        <f>IF(F9=0,"","任意特长数：")</f>
        <v/>
      </c>
      <c r="C9" s="1878"/>
      <c r="D9" s="1878"/>
      <c r="E9" s="1878"/>
      <c r="F9" s="1879">
        <f>INDEX(本职技能!$A$2:$NE$105,MATCH("任意特长",本职技能!$A$2:$A$105,0),MATCH($M$5,本职技能!$A$1:$NE$1,0))</f>
        <v>0</v>
      </c>
      <c r="G9" s="1879"/>
      <c r="H9" s="1879"/>
      <c r="I9" s="1879"/>
      <c r="K9" s="1953">
        <f>INDEX(本职技能!$A$2:$NE$105,MATCH("☆",本职技能!$A$2:$A$105,0),MATCH($M$5,本职技能!$A$1:$NE$1,0))</f>
        <v>0</v>
      </c>
      <c r="L9" s="1953"/>
      <c r="M9" s="1953"/>
      <c r="N9" s="1953"/>
      <c r="O9" s="1953"/>
      <c r="P9" s="1953"/>
      <c r="Q9" s="1953"/>
      <c r="R9" s="1953"/>
      <c r="S9" s="1738"/>
      <c r="T9" s="2019">
        <f>INDEX(本职技能!$A$2:$NE$105,MATCH("⊙",本职技能!$A$2:$A$105,0),MATCH($M$5,本职技能!$A$1:$NE$1,0))</f>
        <v>0</v>
      </c>
      <c r="U9" s="2019"/>
      <c r="V9" s="2019"/>
      <c r="W9" s="2019"/>
      <c r="X9" s="2019"/>
      <c r="Y9" s="2061"/>
      <c r="Z9" s="2061"/>
      <c r="AA9" s="2061"/>
      <c r="AC9" s="2062">
        <f>INDEX(本职技能!$A$2:$NE$105,MATCH("☯",本职技能!$A$2:$A$105,0),MATCH($M$5,本职技能!$A$1:$NE$1,0))</f>
        <v>0</v>
      </c>
      <c r="AD9" s="2062"/>
      <c r="AE9" s="2063"/>
      <c r="AF9" s="2063"/>
      <c r="AG9" s="2063"/>
      <c r="AH9" s="2063"/>
      <c r="AI9" s="2063"/>
      <c r="AJ9" s="2063"/>
      <c r="AK9" s="2099"/>
      <c r="AL9" s="2100">
        <f>INDEX(本职技能!$A$2:$NE$105,MATCH("※",本职技能!$A$2:$A$105,0),MATCH($M$5,本职技能!$A$1:$NE$1,0))</f>
        <v>0</v>
      </c>
      <c r="AM9" s="2100"/>
      <c r="AN9" s="2100"/>
      <c r="AO9" s="2100"/>
      <c r="AP9" s="2128"/>
      <c r="AQ9" s="2128"/>
      <c r="AR9" s="2128"/>
      <c r="AS9" s="2128"/>
      <c r="AT9" s="1772"/>
      <c r="AU9" s="2129"/>
      <c r="AV9" s="2129"/>
      <c r="AW9" s="2129"/>
      <c r="AX9" s="2129"/>
      <c r="AY9" s="2182"/>
      <c r="AZ9" s="2129"/>
      <c r="BA9" s="2129"/>
      <c r="BB9" s="2129"/>
      <c r="BC9" s="2129"/>
      <c r="BD9" s="2129"/>
      <c r="BE9" s="2129"/>
      <c r="BF9" s="2129"/>
      <c r="BG9" s="2129"/>
      <c r="BH9" s="2129"/>
      <c r="BI9" s="2129"/>
      <c r="BJ9" s="2129"/>
      <c r="BK9" s="2129"/>
      <c r="BL9" s="2129"/>
      <c r="BM9" s="2129"/>
      <c r="BN9" s="2129"/>
      <c r="BO9" s="2129"/>
      <c r="BP9" s="2129"/>
      <c r="BQ9" s="2129"/>
      <c r="BR9" s="2129"/>
      <c r="BX9" s="2256"/>
      <c r="BY9" s="2257"/>
    </row>
    <row r="10" customHeight="1" spans="2:77">
      <c r="B10" s="1880" t="s">
        <v>30</v>
      </c>
      <c r="C10" s="1881"/>
      <c r="D10" s="1881"/>
      <c r="E10" s="1882">
        <f>INT((U5+U7)/10+I12-D12)</f>
        <v>0</v>
      </c>
      <c r="F10" s="1882"/>
      <c r="G10" s="1883">
        <f>INT((U5+U7)/10)</f>
        <v>0</v>
      </c>
      <c r="H10" s="1883"/>
      <c r="I10" s="1954" t="s">
        <v>31</v>
      </c>
      <c r="J10" s="1955"/>
      <c r="K10" s="1956" t="s">
        <v>32</v>
      </c>
      <c r="L10" s="1881"/>
      <c r="M10" s="1881"/>
      <c r="N10" s="1957">
        <f>AG3-N12</f>
        <v>0</v>
      </c>
      <c r="O10" s="1957"/>
      <c r="P10" s="1958">
        <f>99-R27</f>
        <v>99</v>
      </c>
      <c r="Q10" s="1958"/>
      <c r="R10" s="2020" t="s">
        <v>31</v>
      </c>
      <c r="S10" s="2021"/>
      <c r="T10" s="2022" t="s">
        <v>33</v>
      </c>
      <c r="U10" s="2023"/>
      <c r="V10" s="2023"/>
      <c r="W10" s="2024">
        <f>INT((AG3/5)+X12)</f>
        <v>0</v>
      </c>
      <c r="X10" s="2024"/>
      <c r="Y10" s="2064">
        <f>INT(AG3/5)</f>
        <v>0</v>
      </c>
      <c r="Z10" s="2065"/>
      <c r="AA10" s="2066" t="s">
        <v>34</v>
      </c>
      <c r="AB10" s="2067"/>
      <c r="AC10" s="1881" t="s">
        <v>35</v>
      </c>
      <c r="AD10" s="1881"/>
      <c r="AE10" s="2068"/>
      <c r="AF10" s="2023">
        <f>AI11+8</f>
        <v>8</v>
      </c>
      <c r="AG10" s="2023"/>
      <c r="AH10" s="2023"/>
      <c r="AI10" s="2101" t="s">
        <v>36</v>
      </c>
      <c r="AJ10" s="2102"/>
      <c r="AK10" s="2022" t="s">
        <v>37</v>
      </c>
      <c r="AL10" s="2023"/>
      <c r="AM10" s="2023"/>
      <c r="AN10" s="1881" t="str">
        <f>IF($AN12=0,"0",VLOOKUP($AN12,'防具表 载具表'!B2:J82,2,FALSE))</f>
        <v>0</v>
      </c>
      <c r="AO10" s="2130"/>
      <c r="AP10" s="2131" t="s">
        <v>38</v>
      </c>
      <c r="AQ10" s="2131"/>
      <c r="AR10" s="2131"/>
      <c r="AS10" s="2132"/>
      <c r="AT10" s="1772"/>
      <c r="AU10" s="2129"/>
      <c r="AV10" s="2129"/>
      <c r="AW10" s="2129"/>
      <c r="AX10" s="2129"/>
      <c r="AY10" s="2182"/>
      <c r="AZ10" s="2138"/>
      <c r="BA10" s="2138"/>
      <c r="BB10" s="2138"/>
      <c r="BC10" s="2138"/>
      <c r="BD10" s="2138"/>
      <c r="BE10" s="2138"/>
      <c r="BF10" s="2138"/>
      <c r="BG10" s="2138"/>
      <c r="BH10" s="2138"/>
      <c r="BI10" s="2138"/>
      <c r="BJ10" s="2138"/>
      <c r="BK10" s="2138"/>
      <c r="BL10" s="2138"/>
      <c r="BM10" s="2138"/>
      <c r="BN10" s="2138"/>
      <c r="BO10" s="2138"/>
      <c r="BP10" s="2138"/>
      <c r="BQ10" s="2138"/>
      <c r="BR10" s="2129"/>
      <c r="BX10" s="2257"/>
      <c r="BY10" s="2257"/>
    </row>
    <row r="11" customHeight="1" spans="2:70">
      <c r="B11" s="1884"/>
      <c r="C11" s="1885"/>
      <c r="D11" s="1885"/>
      <c r="E11" s="1886"/>
      <c r="F11" s="1886"/>
      <c r="G11" s="1887"/>
      <c r="H11" s="1887"/>
      <c r="I11" s="1959" t="s">
        <v>39</v>
      </c>
      <c r="J11" s="1960"/>
      <c r="K11" s="1961"/>
      <c r="L11" s="1885"/>
      <c r="M11" s="1885"/>
      <c r="N11" s="1962"/>
      <c r="O11" s="1962"/>
      <c r="P11" s="1963"/>
      <c r="Q11" s="1963"/>
      <c r="R11" s="2025" t="s">
        <v>40</v>
      </c>
      <c r="S11" s="2026"/>
      <c r="T11" s="1961"/>
      <c r="U11" s="1885"/>
      <c r="V11" s="1885"/>
      <c r="W11" s="2027"/>
      <c r="X11" s="2027"/>
      <c r="Y11" s="2069"/>
      <c r="Z11" s="2070"/>
      <c r="AA11" s="2071">
        <v>1</v>
      </c>
      <c r="AB11" s="2072"/>
      <c r="AC11" s="1885"/>
      <c r="AD11" s="1885"/>
      <c r="AE11" s="1885"/>
      <c r="AF11" s="1885"/>
      <c r="AG11" s="1885"/>
      <c r="AH11" s="1885"/>
      <c r="AI11" s="2103">
        <f>附表!C9</f>
        <v>0</v>
      </c>
      <c r="AJ11" s="2104"/>
      <c r="AK11" s="1961"/>
      <c r="AL11" s="1885"/>
      <c r="AM11" s="1885"/>
      <c r="AN11" s="2023"/>
      <c r="AO11" s="2133"/>
      <c r="AP11" s="2134"/>
      <c r="AQ11" s="2134"/>
      <c r="AR11" s="2134"/>
      <c r="AS11" s="2135"/>
      <c r="AT11" s="1772"/>
      <c r="AU11" s="2129"/>
      <c r="AV11" s="2129"/>
      <c r="AW11" s="2129"/>
      <c r="AX11" s="2129"/>
      <c r="AY11" s="2182"/>
      <c r="AZ11" s="2138"/>
      <c r="BA11" s="2138"/>
      <c r="BB11" s="2138"/>
      <c r="BC11" s="2138"/>
      <c r="BD11" s="2138"/>
      <c r="BE11" s="2138"/>
      <c r="BF11" s="2138"/>
      <c r="BG11" s="2138"/>
      <c r="BH11" s="2138"/>
      <c r="BI11" s="2138"/>
      <c r="BJ11" s="2138"/>
      <c r="BK11" s="2138"/>
      <c r="BL11" s="2138"/>
      <c r="BM11" s="2138"/>
      <c r="BN11" s="2138"/>
      <c r="BO11" s="2138"/>
      <c r="BP11" s="2138"/>
      <c r="BQ11" s="2138"/>
      <c r="BR11" s="2129"/>
    </row>
    <row r="12" customHeight="1" spans="2:70">
      <c r="B12" s="1888" t="s">
        <v>41</v>
      </c>
      <c r="C12" s="1889"/>
      <c r="D12" s="1890">
        <v>0</v>
      </c>
      <c r="E12" s="1891"/>
      <c r="F12" s="1892" t="s">
        <v>42</v>
      </c>
      <c r="G12" s="1892"/>
      <c r="H12" s="1892"/>
      <c r="I12" s="1890">
        <v>0</v>
      </c>
      <c r="J12" s="1890"/>
      <c r="K12" s="1964" t="s">
        <v>43</v>
      </c>
      <c r="L12" s="1965"/>
      <c r="M12" s="1965"/>
      <c r="N12" s="1890">
        <v>0</v>
      </c>
      <c r="O12" s="1890"/>
      <c r="P12" s="1966" t="s">
        <v>44</v>
      </c>
      <c r="Q12" s="2028"/>
      <c r="R12" s="2029">
        <f>N10</f>
        <v>0</v>
      </c>
      <c r="S12" s="2030"/>
      <c r="T12" s="2031" t="s">
        <v>45</v>
      </c>
      <c r="U12" s="2032"/>
      <c r="V12" s="2032"/>
      <c r="W12" s="2032"/>
      <c r="X12" s="2033"/>
      <c r="Y12" s="2033"/>
      <c r="Z12" s="2033"/>
      <c r="AA12" s="2033"/>
      <c r="AB12" s="2073"/>
      <c r="AC12" s="2074" t="s">
        <v>46</v>
      </c>
      <c r="AD12" s="2074"/>
      <c r="AE12" s="2075" t="s">
        <v>47</v>
      </c>
      <c r="AF12" s="2076"/>
      <c r="AG12" s="2074" t="s">
        <v>48</v>
      </c>
      <c r="AH12" s="2074"/>
      <c r="AI12" s="2075" t="s">
        <v>49</v>
      </c>
      <c r="AJ12" s="2075"/>
      <c r="AK12" s="2105" t="s">
        <v>50</v>
      </c>
      <c r="AL12" s="1892"/>
      <c r="AM12" s="1892"/>
      <c r="AN12" s="2106"/>
      <c r="AO12" s="2106"/>
      <c r="AP12" s="2106"/>
      <c r="AQ12" s="2106"/>
      <c r="AR12" s="2106"/>
      <c r="AS12" s="2136"/>
      <c r="AT12" s="1772"/>
      <c r="AU12" s="2129"/>
      <c r="AV12" s="2129"/>
      <c r="AW12" s="2129"/>
      <c r="AX12" s="2129"/>
      <c r="AY12" s="2182"/>
      <c r="AZ12" s="2138"/>
      <c r="BA12" s="2138"/>
      <c r="BB12" s="2138"/>
      <c r="BC12" s="2138"/>
      <c r="BD12" s="2138"/>
      <c r="BE12" s="2138"/>
      <c r="BF12" s="2138"/>
      <c r="BG12" s="2138"/>
      <c r="BH12" s="2138"/>
      <c r="BI12" s="2138"/>
      <c r="BJ12" s="2138"/>
      <c r="BK12" s="2138"/>
      <c r="BL12" s="2138"/>
      <c r="BM12" s="2138"/>
      <c r="BN12" s="2138"/>
      <c r="BO12" s="2138"/>
      <c r="BP12" s="2138"/>
      <c r="BQ12" s="2138"/>
      <c r="BR12" s="2129"/>
    </row>
    <row r="13" customHeight="1" spans="2:70">
      <c r="B13" s="1893" t="str">
        <f>IF(M5=0," ","["&amp;LOOKUP(M5,职业列表!A2:A370,职业列表!B2:B370)&amp;"]的本职技能："&amp;LOOKUP(M5,职业列表!A2:A370,职业列表!G2:G370))</f>
        <v>[自定义职业]的本职技能：不多于8个本职技能。在右侧职业属性中输入第二职业属性的数值（留空则视为EDU）并自行设置起始信誉。使用自定义职业前，请先咨询你的守秘人。</v>
      </c>
      <c r="C13" s="1893"/>
      <c r="D13" s="1893"/>
      <c r="E13" s="1893"/>
      <c r="F13" s="1893"/>
      <c r="G13" s="1893"/>
      <c r="H13" s="1893"/>
      <c r="I13" s="1893"/>
      <c r="J13" s="1893"/>
      <c r="K13" s="1893"/>
      <c r="L13" s="1893"/>
      <c r="M13" s="1893"/>
      <c r="N13" s="1893"/>
      <c r="O13" s="1893"/>
      <c r="P13" s="1893"/>
      <c r="Q13" s="1893"/>
      <c r="R13" s="1893"/>
      <c r="S13" s="1893"/>
      <c r="T13" s="1893"/>
      <c r="U13" s="1893"/>
      <c r="V13" s="1893"/>
      <c r="W13" s="1893"/>
      <c r="X13" s="1893"/>
      <c r="Y13" s="1893"/>
      <c r="Z13" s="1893"/>
      <c r="AA13" s="1893"/>
      <c r="AB13" s="1893"/>
      <c r="AC13" s="1893"/>
      <c r="AD13" s="1893"/>
      <c r="AE13" s="1893"/>
      <c r="AF13" s="1893"/>
      <c r="AG13" s="1893"/>
      <c r="AH13" s="1893"/>
      <c r="AI13" s="1893"/>
      <c r="AJ13" s="1893"/>
      <c r="AK13" s="1893"/>
      <c r="AL13" s="1893"/>
      <c r="AM13" s="1893"/>
      <c r="AN13" s="1893"/>
      <c r="AO13" s="1893"/>
      <c r="AP13" s="1893"/>
      <c r="AQ13" s="1893"/>
      <c r="AR13" s="1893"/>
      <c r="AS13" s="1893"/>
      <c r="AT13" s="2137"/>
      <c r="AU13" s="2129"/>
      <c r="AV13" s="2138"/>
      <c r="AW13" s="2138"/>
      <c r="AX13" s="2138"/>
      <c r="AY13" s="2182"/>
      <c r="AZ13" s="2138"/>
      <c r="BA13" s="2138"/>
      <c r="BB13" s="2138"/>
      <c r="BC13" s="2138"/>
      <c r="BD13" s="2138"/>
      <c r="BE13" s="2138"/>
      <c r="BF13" s="2138"/>
      <c r="BG13" s="2138"/>
      <c r="BH13" s="2138"/>
      <c r="BI13" s="2138"/>
      <c r="BJ13" s="2138"/>
      <c r="BK13" s="2138"/>
      <c r="BL13" s="2138"/>
      <c r="BM13" s="2138"/>
      <c r="BN13" s="2138"/>
      <c r="BO13" s="2138"/>
      <c r="BP13" s="2138"/>
      <c r="BQ13" s="2138"/>
      <c r="BR13" s="2129"/>
    </row>
    <row r="14" customHeight="1" spans="2:70">
      <c r="B14" s="1894" t="s">
        <v>51</v>
      </c>
      <c r="C14" s="1895"/>
      <c r="D14" s="1895"/>
      <c r="E14" s="1895"/>
      <c r="F14" s="1895"/>
      <c r="G14" s="1895"/>
      <c r="H14" s="1895"/>
      <c r="I14" s="1895"/>
      <c r="J14" s="1895"/>
      <c r="K14" s="1895"/>
      <c r="L14" s="1895"/>
      <c r="M14" s="1895"/>
      <c r="N14" s="1895"/>
      <c r="O14" s="1895"/>
      <c r="P14" s="1895"/>
      <c r="Q14" s="1895"/>
      <c r="R14" s="1895"/>
      <c r="S14" s="1895"/>
      <c r="T14" s="1895"/>
      <c r="U14" s="1895"/>
      <c r="V14" s="1895"/>
      <c r="W14" s="1895"/>
      <c r="X14" s="1895"/>
      <c r="Y14" s="1895"/>
      <c r="Z14" s="1895"/>
      <c r="AA14" s="1895"/>
      <c r="AB14" s="1895"/>
      <c r="AC14" s="1895"/>
      <c r="AD14" s="1895"/>
      <c r="AE14" s="1895"/>
      <c r="AF14" s="1895"/>
      <c r="AG14" s="1895"/>
      <c r="AH14" s="1895"/>
      <c r="AI14" s="1895"/>
      <c r="AJ14" s="1895"/>
      <c r="AK14" s="1895"/>
      <c r="AL14" s="1895"/>
      <c r="AM14" s="1895"/>
      <c r="AN14" s="1895"/>
      <c r="AO14" s="1895"/>
      <c r="AP14" s="1895"/>
      <c r="AQ14" s="1895"/>
      <c r="AR14" s="1895"/>
      <c r="AS14" s="2139"/>
      <c r="AT14" s="2137"/>
      <c r="AU14" s="2140"/>
      <c r="AV14" s="2140"/>
      <c r="AW14" s="2140"/>
      <c r="AX14" s="2140"/>
      <c r="AY14" s="2182"/>
      <c r="AZ14" s="2138"/>
      <c r="BA14" s="2138"/>
      <c r="BB14" s="2138"/>
      <c r="BC14" s="2138"/>
      <c r="BD14" s="2138"/>
      <c r="BE14" s="2138"/>
      <c r="BF14" s="2138"/>
      <c r="BG14" s="2138"/>
      <c r="BH14" s="2138"/>
      <c r="BI14" s="2138"/>
      <c r="BJ14" s="2138"/>
      <c r="BK14" s="2138"/>
      <c r="BL14" s="2138"/>
      <c r="BM14" s="2138"/>
      <c r="BN14" s="2138"/>
      <c r="BO14" s="2138"/>
      <c r="BP14" s="2138"/>
      <c r="BQ14" s="2138"/>
      <c r="BR14" s="2129"/>
    </row>
    <row r="15" customHeight="1" spans="2:70">
      <c r="B15" s="1896" t="s">
        <v>52</v>
      </c>
      <c r="C15" s="1897"/>
      <c r="D15" s="1898" t="s">
        <v>53</v>
      </c>
      <c r="E15" s="1898"/>
      <c r="F15" s="1898" t="s">
        <v>54</v>
      </c>
      <c r="G15" s="1898"/>
      <c r="H15" s="1898"/>
      <c r="I15" s="1898"/>
      <c r="J15" s="1898" t="s">
        <v>55</v>
      </c>
      <c r="K15" s="1898"/>
      <c r="L15" s="1898" t="s">
        <v>52</v>
      </c>
      <c r="M15" s="1898"/>
      <c r="N15" s="1967" t="s">
        <v>13</v>
      </c>
      <c r="O15" s="1967"/>
      <c r="P15" s="1968" t="s">
        <v>56</v>
      </c>
      <c r="Q15" s="1968"/>
      <c r="R15" s="1898" t="s">
        <v>57</v>
      </c>
      <c r="S15" s="1898"/>
      <c r="T15" s="1898"/>
      <c r="U15" s="1898"/>
      <c r="V15" s="1898"/>
      <c r="W15" s="2034"/>
      <c r="X15" s="2035" t="s">
        <v>52</v>
      </c>
      <c r="Y15" s="1897"/>
      <c r="Z15" s="1898" t="s">
        <v>53</v>
      </c>
      <c r="AA15" s="1898"/>
      <c r="AB15" s="1898" t="s">
        <v>54</v>
      </c>
      <c r="AC15" s="1898"/>
      <c r="AD15" s="1898"/>
      <c r="AE15" s="1898"/>
      <c r="AF15" s="1898" t="s">
        <v>55</v>
      </c>
      <c r="AG15" s="1898"/>
      <c r="AH15" s="1898" t="s">
        <v>52</v>
      </c>
      <c r="AI15" s="1898"/>
      <c r="AJ15" s="1967" t="s">
        <v>13</v>
      </c>
      <c r="AK15" s="1967"/>
      <c r="AL15" s="1968" t="s">
        <v>56</v>
      </c>
      <c r="AM15" s="1968"/>
      <c r="AN15" s="1898" t="s">
        <v>57</v>
      </c>
      <c r="AO15" s="1898"/>
      <c r="AP15" s="1898"/>
      <c r="AQ15" s="1898"/>
      <c r="AR15" s="1898"/>
      <c r="AS15" s="2141"/>
      <c r="AT15" s="2137"/>
      <c r="AU15" s="2140"/>
      <c r="AV15" s="2140"/>
      <c r="AW15" s="2140"/>
      <c r="AX15" s="2140"/>
      <c r="AY15" s="2182"/>
      <c r="AZ15" s="2138"/>
      <c r="BA15" s="2138"/>
      <c r="BB15" s="2138"/>
      <c r="BC15" s="2138"/>
      <c r="BD15" s="2138"/>
      <c r="BE15" s="2138"/>
      <c r="BF15" s="2138"/>
      <c r="BG15" s="2138"/>
      <c r="BH15" s="2138"/>
      <c r="BI15" s="2138"/>
      <c r="BJ15" s="2138"/>
      <c r="BK15" s="2138"/>
      <c r="BL15" s="2138"/>
      <c r="BM15" s="2138"/>
      <c r="BN15" s="2138"/>
      <c r="BO15" s="2138"/>
      <c r="BP15" s="2138"/>
      <c r="BQ15" s="2138"/>
      <c r="BR15" s="2129"/>
    </row>
    <row r="16" customHeight="1" spans="1:70">
      <c r="A16" s="1899"/>
      <c r="B16" s="1900" t="s">
        <v>58</v>
      </c>
      <c r="C16" s="1901"/>
      <c r="D16" s="1902" t="str">
        <f>IF(ISTEXT(IFERROR(VLOOKUP(人物卡!F16,人物卡!BJ18:BR22,1,FALSE),IFERROR(VLOOKUP(人物卡!F16,BA18:BI22,1,FALSE),0))),"★",INDEX(本职技能!$A$2:$NE$105,MATCH(人物卡!F16,本职技能!$A$2:$A$105,0),MATCH(人物卡!$M$5,本职技能!$A$1:$NE$1,0)))</f>
        <v/>
      </c>
      <c r="E16" s="1903"/>
      <c r="F16" s="1904" t="s">
        <v>59</v>
      </c>
      <c r="G16" s="1904"/>
      <c r="H16" s="1904"/>
      <c r="I16" s="1904"/>
      <c r="J16" s="1904">
        <v>5</v>
      </c>
      <c r="K16" s="1904"/>
      <c r="L16" s="1969"/>
      <c r="M16" s="1969"/>
      <c r="N16" s="1970"/>
      <c r="O16" s="1970"/>
      <c r="P16" s="1971"/>
      <c r="Q16" s="1971"/>
      <c r="R16" s="2036">
        <f t="shared" ref="R16:R37" si="0">SUM(J16:Q16)</f>
        <v>5</v>
      </c>
      <c r="S16" s="2036"/>
      <c r="T16" s="2036">
        <f t="shared" ref="T16:T61" si="1">INT(R16/2)</f>
        <v>2</v>
      </c>
      <c r="U16" s="2036"/>
      <c r="V16" s="2036">
        <f t="shared" ref="V16:V61" si="2">INT(R16/5)</f>
        <v>1</v>
      </c>
      <c r="W16" s="2037"/>
      <c r="X16" s="2038" t="s">
        <v>58</v>
      </c>
      <c r="Y16" s="1904"/>
      <c r="Z16" s="1902" t="str">
        <f>IF(ISTEXT(IFERROR(VLOOKUP(人物卡!AB16,人物卡!BJ18:BR22,1,FALSE),IFERROR(VLOOKUP(人物卡!AB16,人物卡!BA18:BC22,1,FALSE),0))),"★",INDEX(本职技能!$A$2:$NE$105,MATCH(人物卡!AB16,本职技能!$A$2:$A$105,0),MATCH(人物卡!$M$5,本职技能!$A$1:$NE$1,0)))</f>
        <v/>
      </c>
      <c r="AA16" s="1903"/>
      <c r="AB16" s="1904" t="s">
        <v>60</v>
      </c>
      <c r="AC16" s="1904"/>
      <c r="AD16" s="1904"/>
      <c r="AE16" s="1904"/>
      <c r="AF16" s="1904">
        <v>5</v>
      </c>
      <c r="AG16" s="1904"/>
      <c r="AH16" s="2107"/>
      <c r="AI16" s="2107"/>
      <c r="AJ16" s="1970"/>
      <c r="AK16" s="1970"/>
      <c r="AL16" s="1992"/>
      <c r="AM16" s="1992"/>
      <c r="AN16" s="2036">
        <f t="shared" ref="AN16:AN61" si="3">SUM(AF16:AM16)</f>
        <v>5</v>
      </c>
      <c r="AO16" s="2036"/>
      <c r="AP16" s="2036">
        <f t="shared" ref="AP16:AP61" si="4">INT(AN16/2)</f>
        <v>2</v>
      </c>
      <c r="AQ16" s="2036"/>
      <c r="AR16" s="2036">
        <f t="shared" ref="AR16:AR61" si="5">INT(AN16/5)</f>
        <v>1</v>
      </c>
      <c r="AS16" s="2050"/>
      <c r="AT16" s="2137"/>
      <c r="AU16" s="2129"/>
      <c r="AV16" s="2129"/>
      <c r="AW16" s="2129"/>
      <c r="AX16" s="2129"/>
      <c r="AY16" s="2182"/>
      <c r="AZ16" s="2129"/>
      <c r="BA16" s="2129"/>
      <c r="BB16" s="2129"/>
      <c r="BC16" s="2129"/>
      <c r="BD16" s="2129"/>
      <c r="BE16" s="2129"/>
      <c r="BF16" s="2129"/>
      <c r="BG16" s="2129"/>
      <c r="BH16" s="2129"/>
      <c r="BI16" s="2129"/>
      <c r="BJ16" s="2129"/>
      <c r="BK16" s="2129"/>
      <c r="BL16" s="2129"/>
      <c r="BM16" s="2129"/>
      <c r="BN16" s="2129"/>
      <c r="BO16" s="2129"/>
      <c r="BP16" s="2129"/>
      <c r="BQ16" s="2129"/>
      <c r="BR16" s="2129"/>
    </row>
    <row r="17" customHeight="1" spans="2:70">
      <c r="B17" s="1900" t="s">
        <v>58</v>
      </c>
      <c r="C17" s="1901"/>
      <c r="D17" s="1902" t="str">
        <f>IF(ISTEXT(IFERROR(VLOOKUP(人物卡!F17,人物卡!BJ19:BR23,1,FALSE),IFERROR(VLOOKUP(人物卡!F17,BA19:BI23,1,FALSE),0))),"★",INDEX(本职技能!$A$2:$NE$105,MATCH(人物卡!F17,本职技能!$A$2:$A$105,0),MATCH(人物卡!$M$5,本职技能!$A$1:$NE$1,0)))</f>
        <v/>
      </c>
      <c r="E17" s="1903"/>
      <c r="F17" s="1904" t="s">
        <v>61</v>
      </c>
      <c r="G17" s="1904"/>
      <c r="H17" s="1904"/>
      <c r="I17" s="1904"/>
      <c r="J17" s="1904">
        <v>1</v>
      </c>
      <c r="K17" s="1904"/>
      <c r="L17" s="1969"/>
      <c r="M17" s="1969"/>
      <c r="N17" s="1970"/>
      <c r="O17" s="1970"/>
      <c r="P17" s="1971"/>
      <c r="Q17" s="1971"/>
      <c r="R17" s="2036">
        <f t="shared" si="0"/>
        <v>1</v>
      </c>
      <c r="S17" s="2036"/>
      <c r="T17" s="2036">
        <f t="shared" si="1"/>
        <v>0</v>
      </c>
      <c r="U17" s="2036"/>
      <c r="V17" s="2036">
        <f t="shared" si="2"/>
        <v>0</v>
      </c>
      <c r="W17" s="2037"/>
      <c r="X17" s="2038" t="s">
        <v>58</v>
      </c>
      <c r="Y17" s="1904"/>
      <c r="Z17" s="1902" t="str">
        <f>IF(ISTEXT(IFERROR(VLOOKUP(人物卡!AB17,人物卡!BJ19:BR23,1,FALSE),IFERROR(VLOOKUP(人物卡!AB17,人物卡!BA19:BC23,1,FALSE),0))),"★",INDEX(本职技能!$A$2:$NE$105,MATCH(人物卡!AB17,本职技能!$A$2:$A$105,0),MATCH(人物卡!$M$5,本职技能!$A$1:$NE$1,0)))</f>
        <v/>
      </c>
      <c r="AA17" s="1903"/>
      <c r="AB17" s="1904" t="s">
        <v>62</v>
      </c>
      <c r="AC17" s="1904"/>
      <c r="AD17" s="1904"/>
      <c r="AE17" s="1904"/>
      <c r="AF17" s="1904">
        <v>20</v>
      </c>
      <c r="AG17" s="1904"/>
      <c r="AH17" s="2107"/>
      <c r="AI17" s="2107"/>
      <c r="AJ17" s="1970"/>
      <c r="AK17" s="1970"/>
      <c r="AL17" s="1992"/>
      <c r="AM17" s="1992"/>
      <c r="AN17" s="2036">
        <f t="shared" si="3"/>
        <v>20</v>
      </c>
      <c r="AO17" s="2036"/>
      <c r="AP17" s="2036">
        <f t="shared" si="4"/>
        <v>10</v>
      </c>
      <c r="AQ17" s="2036"/>
      <c r="AR17" s="2036">
        <f t="shared" si="5"/>
        <v>4</v>
      </c>
      <c r="AS17" s="2050"/>
      <c r="AU17" s="2120" t="s">
        <v>63</v>
      </c>
      <c r="AV17" s="2121"/>
      <c r="AW17" s="2121"/>
      <c r="AX17" s="2121"/>
      <c r="AY17" s="2121"/>
      <c r="AZ17" s="2121"/>
      <c r="BA17" s="2120" t="s">
        <v>64</v>
      </c>
      <c r="BB17" s="2120"/>
      <c r="BC17" s="2120"/>
      <c r="BD17" s="2120"/>
      <c r="BE17" s="2120"/>
      <c r="BF17" s="2120"/>
      <c r="BG17" s="2120"/>
      <c r="BH17" s="2120"/>
      <c r="BI17" s="2120"/>
      <c r="BJ17" s="2120"/>
      <c r="BK17" s="2120"/>
      <c r="BL17" s="2120"/>
      <c r="BM17" s="2120"/>
      <c r="BN17" s="2120"/>
      <c r="BO17" s="2120"/>
      <c r="BP17" s="2120"/>
      <c r="BQ17" s="2120"/>
      <c r="BR17" s="2120"/>
    </row>
    <row r="18" customHeight="1" spans="1:70">
      <c r="A18" s="1905"/>
      <c r="B18" s="1900" t="s">
        <v>58</v>
      </c>
      <c r="C18" s="1901"/>
      <c r="D18" s="1902" t="str">
        <f>IF(ISTEXT(IFERROR(VLOOKUP(人物卡!F18,人物卡!BJ20:BR24,1,FALSE),IFERROR(VLOOKUP(人物卡!F18,BA20:BI24,1,FALSE),0))),"★",INDEX(本职技能!$A$2:$NE$105,MATCH(人物卡!F18,本职技能!$A$2:$A$105,0),MATCH(人物卡!$M$5,本职技能!$A$1:$NE$1,0)))</f>
        <v/>
      </c>
      <c r="E18" s="1903"/>
      <c r="F18" s="1904" t="s">
        <v>65</v>
      </c>
      <c r="G18" s="1904"/>
      <c r="H18" s="1904"/>
      <c r="I18" s="1904"/>
      <c r="J18" s="1904">
        <v>5</v>
      </c>
      <c r="K18" s="1904"/>
      <c r="L18" s="1969"/>
      <c r="M18" s="1969"/>
      <c r="N18" s="1970"/>
      <c r="O18" s="1970"/>
      <c r="P18" s="1971"/>
      <c r="Q18" s="1971"/>
      <c r="R18" s="2036">
        <f t="shared" si="0"/>
        <v>5</v>
      </c>
      <c r="S18" s="2036"/>
      <c r="T18" s="2036">
        <f t="shared" si="1"/>
        <v>2</v>
      </c>
      <c r="U18" s="2036"/>
      <c r="V18" s="2036">
        <f t="shared" si="2"/>
        <v>1</v>
      </c>
      <c r="W18" s="2037"/>
      <c r="X18" s="2038" t="s">
        <v>58</v>
      </c>
      <c r="Y18" s="1904"/>
      <c r="Z18" s="1902" t="str">
        <f>IF(ISTEXT(IFERROR(VLOOKUP(人物卡!AB18,人物卡!BJ20:BR24,1,FALSE),IFERROR(VLOOKUP(人物卡!AB18,人物卡!BA20:BC24,1,FALSE),0))),"★",INDEX(本职技能!$A$2:$NE$105,MATCH(人物卡!AB18,本职技能!$A$2:$A$105,0),MATCH(人物卡!$M$5,本职技能!$A$1:$NE$1,0)))</f>
        <v/>
      </c>
      <c r="AA18" s="1903"/>
      <c r="AB18" s="1904" t="s">
        <v>66</v>
      </c>
      <c r="AC18" s="1904"/>
      <c r="AD18" s="1904"/>
      <c r="AE18" s="1904"/>
      <c r="AF18" s="1904">
        <v>20</v>
      </c>
      <c r="AG18" s="1904"/>
      <c r="AH18" s="2107"/>
      <c r="AI18" s="2107"/>
      <c r="AJ18" s="1970"/>
      <c r="AK18" s="1970"/>
      <c r="AL18" s="1992"/>
      <c r="AM18" s="1992"/>
      <c r="AN18" s="2036">
        <f t="shared" si="3"/>
        <v>20</v>
      </c>
      <c r="AO18" s="2036"/>
      <c r="AP18" s="2036">
        <f t="shared" si="4"/>
        <v>10</v>
      </c>
      <c r="AQ18" s="2036"/>
      <c r="AR18" s="2036">
        <f t="shared" si="5"/>
        <v>4</v>
      </c>
      <c r="AS18" s="2050"/>
      <c r="AU18" s="2142" t="s">
        <v>67</v>
      </c>
      <c r="AV18" s="2142"/>
      <c r="AW18" s="2142"/>
      <c r="AX18" s="2142"/>
      <c r="AY18" s="2142"/>
      <c r="AZ18" s="2142"/>
      <c r="BA18" s="2183"/>
      <c r="BB18" s="2183"/>
      <c r="BC18" s="2183"/>
      <c r="BD18" s="2183"/>
      <c r="BE18" s="2183"/>
      <c r="BF18" s="2183"/>
      <c r="BG18" s="2183"/>
      <c r="BH18" s="2183"/>
      <c r="BI18" s="2183"/>
      <c r="BJ18" s="2183"/>
      <c r="BK18" s="2183"/>
      <c r="BL18" s="2183"/>
      <c r="BM18" s="2183"/>
      <c r="BN18" s="2183"/>
      <c r="BO18" s="2183"/>
      <c r="BP18" s="2183"/>
      <c r="BQ18" s="2183"/>
      <c r="BR18" s="2183"/>
    </row>
    <row r="19" customHeight="1" spans="1:70">
      <c r="A19" s="1905"/>
      <c r="B19" s="1900" t="s">
        <v>58</v>
      </c>
      <c r="C19" s="1901"/>
      <c r="D19" s="1902" t="str">
        <f>IF(ISTEXT(IFERROR(VLOOKUP(人物卡!F19,人物卡!BJ21:BR25,1,FALSE),IFERROR(VLOOKUP(人物卡!F19,BA21:BI25,1,FALSE),0))),"★",INDEX(本职技能!$A$2:$NE$105,MATCH(人物卡!F19,本职技能!$A$2:$A$105,0),MATCH(人物卡!$M$5,本职技能!$A$1:$NE$1,0)))</f>
        <v/>
      </c>
      <c r="E19" s="1903"/>
      <c r="F19" s="1904" t="s">
        <v>68</v>
      </c>
      <c r="G19" s="1904"/>
      <c r="H19" s="1904"/>
      <c r="I19" s="1904"/>
      <c r="J19" s="1904">
        <v>1</v>
      </c>
      <c r="K19" s="1904"/>
      <c r="L19" s="1969"/>
      <c r="M19" s="1969"/>
      <c r="N19" s="1970"/>
      <c r="O19" s="1970"/>
      <c r="P19" s="1971"/>
      <c r="Q19" s="1971"/>
      <c r="R19" s="2036">
        <f t="shared" si="0"/>
        <v>1</v>
      </c>
      <c r="S19" s="2036"/>
      <c r="T19" s="2036">
        <f t="shared" si="1"/>
        <v>0</v>
      </c>
      <c r="U19" s="2036"/>
      <c r="V19" s="2036">
        <f t="shared" si="2"/>
        <v>0</v>
      </c>
      <c r="W19" s="2037"/>
      <c r="X19" s="2038" t="s">
        <v>58</v>
      </c>
      <c r="Y19" s="1904"/>
      <c r="Z19" s="1902" t="str">
        <f>IF(ISTEXT(IFERROR(VLOOKUP(人物卡!AB19,人物卡!BJ21:BR25,1,FALSE),IFERROR(VLOOKUP(人物卡!AB19,人物卡!BA21:BC25,1,FALSE),0))),"★",INDEX(本职技能!$A$2:$NE$105,MATCH(人物卡!AB19,本职技能!$A$2:$A$105,0),MATCH(人物卡!$M$5,本职技能!$A$1:$NE$1,0)))</f>
        <v/>
      </c>
      <c r="AA19" s="1903"/>
      <c r="AB19" s="1904" t="s">
        <v>69</v>
      </c>
      <c r="AC19" s="1904"/>
      <c r="AD19" s="1904"/>
      <c r="AE19" s="1904"/>
      <c r="AF19" s="1904">
        <v>1</v>
      </c>
      <c r="AG19" s="1904"/>
      <c r="AH19" s="2107"/>
      <c r="AI19" s="2107"/>
      <c r="AJ19" s="1970"/>
      <c r="AK19" s="1970"/>
      <c r="AL19" s="1992"/>
      <c r="AM19" s="1992"/>
      <c r="AN19" s="2036">
        <f t="shared" si="3"/>
        <v>1</v>
      </c>
      <c r="AO19" s="2036"/>
      <c r="AP19" s="2036">
        <f t="shared" si="4"/>
        <v>0</v>
      </c>
      <c r="AQ19" s="2036"/>
      <c r="AR19" s="2036">
        <f t="shared" si="5"/>
        <v>0</v>
      </c>
      <c r="AS19" s="2050"/>
      <c r="AU19" s="2143" t="str">
        <f>附表!AD25</f>
        <v>无</v>
      </c>
      <c r="AV19" s="2143"/>
      <c r="AW19" s="2143"/>
      <c r="AX19" s="2143"/>
      <c r="AY19" s="2143"/>
      <c r="AZ19" s="2143"/>
      <c r="BA19" s="2184"/>
      <c r="BB19" s="2184"/>
      <c r="BC19" s="2184"/>
      <c r="BD19" s="2184"/>
      <c r="BE19" s="2184"/>
      <c r="BF19" s="2184"/>
      <c r="BG19" s="2184"/>
      <c r="BH19" s="2184"/>
      <c r="BI19" s="2184"/>
      <c r="BJ19" s="2184"/>
      <c r="BK19" s="2184"/>
      <c r="BL19" s="2184"/>
      <c r="BM19" s="2184"/>
      <c r="BN19" s="2184"/>
      <c r="BO19" s="2184"/>
      <c r="BP19" s="2184"/>
      <c r="BQ19" s="2184"/>
      <c r="BR19" s="2184"/>
    </row>
    <row r="20" customHeight="1" spans="1:70">
      <c r="A20" s="1905"/>
      <c r="B20" s="1900" t="s">
        <v>58</v>
      </c>
      <c r="C20" s="1901"/>
      <c r="D20" s="1902" t="str">
        <f>IF(ISTEXT(IFERROR(VLOOKUP(人物卡!F20,人物卡!BJ22:BR26,1,FALSE),IFERROR(VLOOKUP(人物卡!F20,BA22:BI26,1,FALSE),0))),"★",INDEX(本职技能!$A$2:$NE$105,MATCH(人物卡!F20,本职技能!$A$2:$A$105,0),MATCH(人物卡!$M$5,本职技能!$A$1:$NE$1,0)))</f>
        <v/>
      </c>
      <c r="E20" s="1903"/>
      <c r="F20" s="1906" t="s">
        <v>70</v>
      </c>
      <c r="G20" s="1906"/>
      <c r="H20" s="1907"/>
      <c r="I20" s="1907"/>
      <c r="J20" s="1904">
        <f>IF(ISBLANK(AU26),5,IF(H20=AU26,BA26,5))</f>
        <v>5</v>
      </c>
      <c r="K20" s="1904"/>
      <c r="L20" s="1969"/>
      <c r="M20" s="1969"/>
      <c r="N20" s="1970"/>
      <c r="O20" s="1970"/>
      <c r="P20" s="1971"/>
      <c r="Q20" s="1971"/>
      <c r="R20" s="2036">
        <f t="shared" si="0"/>
        <v>5</v>
      </c>
      <c r="S20" s="2036"/>
      <c r="T20" s="2036">
        <f t="shared" si="1"/>
        <v>2</v>
      </c>
      <c r="U20" s="2036"/>
      <c r="V20" s="2036">
        <f t="shared" si="2"/>
        <v>1</v>
      </c>
      <c r="W20" s="2037"/>
      <c r="X20" s="2038" t="s">
        <v>58</v>
      </c>
      <c r="Y20" s="1904"/>
      <c r="Z20" s="1902" t="str">
        <f>IF(ISTEXT(IFERROR(VLOOKUP(人物卡!AB20,人物卡!BJ22:BR26,1,FALSE),IFERROR(VLOOKUP(人物卡!AB20,人物卡!BA22:BC26,1,FALSE),0))),"★",INDEX(本职技能!$A$2:$NE$105,MATCH(人物卡!AB20,本职技能!$A$2:$A$105,0),MATCH(人物卡!$M$5,本职技能!$A$1:$NE$1,0)))</f>
        <v/>
      </c>
      <c r="AA20" s="1903"/>
      <c r="AB20" s="1904" t="s">
        <v>71</v>
      </c>
      <c r="AC20" s="1904"/>
      <c r="AD20" s="1904"/>
      <c r="AE20" s="1904"/>
      <c r="AF20" s="1904">
        <v>10</v>
      </c>
      <c r="AG20" s="1904"/>
      <c r="AH20" s="2107"/>
      <c r="AI20" s="2107"/>
      <c r="AJ20" s="1970"/>
      <c r="AK20" s="1970"/>
      <c r="AL20" s="1992"/>
      <c r="AM20" s="1992"/>
      <c r="AN20" s="2036">
        <f t="shared" si="3"/>
        <v>10</v>
      </c>
      <c r="AO20" s="2036"/>
      <c r="AP20" s="2036">
        <f t="shared" si="4"/>
        <v>5</v>
      </c>
      <c r="AQ20" s="2036"/>
      <c r="AR20" s="2036">
        <f t="shared" si="5"/>
        <v>2</v>
      </c>
      <c r="AS20" s="2050"/>
      <c r="AU20" s="2143"/>
      <c r="AV20" s="2143"/>
      <c r="AW20" s="2143"/>
      <c r="AX20" s="2143"/>
      <c r="AY20" s="2143"/>
      <c r="AZ20" s="2143"/>
      <c r="BA20" s="2183"/>
      <c r="BB20" s="2183"/>
      <c r="BC20" s="2183"/>
      <c r="BD20" s="2183"/>
      <c r="BE20" s="2183"/>
      <c r="BF20" s="2183"/>
      <c r="BG20" s="2183"/>
      <c r="BH20" s="2183"/>
      <c r="BI20" s="2183"/>
      <c r="BJ20" s="2183"/>
      <c r="BK20" s="2183"/>
      <c r="BL20" s="2183"/>
      <c r="BM20" s="2183"/>
      <c r="BN20" s="2183"/>
      <c r="BO20" s="2183"/>
      <c r="BP20" s="2183"/>
      <c r="BQ20" s="2183"/>
      <c r="BR20" s="2183"/>
    </row>
    <row r="21" customHeight="1" spans="1:70">
      <c r="A21" s="1905"/>
      <c r="B21" s="1900" t="s">
        <v>58</v>
      </c>
      <c r="C21" s="1901"/>
      <c r="D21" s="1902" t="str">
        <f>IF(ISTEXT(IFERROR(VLOOKUP(人物卡!F21,人物卡!BJ23:BR27,1,FALSE),IFERROR(VLOOKUP(人物卡!F21,BA23:BI27,1,FALSE),0))),"★",INDEX(本职技能!$A$2:$NE$105,MATCH(人物卡!F21,本职技能!$A$2:$A$105,0),MATCH(人物卡!$M$5,本职技能!$A$1:$NE$1,0)))</f>
        <v/>
      </c>
      <c r="E21" s="1903"/>
      <c r="F21" s="1906" t="s">
        <v>72</v>
      </c>
      <c r="G21" s="1906"/>
      <c r="H21" s="1907"/>
      <c r="I21" s="1907"/>
      <c r="J21" s="1904">
        <f>IF(ISBLANK(AU26),5,IF(H21=AU26,BA26,5))</f>
        <v>5</v>
      </c>
      <c r="K21" s="1904"/>
      <c r="L21" s="1969"/>
      <c r="M21" s="1969"/>
      <c r="N21" s="1970"/>
      <c r="O21" s="1970"/>
      <c r="P21" s="1971"/>
      <c r="Q21" s="1971"/>
      <c r="R21" s="2036">
        <f t="shared" si="0"/>
        <v>5</v>
      </c>
      <c r="S21" s="2036"/>
      <c r="T21" s="2036">
        <f t="shared" si="1"/>
        <v>2</v>
      </c>
      <c r="U21" s="2036"/>
      <c r="V21" s="2036">
        <f t="shared" si="2"/>
        <v>1</v>
      </c>
      <c r="W21" s="2037"/>
      <c r="X21" s="2038" t="s">
        <v>58</v>
      </c>
      <c r="Y21" s="1904"/>
      <c r="Z21" s="1902" t="str">
        <f>IF(ISTEXT(IFERROR(VLOOKUP(人物卡!AB21,人物卡!BJ23:BR27,1,FALSE),IFERROR(VLOOKUP(人物卡!AB21,人物卡!BA23:BC27,1,FALSE),0))),"★",INDEX(本职技能!$A$2:$NE$105,MATCH(人物卡!AB21,本职技能!$A$2:$A$105,0),MATCH(人物卡!$M$5,本职技能!$A$1:$NE$1,0)))</f>
        <v/>
      </c>
      <c r="AA21" s="1903"/>
      <c r="AB21" s="1904" t="s">
        <v>73</v>
      </c>
      <c r="AC21" s="1904"/>
      <c r="AD21" s="1904"/>
      <c r="AE21" s="1904"/>
      <c r="AF21" s="1904">
        <v>1</v>
      </c>
      <c r="AG21" s="1904"/>
      <c r="AH21" s="2107"/>
      <c r="AI21" s="2107"/>
      <c r="AJ21" s="1970"/>
      <c r="AK21" s="1970"/>
      <c r="AL21" s="1992"/>
      <c r="AM21" s="1992"/>
      <c r="AN21" s="2036">
        <f t="shared" si="3"/>
        <v>1</v>
      </c>
      <c r="AO21" s="2036"/>
      <c r="AP21" s="2036">
        <f t="shared" si="4"/>
        <v>0</v>
      </c>
      <c r="AQ21" s="2036"/>
      <c r="AR21" s="2036">
        <f t="shared" si="5"/>
        <v>0</v>
      </c>
      <c r="AS21" s="2050"/>
      <c r="AU21" s="2143"/>
      <c r="AV21" s="2143"/>
      <c r="AW21" s="2143"/>
      <c r="AX21" s="2143"/>
      <c r="AY21" s="2143"/>
      <c r="AZ21" s="2143"/>
      <c r="BA21" s="2184"/>
      <c r="BB21" s="2184"/>
      <c r="BC21" s="2184"/>
      <c r="BD21" s="2184"/>
      <c r="BE21" s="2184"/>
      <c r="BF21" s="2184"/>
      <c r="BG21" s="2184"/>
      <c r="BH21" s="2184"/>
      <c r="BI21" s="2184"/>
      <c r="BJ21" s="2184"/>
      <c r="BK21" s="2184"/>
      <c r="BL21" s="2184"/>
      <c r="BM21" s="2184"/>
      <c r="BN21" s="2184"/>
      <c r="BO21" s="2184"/>
      <c r="BP21" s="2184"/>
      <c r="BQ21" s="2184"/>
      <c r="BR21" s="2184"/>
    </row>
    <row r="22" customHeight="1" spans="1:70">
      <c r="A22" s="1905"/>
      <c r="B22" s="1908" t="s">
        <v>58</v>
      </c>
      <c r="C22" s="1909"/>
      <c r="D22" s="1902" t="s">
        <v>74</v>
      </c>
      <c r="E22" s="1903"/>
      <c r="F22" s="1910" t="s">
        <v>75</v>
      </c>
      <c r="G22" s="1910"/>
      <c r="H22" s="1907"/>
      <c r="I22" s="1907"/>
      <c r="J22" s="1972">
        <f>IF(ISBLANK(AU26),5,IF(H22=AU26,BA26,5))</f>
        <v>5</v>
      </c>
      <c r="K22" s="1972"/>
      <c r="L22" s="1973"/>
      <c r="M22" s="1973"/>
      <c r="N22" s="1974"/>
      <c r="O22" s="1974"/>
      <c r="P22" s="1975" t="s">
        <v>76</v>
      </c>
      <c r="Q22" s="1975"/>
      <c r="R22" s="2039">
        <f t="shared" si="0"/>
        <v>5</v>
      </c>
      <c r="S22" s="2039"/>
      <c r="T22" s="2039">
        <f t="shared" si="1"/>
        <v>2</v>
      </c>
      <c r="U22" s="2039"/>
      <c r="V22" s="2039">
        <f t="shared" si="2"/>
        <v>1</v>
      </c>
      <c r="W22" s="2040"/>
      <c r="X22" s="2038" t="s">
        <v>58</v>
      </c>
      <c r="Y22" s="1904"/>
      <c r="Z22" s="1902" t="str">
        <f>IF(ISTEXT(IFERROR(VLOOKUP(人物卡!AB22,人物卡!BJ24:BR28,1,FALSE),IFERROR(VLOOKUP(人物卡!AB22,人物卡!BA24:BC28,1,FALSE),0))),"★",INDEX(本职技能!$A$2:$NE$105,MATCH(人物卡!AB22,本职技能!$A$2:$A$105,0),MATCH(人物卡!$M$5,本职技能!$A$1:$NE$1,0)))</f>
        <v/>
      </c>
      <c r="AA22" s="1903"/>
      <c r="AB22" s="1904" t="s">
        <v>77</v>
      </c>
      <c r="AC22" s="1904"/>
      <c r="AD22" s="1904"/>
      <c r="AE22" s="1904"/>
      <c r="AF22" s="1904">
        <v>10</v>
      </c>
      <c r="AG22" s="1904"/>
      <c r="AH22" s="2107"/>
      <c r="AI22" s="2107"/>
      <c r="AJ22" s="1970"/>
      <c r="AK22" s="1970"/>
      <c r="AL22" s="1992"/>
      <c r="AM22" s="1992"/>
      <c r="AN22" s="2036">
        <f t="shared" si="3"/>
        <v>10</v>
      </c>
      <c r="AO22" s="2036"/>
      <c r="AP22" s="2036">
        <f t="shared" si="4"/>
        <v>5</v>
      </c>
      <c r="AQ22" s="2036"/>
      <c r="AR22" s="2036">
        <f t="shared" si="5"/>
        <v>2</v>
      </c>
      <c r="AS22" s="2050"/>
      <c r="AU22" s="2144" t="s">
        <v>78</v>
      </c>
      <c r="AV22" s="2144"/>
      <c r="AW22" s="2144"/>
      <c r="AX22" s="2144"/>
      <c r="AY22" s="2144"/>
      <c r="AZ22" s="2144"/>
      <c r="BA22" s="2183"/>
      <c r="BB22" s="2183"/>
      <c r="BC22" s="2183"/>
      <c r="BD22" s="2183"/>
      <c r="BE22" s="2183"/>
      <c r="BF22" s="2183"/>
      <c r="BG22" s="2183"/>
      <c r="BH22" s="2183"/>
      <c r="BI22" s="2183"/>
      <c r="BJ22" s="2183"/>
      <c r="BK22" s="2183"/>
      <c r="BL22" s="2183"/>
      <c r="BM22" s="2183"/>
      <c r="BN22" s="2183"/>
      <c r="BO22" s="2183"/>
      <c r="BP22" s="2183"/>
      <c r="BQ22" s="2183"/>
      <c r="BR22" s="2183"/>
    </row>
    <row r="23" customHeight="1" spans="1:70">
      <c r="A23" s="1905"/>
      <c r="B23" s="1900" t="s">
        <v>58</v>
      </c>
      <c r="C23" s="1901"/>
      <c r="D23" s="1902" t="str">
        <f>IF(ISTEXT(IFERROR(VLOOKUP(人物卡!F23,人物卡!BJ25:BR29,1,FALSE),IFERROR(VLOOKUP(人物卡!F23,BA25:BI29,1,FALSE),0))),"★",INDEX(本职技能!$A$2:$NE$105,MATCH(人物卡!F23,本职技能!$A$2:$A$105,0),MATCH(人物卡!$M$5,本职技能!$A$1:$NE$1,0)))</f>
        <v/>
      </c>
      <c r="E23" s="1903"/>
      <c r="F23" s="1904" t="s">
        <v>79</v>
      </c>
      <c r="G23" s="1904"/>
      <c r="H23" s="1904"/>
      <c r="I23" s="1904"/>
      <c r="J23" s="1904">
        <v>15</v>
      </c>
      <c r="K23" s="1904"/>
      <c r="L23" s="1969"/>
      <c r="M23" s="1969"/>
      <c r="N23" s="1970"/>
      <c r="O23" s="1970"/>
      <c r="P23" s="1971"/>
      <c r="Q23" s="1971"/>
      <c r="R23" s="2036">
        <f t="shared" si="0"/>
        <v>15</v>
      </c>
      <c r="S23" s="2036"/>
      <c r="T23" s="2036">
        <f t="shared" si="1"/>
        <v>7</v>
      </c>
      <c r="U23" s="2036"/>
      <c r="V23" s="2036">
        <f t="shared" si="2"/>
        <v>3</v>
      </c>
      <c r="W23" s="2037"/>
      <c r="X23" s="2038" t="s">
        <v>58</v>
      </c>
      <c r="Y23" s="1904"/>
      <c r="Z23" s="1902" t="str">
        <f>IF(ISTEXT(IFERROR(VLOOKUP(人物卡!AB23,人物卡!BJ25:BR29,1,FALSE),IFERROR(VLOOKUP(人物卡!AB23,人物卡!BA25:BC29,1,FALSE),0))),"★",INDEX(本职技能!$A$2:$NE$105,MATCH(人物卡!AB23,本职技能!$A$2:$A$105,0),MATCH(人物卡!$M$5,本职技能!$A$1:$NE$1,0)))</f>
        <v/>
      </c>
      <c r="AA23" s="1903"/>
      <c r="AB23" s="1904" t="s">
        <v>80</v>
      </c>
      <c r="AC23" s="1904"/>
      <c r="AD23" s="1904"/>
      <c r="AE23" s="1904"/>
      <c r="AF23" s="1904">
        <v>10</v>
      </c>
      <c r="AG23" s="1904"/>
      <c r="AH23" s="2107"/>
      <c r="AI23" s="2107"/>
      <c r="AJ23" s="1970"/>
      <c r="AK23" s="1970"/>
      <c r="AL23" s="1992"/>
      <c r="AM23" s="1992"/>
      <c r="AN23" s="2036">
        <f t="shared" si="3"/>
        <v>10</v>
      </c>
      <c r="AO23" s="2036"/>
      <c r="AP23" s="2036">
        <f t="shared" si="4"/>
        <v>5</v>
      </c>
      <c r="AQ23" s="2036"/>
      <c r="AR23" s="2036">
        <f t="shared" si="5"/>
        <v>2</v>
      </c>
      <c r="AS23" s="2050"/>
      <c r="AU23" s="2145" t="s">
        <v>81</v>
      </c>
      <c r="AV23" s="2145"/>
      <c r="AW23" s="2145"/>
      <c r="AX23" s="2145"/>
      <c r="AY23" s="2145"/>
      <c r="AZ23" s="2145"/>
      <c r="BA23" s="2145"/>
      <c r="BB23" s="2145"/>
      <c r="BC23" s="2145"/>
      <c r="BD23" s="2145"/>
      <c r="BE23" s="2145"/>
      <c r="BF23" s="2145"/>
      <c r="BG23" s="2145"/>
      <c r="BH23" s="2145"/>
      <c r="BI23" s="2145"/>
      <c r="BJ23" s="2145"/>
      <c r="BK23" s="2145"/>
      <c r="BL23" s="2145"/>
      <c r="BM23" s="2145"/>
      <c r="BN23" s="2145"/>
      <c r="BO23" s="2145"/>
      <c r="BP23" s="2145"/>
      <c r="BQ23" s="2145"/>
      <c r="BR23" s="2145"/>
    </row>
    <row r="24" customHeight="1" spans="1:70">
      <c r="A24" s="1905"/>
      <c r="B24" s="1900" t="s">
        <v>58</v>
      </c>
      <c r="C24" s="1901"/>
      <c r="D24" s="1902" t="str">
        <f>IF(ISTEXT(IFERROR(VLOOKUP(人物卡!F24,人物卡!BJ26:BR30,1,FALSE),IFERROR(VLOOKUP(人物卡!F24,BA26:BI30,1,FALSE),0))),"★",INDEX(本职技能!$A$2:$NE$105,MATCH(人物卡!F24,本职技能!$A$2:$A$105,0),MATCH(人物卡!$M$5,本职技能!$A$1:$NE$1,0)))</f>
        <v/>
      </c>
      <c r="E24" s="1903"/>
      <c r="F24" s="1904" t="s">
        <v>82</v>
      </c>
      <c r="G24" s="1904"/>
      <c r="H24" s="1904"/>
      <c r="I24" s="1904"/>
      <c r="J24" s="1904">
        <v>20</v>
      </c>
      <c r="K24" s="1904"/>
      <c r="L24" s="1969"/>
      <c r="M24" s="1969"/>
      <c r="N24" s="1970"/>
      <c r="O24" s="1970"/>
      <c r="P24" s="1971"/>
      <c r="Q24" s="1971"/>
      <c r="R24" s="2036">
        <f t="shared" si="0"/>
        <v>20</v>
      </c>
      <c r="S24" s="2036"/>
      <c r="T24" s="2036">
        <f t="shared" si="1"/>
        <v>10</v>
      </c>
      <c r="U24" s="2036"/>
      <c r="V24" s="2036">
        <f t="shared" si="2"/>
        <v>4</v>
      </c>
      <c r="W24" s="2037"/>
      <c r="X24" s="2038" t="s">
        <v>58</v>
      </c>
      <c r="Y24" s="1904"/>
      <c r="Z24" s="1902" t="str">
        <f>IF(ISTEXT(IFERROR(VLOOKUP(人物卡!AB24,人物卡!BJ26:BR30,1,FALSE),IFERROR(VLOOKUP(人物卡!AB24,人物卡!BA26:BC30,1,FALSE),0))),"★",INDEX(本职技能!$A$2:$NE$105,MATCH(人物卡!AB24,本职技能!$A$2:$A$105,0),MATCH(人物卡!$M$5,本职技能!$A$1:$NE$1,0)))</f>
        <v/>
      </c>
      <c r="AA24" s="1903"/>
      <c r="AB24" s="1904" t="s">
        <v>83</v>
      </c>
      <c r="AC24" s="1904"/>
      <c r="AD24" s="1904"/>
      <c r="AE24" s="1904"/>
      <c r="AF24" s="1904">
        <v>5</v>
      </c>
      <c r="AG24" s="1904"/>
      <c r="AH24" s="2107"/>
      <c r="AI24" s="2107"/>
      <c r="AJ24" s="1970"/>
      <c r="AK24" s="1970"/>
      <c r="AL24" s="1992"/>
      <c r="AM24" s="1992"/>
      <c r="AN24" s="2036">
        <f t="shared" si="3"/>
        <v>5</v>
      </c>
      <c r="AO24" s="2036"/>
      <c r="AP24" s="2036">
        <f t="shared" si="4"/>
        <v>2</v>
      </c>
      <c r="AQ24" s="2036"/>
      <c r="AR24" s="2036">
        <f t="shared" si="5"/>
        <v>1</v>
      </c>
      <c r="AS24" s="2050"/>
      <c r="AU24" s="2146" t="s">
        <v>84</v>
      </c>
      <c r="AV24" s="2146"/>
      <c r="AW24" s="2146"/>
      <c r="AX24" s="2146"/>
      <c r="AY24" s="2146"/>
      <c r="AZ24" s="2146"/>
      <c r="BA24" s="2146"/>
      <c r="BB24" s="2146"/>
      <c r="BC24" s="2185" t="s">
        <v>85</v>
      </c>
      <c r="BD24" s="2185"/>
      <c r="BE24" s="2185"/>
      <c r="BF24" s="2185"/>
      <c r="BG24" s="2185"/>
      <c r="BH24" s="2185"/>
      <c r="BI24" s="2185"/>
      <c r="BJ24" s="2185"/>
      <c r="BK24" s="2220" t="s">
        <v>86</v>
      </c>
      <c r="BL24" s="2220"/>
      <c r="BM24" s="2220"/>
      <c r="BN24" s="2220"/>
      <c r="BO24" s="2220"/>
      <c r="BP24" s="2220"/>
      <c r="BQ24" s="2220"/>
      <c r="BR24" s="2220"/>
    </row>
    <row r="25" customHeight="1" spans="1:70">
      <c r="A25" s="1905"/>
      <c r="B25" s="1900" t="s">
        <v>58</v>
      </c>
      <c r="C25" s="1901"/>
      <c r="D25" s="1902" t="str">
        <f>IF(ISTEXT(IFERROR(VLOOKUP(人物卡!F25,人物卡!BJ27:BR31,1,FALSE),IFERROR(VLOOKUP(人物卡!F25,BA27:BI31,1,FALSE),0))),"★",INDEX(本职技能!$A$2:$NE$105,MATCH(人物卡!F25,本职技能!$A$2:$A$105,0),MATCH(人物卡!$M$5,本职技能!$A$1:$NE$1,0)))</f>
        <v/>
      </c>
      <c r="E25" s="1903"/>
      <c r="F25" s="1904" t="s">
        <v>87</v>
      </c>
      <c r="G25" s="1904"/>
      <c r="H25" s="1904"/>
      <c r="I25" s="1904"/>
      <c r="J25" s="1904">
        <v>5</v>
      </c>
      <c r="K25" s="1904"/>
      <c r="L25" s="1969"/>
      <c r="M25" s="1969"/>
      <c r="N25" s="1970"/>
      <c r="O25" s="1970"/>
      <c r="P25" s="1971"/>
      <c r="Q25" s="1971"/>
      <c r="R25" s="2036">
        <f t="shared" si="0"/>
        <v>5</v>
      </c>
      <c r="S25" s="2036"/>
      <c r="T25" s="2036">
        <f t="shared" si="1"/>
        <v>2</v>
      </c>
      <c r="U25" s="2036"/>
      <c r="V25" s="2036">
        <f t="shared" si="2"/>
        <v>1</v>
      </c>
      <c r="W25" s="2037"/>
      <c r="X25" s="2038" t="s">
        <v>58</v>
      </c>
      <c r="Y25" s="1904"/>
      <c r="Z25" s="1902" t="str">
        <f>IF(ISTEXT(IFERROR(VLOOKUP(人物卡!AB25,人物卡!BJ27:BR31,1,FALSE),IFERROR(VLOOKUP(人物卡!AB25,人物卡!BA27:BC31,1,FALSE),0))),"★",INDEX(本职技能!$A$2:$NE$105,MATCH(人物卡!AB25,本职技能!$A$2:$A$105,0),MATCH(人物卡!$M$5,本职技能!$A$1:$NE$1,0)))</f>
        <v/>
      </c>
      <c r="AA25" s="1903"/>
      <c r="AB25" s="1904" t="s">
        <v>88</v>
      </c>
      <c r="AC25" s="1904"/>
      <c r="AD25" s="1904"/>
      <c r="AE25" s="1904"/>
      <c r="AF25" s="1904">
        <v>1</v>
      </c>
      <c r="AG25" s="1904"/>
      <c r="AH25" s="2107"/>
      <c r="AI25" s="2107"/>
      <c r="AJ25" s="1970"/>
      <c r="AK25" s="1970"/>
      <c r="AL25" s="1992"/>
      <c r="AM25" s="1992"/>
      <c r="AN25" s="2036">
        <f t="shared" si="3"/>
        <v>1</v>
      </c>
      <c r="AO25" s="2036"/>
      <c r="AP25" s="2036">
        <f t="shared" si="4"/>
        <v>0</v>
      </c>
      <c r="AQ25" s="2036"/>
      <c r="AR25" s="2036">
        <f t="shared" si="5"/>
        <v>0</v>
      </c>
      <c r="AS25" s="2050"/>
      <c r="AU25" s="2147" t="s">
        <v>89</v>
      </c>
      <c r="AV25" s="2147"/>
      <c r="AW25" s="2147"/>
      <c r="AX25" s="2147"/>
      <c r="AY25" s="2147"/>
      <c r="AZ25" s="2147"/>
      <c r="BA25" s="2186" t="s">
        <v>90</v>
      </c>
      <c r="BB25" s="2186"/>
      <c r="BC25" s="2187" t="s">
        <v>91</v>
      </c>
      <c r="BD25" s="2188"/>
      <c r="BE25" s="2188"/>
      <c r="BF25" s="2188"/>
      <c r="BG25" s="2188"/>
      <c r="BH25" s="2188"/>
      <c r="BI25" s="2188"/>
      <c r="BJ25" s="2188"/>
      <c r="BK25" s="2221" t="s">
        <v>92</v>
      </c>
      <c r="BL25" s="2222"/>
      <c r="BM25" s="2222"/>
      <c r="BN25" s="2222"/>
      <c r="BO25" s="2222"/>
      <c r="BP25" s="2222"/>
      <c r="BQ25" s="2222"/>
      <c r="BR25" s="2222"/>
    </row>
    <row r="26" customHeight="1" spans="1:70">
      <c r="A26" s="1905"/>
      <c r="B26" s="1900" t="s">
        <v>58</v>
      </c>
      <c r="C26" s="1901"/>
      <c r="D26" s="1903" t="s">
        <v>74</v>
      </c>
      <c r="E26" s="1903"/>
      <c r="F26" s="1904" t="s">
        <v>93</v>
      </c>
      <c r="G26" s="1904"/>
      <c r="H26" s="1904"/>
      <c r="I26" s="1904"/>
      <c r="J26" s="1904">
        <v>0</v>
      </c>
      <c r="K26" s="1904"/>
      <c r="L26" s="1969"/>
      <c r="M26" s="1969"/>
      <c r="N26" s="1970"/>
      <c r="O26" s="1970"/>
      <c r="P26" s="1971"/>
      <c r="Q26" s="1971"/>
      <c r="R26" s="2036">
        <f t="shared" si="0"/>
        <v>0</v>
      </c>
      <c r="S26" s="2036"/>
      <c r="T26" s="2036">
        <f t="shared" si="1"/>
        <v>0</v>
      </c>
      <c r="U26" s="2036"/>
      <c r="V26" s="2036">
        <f t="shared" si="2"/>
        <v>0</v>
      </c>
      <c r="W26" s="2037"/>
      <c r="X26" s="2038" t="s">
        <v>58</v>
      </c>
      <c r="Y26" s="1904"/>
      <c r="Z26" s="1902" t="str">
        <f>IF(ISTEXT(IFERROR(VLOOKUP(人物卡!AB26,人物卡!BJ28:BR32,1,FALSE),IFERROR(VLOOKUP(人物卡!AB26,人物卡!BA28:BC32,1,FALSE),0))),"★",INDEX(本职技能!$A$2:$NE$105,MATCH(人物卡!AB26,本职技能!$A$2:$A$105,0),MATCH(人物卡!$M$5,本职技能!$A$1:$NE$1,0)))</f>
        <v/>
      </c>
      <c r="AA26" s="1903"/>
      <c r="AB26" s="1904" t="s">
        <v>94</v>
      </c>
      <c r="AC26" s="1904"/>
      <c r="AD26" s="1904"/>
      <c r="AE26" s="1904"/>
      <c r="AF26" s="1904">
        <v>10</v>
      </c>
      <c r="AG26" s="1904"/>
      <c r="AH26" s="2107"/>
      <c r="AI26" s="2107"/>
      <c r="AJ26" s="1970"/>
      <c r="AK26" s="1970"/>
      <c r="AL26" s="1992"/>
      <c r="AM26" s="1992"/>
      <c r="AN26" s="2036">
        <f t="shared" si="3"/>
        <v>10</v>
      </c>
      <c r="AO26" s="2036"/>
      <c r="AP26" s="2036">
        <f t="shared" si="4"/>
        <v>5</v>
      </c>
      <c r="AQ26" s="2036"/>
      <c r="AR26" s="2036">
        <f t="shared" si="5"/>
        <v>2</v>
      </c>
      <c r="AS26" s="2050"/>
      <c r="AU26" s="2148" t="s">
        <v>95</v>
      </c>
      <c r="AV26" s="2148"/>
      <c r="AW26" s="2148"/>
      <c r="AX26" s="2148"/>
      <c r="AY26" s="2148"/>
      <c r="AZ26" s="2148"/>
      <c r="BA26" s="2189">
        <v>0</v>
      </c>
      <c r="BB26" s="2190"/>
      <c r="BC26" s="2191"/>
      <c r="BD26" s="2191"/>
      <c r="BE26" s="2191"/>
      <c r="BF26" s="2191"/>
      <c r="BG26" s="2191"/>
      <c r="BH26" s="2191"/>
      <c r="BI26" s="2191"/>
      <c r="BJ26" s="2191"/>
      <c r="BK26" s="2223"/>
      <c r="BL26" s="2223"/>
      <c r="BM26" s="2223"/>
      <c r="BN26" s="2223"/>
      <c r="BO26" s="2223"/>
      <c r="BP26" s="2223"/>
      <c r="BQ26" s="2223"/>
      <c r="BR26" s="2223"/>
    </row>
    <row r="27" customHeight="1" spans="1:70">
      <c r="A27" s="1905"/>
      <c r="B27" s="1900" t="s">
        <v>76</v>
      </c>
      <c r="C27" s="1901"/>
      <c r="D27" s="1902" t="str">
        <f>IF(ISTEXT(IFERROR(VLOOKUP(人物卡!F27,人物卡!BJ29:BR33,1,FALSE),IFERROR(VLOOKUP(人物卡!F27,BA29:BI33,1,FALSE),0))),"★",INDEX(本职技能!$A$2:$NE$105,MATCH(人物卡!F27,本职技能!$A$2:$A$105,0),MATCH(人物卡!$M$5,本职技能!$A$1:$NE$1,0)))</f>
        <v/>
      </c>
      <c r="E27" s="1903"/>
      <c r="F27" s="1904" t="s">
        <v>96</v>
      </c>
      <c r="G27" s="1904"/>
      <c r="H27" s="1904"/>
      <c r="I27" s="1904"/>
      <c r="J27" s="1904">
        <v>0</v>
      </c>
      <c r="K27" s="1904"/>
      <c r="L27" s="1969"/>
      <c r="M27" s="1969"/>
      <c r="N27" s="1976" t="s">
        <v>76</v>
      </c>
      <c r="O27" s="1976"/>
      <c r="P27" s="1977" t="s">
        <v>76</v>
      </c>
      <c r="Q27" s="1977"/>
      <c r="R27" s="2036">
        <f t="shared" si="0"/>
        <v>0</v>
      </c>
      <c r="S27" s="2036"/>
      <c r="T27" s="2036">
        <f t="shared" si="1"/>
        <v>0</v>
      </c>
      <c r="U27" s="2036"/>
      <c r="V27" s="2036">
        <f t="shared" si="2"/>
        <v>0</v>
      </c>
      <c r="W27" s="2037"/>
      <c r="X27" s="2038" t="s">
        <v>58</v>
      </c>
      <c r="Y27" s="1904"/>
      <c r="Z27" s="2077" t="str">
        <f>IF(ISTEXT(IFERROR(VLOOKUP(人物卡!AB27,人物卡!BJ29:BR33,1,FALSE),IFERROR(VLOOKUP(人物卡!AB27,人物卡!BA29:BC33,1,FALSE),0))),"★",INDEX(本职技能!$A$2:$NE$105,MATCH(人物卡!AB27,本职技能!$A$2:$A$105,0),MATCH(人物卡!$M$5,本职技能!$A$1:$NE$1,0)))</f>
        <v/>
      </c>
      <c r="AA27" s="2078"/>
      <c r="AB27" s="1906" t="s">
        <v>97</v>
      </c>
      <c r="AC27" s="1906"/>
      <c r="AD27" s="2079"/>
      <c r="AE27" s="2079"/>
      <c r="AF27" s="1979">
        <f>IF(ISBLANK(AU32),1,IF(AD27=AU32,BA32,1))</f>
        <v>1</v>
      </c>
      <c r="AG27" s="1979"/>
      <c r="AH27" s="2107"/>
      <c r="AI27" s="2107"/>
      <c r="AJ27" s="1970"/>
      <c r="AK27" s="1970"/>
      <c r="AL27" s="1992"/>
      <c r="AM27" s="1992"/>
      <c r="AN27" s="2036">
        <f t="shared" si="3"/>
        <v>1</v>
      </c>
      <c r="AO27" s="2036"/>
      <c r="AP27" s="2036">
        <f t="shared" si="4"/>
        <v>0</v>
      </c>
      <c r="AQ27" s="2036"/>
      <c r="AR27" s="2036">
        <f t="shared" si="5"/>
        <v>0</v>
      </c>
      <c r="AS27" s="2050"/>
      <c r="AU27" s="2147" t="s">
        <v>98</v>
      </c>
      <c r="AV27" s="2147"/>
      <c r="AW27" s="2147"/>
      <c r="AX27" s="2147"/>
      <c r="AY27" s="2147"/>
      <c r="AZ27" s="2147"/>
      <c r="BA27" s="2186" t="s">
        <v>90</v>
      </c>
      <c r="BB27" s="2186"/>
      <c r="BC27" s="2188" t="s">
        <v>99</v>
      </c>
      <c r="BD27" s="2188"/>
      <c r="BE27" s="2188"/>
      <c r="BF27" s="2188"/>
      <c r="BG27" s="2188" t="s">
        <v>100</v>
      </c>
      <c r="BH27" s="2188"/>
      <c r="BI27" s="2188"/>
      <c r="BJ27" s="2188"/>
      <c r="BK27" s="2224" t="s">
        <v>101</v>
      </c>
      <c r="BL27" s="2224"/>
      <c r="BM27" s="2224"/>
      <c r="BN27" s="2224"/>
      <c r="BO27" s="2224" t="s">
        <v>102</v>
      </c>
      <c r="BP27" s="2224"/>
      <c r="BQ27" s="2224"/>
      <c r="BR27" s="2224"/>
    </row>
    <row r="28" customHeight="1" spans="1:70">
      <c r="A28" s="1905"/>
      <c r="B28" s="1900" t="s">
        <v>58</v>
      </c>
      <c r="C28" s="1901"/>
      <c r="D28" s="1902" t="str">
        <f>IF(ISTEXT(IFERROR(VLOOKUP(人物卡!F28,人物卡!BJ30:BR34,1,FALSE),IFERROR(VLOOKUP(人物卡!F28,BA30:BI34,1,FALSE),0))),"★",INDEX(本职技能!$A$2:$NE$105,MATCH(人物卡!F28,本职技能!$A$2:$A$105,0),MATCH(人物卡!$M$5,本职技能!$A$1:$NE$1,0)))</f>
        <v/>
      </c>
      <c r="E28" s="1903"/>
      <c r="F28" s="1904" t="s">
        <v>103</v>
      </c>
      <c r="G28" s="1904"/>
      <c r="H28" s="1904"/>
      <c r="I28" s="1904"/>
      <c r="J28" s="1904">
        <v>5</v>
      </c>
      <c r="K28" s="1904"/>
      <c r="L28" s="1969"/>
      <c r="M28" s="1969"/>
      <c r="N28" s="1970"/>
      <c r="O28" s="1970"/>
      <c r="P28" s="1971"/>
      <c r="Q28" s="1971"/>
      <c r="R28" s="2036">
        <f t="shared" si="0"/>
        <v>5</v>
      </c>
      <c r="S28" s="2036"/>
      <c r="T28" s="2036">
        <f t="shared" si="1"/>
        <v>2</v>
      </c>
      <c r="U28" s="2036"/>
      <c r="V28" s="2036">
        <f t="shared" si="2"/>
        <v>1</v>
      </c>
      <c r="W28" s="2037"/>
      <c r="X28" s="2038" t="s">
        <v>58</v>
      </c>
      <c r="Y28" s="1904"/>
      <c r="Z28" s="1902" t="str">
        <f>IF(ISTEXT(IFERROR(VLOOKUP(人物卡!AB28,人物卡!BJ30:BR34,1,FALSE),IFERROR(VLOOKUP(人物卡!AB28,人物卡!BA30:BC34,1,FALSE),0))),"★",INDEX(本职技能!$A$2:$NE$105,MATCH(人物卡!AB28,本职技能!$A$2:$A$105,0),MATCH(人物卡!$M$5,本职技能!$A$1:$NE$1,0)))</f>
        <v/>
      </c>
      <c r="AA28" s="1903"/>
      <c r="AB28" s="1904" t="s">
        <v>104</v>
      </c>
      <c r="AC28" s="1904"/>
      <c r="AD28" s="1904"/>
      <c r="AE28" s="1904"/>
      <c r="AF28" s="1904">
        <v>1</v>
      </c>
      <c r="AG28" s="1904"/>
      <c r="AH28" s="2107"/>
      <c r="AI28" s="2107"/>
      <c r="AJ28" s="1970"/>
      <c r="AK28" s="1970"/>
      <c r="AL28" s="1992"/>
      <c r="AM28" s="1992"/>
      <c r="AN28" s="2036">
        <f t="shared" si="3"/>
        <v>1</v>
      </c>
      <c r="AO28" s="2036"/>
      <c r="AP28" s="2036">
        <f t="shared" si="4"/>
        <v>0</v>
      </c>
      <c r="AQ28" s="2036"/>
      <c r="AR28" s="2036">
        <f t="shared" si="5"/>
        <v>0</v>
      </c>
      <c r="AS28" s="2050"/>
      <c r="AU28" s="2149" t="s">
        <v>95</v>
      </c>
      <c r="AV28" s="2149"/>
      <c r="AW28" s="2149"/>
      <c r="AX28" s="2149"/>
      <c r="AY28" s="2149"/>
      <c r="AZ28" s="2149"/>
      <c r="BA28" s="2192">
        <v>0</v>
      </c>
      <c r="BB28" s="2193"/>
      <c r="BC28" s="2194"/>
      <c r="BD28" s="2194"/>
      <c r="BE28" s="2194"/>
      <c r="BF28" s="2194"/>
      <c r="BG28" s="2225"/>
      <c r="BH28" s="2225"/>
      <c r="BI28" s="2225"/>
      <c r="BJ28" s="2225"/>
      <c r="BK28" s="2197"/>
      <c r="BL28" s="2197"/>
      <c r="BM28" s="2197"/>
      <c r="BN28" s="2197"/>
      <c r="BO28" s="2197"/>
      <c r="BP28" s="2197"/>
      <c r="BQ28" s="2197"/>
      <c r="BR28" s="2197"/>
    </row>
    <row r="29" customHeight="1" spans="1:70">
      <c r="A29" s="1905"/>
      <c r="B29" s="1900" t="s">
        <v>58</v>
      </c>
      <c r="C29" s="1901"/>
      <c r="D29" s="1902" t="str">
        <f>IF(ISTEXT(IFERROR(VLOOKUP(人物卡!F29,人物卡!BJ31:BR35,1,FALSE),IFERROR(VLOOKUP(人物卡!F29,BA31:BI35,1,FALSE),0))),"★",INDEX(本职技能!$A$2:$NE$105,MATCH(人物卡!F29,本职技能!$A$2:$A$105,0),MATCH(人物卡!$M$5,本职技能!$A$1:$NE$1,0)))</f>
        <v/>
      </c>
      <c r="E29" s="1903"/>
      <c r="F29" s="1904" t="s">
        <v>105</v>
      </c>
      <c r="G29" s="1904"/>
      <c r="H29" s="1904"/>
      <c r="I29" s="1904"/>
      <c r="J29" s="1904">
        <f>INT(AA3/2)</f>
        <v>0</v>
      </c>
      <c r="K29" s="1904"/>
      <c r="L29" s="1969"/>
      <c r="M29" s="1969"/>
      <c r="N29" s="1970"/>
      <c r="O29" s="1970"/>
      <c r="P29" s="1971"/>
      <c r="Q29" s="1971"/>
      <c r="R29" s="2036">
        <f t="shared" si="0"/>
        <v>0</v>
      </c>
      <c r="S29" s="2036"/>
      <c r="T29" s="2036">
        <f t="shared" si="1"/>
        <v>0</v>
      </c>
      <c r="U29" s="2036"/>
      <c r="V29" s="2036">
        <f t="shared" si="2"/>
        <v>0</v>
      </c>
      <c r="W29" s="2037"/>
      <c r="X29" s="2038" t="s">
        <v>58</v>
      </c>
      <c r="Y29" s="1904"/>
      <c r="Z29" s="1902" t="str">
        <f>IF(ISTEXT(IFERROR(VLOOKUP(人物卡!AB29,人物卡!BJ31:BR35,1,FALSE),IFERROR(VLOOKUP(人物卡!AB29,人物卡!BA31:BC35,1,FALSE),0))),"★",INDEX(本职技能!$A$2:$NE$105,MATCH(人物卡!AB29,本职技能!$A$2:$A$105,0),MATCH(人物卡!$M$5,本职技能!$A$1:$NE$1,0)))</f>
        <v/>
      </c>
      <c r="AA29" s="1903"/>
      <c r="AB29" s="1904" t="s">
        <v>106</v>
      </c>
      <c r="AC29" s="1904"/>
      <c r="AD29" s="1904"/>
      <c r="AE29" s="1904"/>
      <c r="AF29" s="1904">
        <v>10</v>
      </c>
      <c r="AG29" s="1904"/>
      <c r="AH29" s="2107"/>
      <c r="AI29" s="2107"/>
      <c r="AJ29" s="1970"/>
      <c r="AK29" s="1970"/>
      <c r="AL29" s="1992"/>
      <c r="AM29" s="1992"/>
      <c r="AN29" s="2036">
        <f t="shared" si="3"/>
        <v>10</v>
      </c>
      <c r="AO29" s="2036"/>
      <c r="AP29" s="2036">
        <f t="shared" si="4"/>
        <v>5</v>
      </c>
      <c r="AQ29" s="2036"/>
      <c r="AR29" s="2036">
        <f t="shared" si="5"/>
        <v>2</v>
      </c>
      <c r="AS29" s="2050"/>
      <c r="AU29" s="2150" t="s">
        <v>107</v>
      </c>
      <c r="AV29" s="2150"/>
      <c r="AW29" s="2150"/>
      <c r="AX29" s="2150"/>
      <c r="AY29" s="2150"/>
      <c r="AZ29" s="2150"/>
      <c r="BA29" s="2195" t="s">
        <v>90</v>
      </c>
      <c r="BB29" s="2195"/>
      <c r="BC29" s="2196" t="s">
        <v>108</v>
      </c>
      <c r="BD29" s="2196"/>
      <c r="BE29" s="2196"/>
      <c r="BF29" s="2196"/>
      <c r="BG29" s="2196"/>
      <c r="BH29" s="2196"/>
      <c r="BI29" s="2196"/>
      <c r="BJ29" s="2196"/>
      <c r="BK29" s="2197"/>
      <c r="BL29" s="2197"/>
      <c r="BM29" s="2197"/>
      <c r="BN29" s="2197"/>
      <c r="BO29" s="2197"/>
      <c r="BP29" s="2197"/>
      <c r="BQ29" s="2197"/>
      <c r="BR29" s="2197"/>
    </row>
    <row r="30" customHeight="1" spans="1:70">
      <c r="A30" s="1905"/>
      <c r="B30" s="1900" t="s">
        <v>58</v>
      </c>
      <c r="C30" s="1901"/>
      <c r="D30" s="1902" t="str">
        <f>IF(ISTEXT(IFERROR(VLOOKUP(人物卡!F30,人物卡!BJ32:BR36,1,FALSE),IFERROR(VLOOKUP(人物卡!F30,BA32:BI36,1,FALSE),0))),"★",INDEX(本职技能!$A$2:$NE$105,MATCH(人物卡!F30,本职技能!$A$2:$A$105,0),MATCH(人物卡!$M$5,本职技能!$A$1:$NE$1,0)))</f>
        <v/>
      </c>
      <c r="E30" s="1903"/>
      <c r="F30" s="1904" t="s">
        <v>109</v>
      </c>
      <c r="G30" s="1904"/>
      <c r="H30" s="1904"/>
      <c r="I30" s="1904"/>
      <c r="J30" s="1904">
        <v>20</v>
      </c>
      <c r="K30" s="1904"/>
      <c r="L30" s="1969"/>
      <c r="M30" s="1969"/>
      <c r="N30" s="1970"/>
      <c r="O30" s="1970"/>
      <c r="P30" s="1971"/>
      <c r="Q30" s="1971"/>
      <c r="R30" s="2036">
        <f t="shared" si="0"/>
        <v>20</v>
      </c>
      <c r="S30" s="2036"/>
      <c r="T30" s="2036">
        <f t="shared" si="1"/>
        <v>10</v>
      </c>
      <c r="U30" s="2036"/>
      <c r="V30" s="2036">
        <f t="shared" si="2"/>
        <v>4</v>
      </c>
      <c r="W30" s="2037"/>
      <c r="X30" s="2038" t="s">
        <v>58</v>
      </c>
      <c r="Y30" s="1904"/>
      <c r="Z30" s="1902" t="str">
        <f>IF(ISTEXT(IFERROR(VLOOKUP(人物卡!AB30,人物卡!BJ32:BR36,1,FALSE),IFERROR(VLOOKUP(人物卡!AB30,人物卡!BA32:BC36,1,FALSE),0))),"★",INDEX(本职技能!$A$2:$NE$105,MATCH(人物卡!AB30,本职技能!$A$2:$A$105,0),MATCH(人物卡!$M$5,本职技能!$A$1:$NE$1,0)))</f>
        <v/>
      </c>
      <c r="AA30" s="1903"/>
      <c r="AB30" s="1904" t="s">
        <v>110</v>
      </c>
      <c r="AC30" s="1904"/>
      <c r="AD30" s="1904"/>
      <c r="AE30" s="1904"/>
      <c r="AF30" s="1904">
        <v>5</v>
      </c>
      <c r="AG30" s="1904"/>
      <c r="AH30" s="2107"/>
      <c r="AI30" s="2107"/>
      <c r="AJ30" s="1970"/>
      <c r="AK30" s="1970"/>
      <c r="AL30" s="1992"/>
      <c r="AM30" s="1992"/>
      <c r="AN30" s="2036">
        <f t="shared" si="3"/>
        <v>5</v>
      </c>
      <c r="AO30" s="2036"/>
      <c r="AP30" s="2036">
        <f t="shared" si="4"/>
        <v>2</v>
      </c>
      <c r="AQ30" s="2036"/>
      <c r="AR30" s="2036">
        <f t="shared" si="5"/>
        <v>1</v>
      </c>
      <c r="AS30" s="2050"/>
      <c r="AU30" s="2149" t="s">
        <v>95</v>
      </c>
      <c r="AV30" s="2149"/>
      <c r="AW30" s="2149"/>
      <c r="AX30" s="2149"/>
      <c r="AY30" s="2149"/>
      <c r="AZ30" s="2149"/>
      <c r="BA30" s="2193">
        <v>0</v>
      </c>
      <c r="BB30" s="2193"/>
      <c r="BC30" s="2197"/>
      <c r="BD30" s="2197"/>
      <c r="BE30" s="2197"/>
      <c r="BF30" s="2197"/>
      <c r="BG30" s="2197"/>
      <c r="BH30" s="2197"/>
      <c r="BI30" s="2197"/>
      <c r="BJ30" s="2197"/>
      <c r="BK30" s="2197"/>
      <c r="BL30" s="2197"/>
      <c r="BM30" s="2197"/>
      <c r="BN30" s="2197"/>
      <c r="BO30" s="2197"/>
      <c r="BP30" s="2197"/>
      <c r="BQ30" s="2197"/>
      <c r="BR30" s="2197"/>
    </row>
    <row r="31" customHeight="1" spans="1:70">
      <c r="A31" s="1905"/>
      <c r="B31" s="1900" t="s">
        <v>58</v>
      </c>
      <c r="C31" s="1901"/>
      <c r="D31" s="1902" t="str">
        <f>IF(ISTEXT(IFERROR(VLOOKUP(人物卡!F31,人物卡!BJ33:BR37,1,FALSE),IFERROR(VLOOKUP(人物卡!F31,BA33:BI37,1,FALSE),0))),"★",INDEX(本职技能!$A$2:$NE$105,MATCH(人物卡!F31,本职技能!$A$2:$A$105,0),MATCH(人物卡!$M$5,本职技能!$A$1:$NE$1,0)))</f>
        <v/>
      </c>
      <c r="E31" s="1903"/>
      <c r="F31" s="1904" t="s">
        <v>111</v>
      </c>
      <c r="G31" s="1904"/>
      <c r="H31" s="1904"/>
      <c r="I31" s="1904"/>
      <c r="J31" s="1904">
        <v>10</v>
      </c>
      <c r="K31" s="1904"/>
      <c r="L31" s="1969"/>
      <c r="M31" s="1969"/>
      <c r="N31" s="1970"/>
      <c r="O31" s="1970"/>
      <c r="P31" s="1978"/>
      <c r="Q31" s="1978"/>
      <c r="R31" s="2036">
        <f t="shared" si="0"/>
        <v>10</v>
      </c>
      <c r="S31" s="2036"/>
      <c r="T31" s="2036">
        <f t="shared" si="1"/>
        <v>5</v>
      </c>
      <c r="U31" s="2036"/>
      <c r="V31" s="2036">
        <f t="shared" si="2"/>
        <v>2</v>
      </c>
      <c r="W31" s="2037"/>
      <c r="X31" s="2038" t="s">
        <v>58</v>
      </c>
      <c r="Y31" s="1904"/>
      <c r="Z31" s="1902" t="str">
        <f>IF(ISTEXT(IFERROR(VLOOKUP(人物卡!AB31,人物卡!BJ33:BR37,1,FALSE),IFERROR(VLOOKUP(人物卡!AB31,人物卡!BA33:BC37,1,FALSE),0))),"★",INDEX(本职技能!$A$2:$NE$105,MATCH(人物卡!AB31,本职技能!$A$2:$A$105,0),MATCH(人物卡!$M$5,本职技能!$A$1:$NE$1,0)))</f>
        <v/>
      </c>
      <c r="AA31" s="1903"/>
      <c r="AB31" s="1906" t="s">
        <v>112</v>
      </c>
      <c r="AC31" s="1906"/>
      <c r="AD31" s="2079"/>
      <c r="AE31" s="2079"/>
      <c r="AF31" s="1904">
        <f>IF(ISBLANK(AU34),IF(AD31="数学",10,1),IF(AD31=AU34,BA34,1))</f>
        <v>1</v>
      </c>
      <c r="AG31" s="1904"/>
      <c r="AH31" s="2107"/>
      <c r="AI31" s="2107"/>
      <c r="AJ31" s="1970"/>
      <c r="AK31" s="1970"/>
      <c r="AL31" s="1992"/>
      <c r="AM31" s="1992"/>
      <c r="AN31" s="2036">
        <f t="shared" si="3"/>
        <v>1</v>
      </c>
      <c r="AO31" s="2036"/>
      <c r="AP31" s="2036">
        <f t="shared" si="4"/>
        <v>0</v>
      </c>
      <c r="AQ31" s="2036"/>
      <c r="AR31" s="2036">
        <f t="shared" si="5"/>
        <v>0</v>
      </c>
      <c r="AS31" s="2050"/>
      <c r="AU31" s="2150" t="s">
        <v>113</v>
      </c>
      <c r="AV31" s="2150"/>
      <c r="AW31" s="2150"/>
      <c r="AX31" s="2150"/>
      <c r="AY31" s="2150"/>
      <c r="AZ31" s="2150"/>
      <c r="BA31" s="2195" t="s">
        <v>90</v>
      </c>
      <c r="BB31" s="2195"/>
      <c r="BC31" s="2197"/>
      <c r="BD31" s="2197"/>
      <c r="BE31" s="2197"/>
      <c r="BF31" s="2197"/>
      <c r="BG31" s="2197"/>
      <c r="BH31" s="2197"/>
      <c r="BI31" s="2197"/>
      <c r="BJ31" s="2197"/>
      <c r="BK31" s="2197"/>
      <c r="BL31" s="2197"/>
      <c r="BM31" s="2197"/>
      <c r="BN31" s="2197"/>
      <c r="BO31" s="2197"/>
      <c r="BP31" s="2197"/>
      <c r="BQ31" s="2197"/>
      <c r="BR31" s="2197"/>
    </row>
    <row r="32" customHeight="1" spans="1:70">
      <c r="A32" s="1905"/>
      <c r="B32" s="1900" t="s">
        <v>58</v>
      </c>
      <c r="C32" s="1901"/>
      <c r="D32" s="1902" t="str">
        <f>IF(ISTEXT(IFERROR(VLOOKUP(人物卡!F32,人物卡!BJ34:BR38,1,FALSE),IFERROR(VLOOKUP(人物卡!F32,BA34:BI38,1,FALSE),0))),"★",INDEX(本职技能!$A$2:$NE$105,MATCH(人物卡!F32,本职技能!$A$2:$A$105,0),MATCH(人物卡!$M$5,本职技能!$A$1:$NE$1,0)))</f>
        <v/>
      </c>
      <c r="E32" s="1903"/>
      <c r="F32" s="1904" t="s">
        <v>114</v>
      </c>
      <c r="G32" s="1904"/>
      <c r="H32" s="1904"/>
      <c r="I32" s="1904"/>
      <c r="J32" s="1904">
        <v>1</v>
      </c>
      <c r="K32" s="1904"/>
      <c r="L32" s="1969"/>
      <c r="M32" s="1969"/>
      <c r="N32" s="1970"/>
      <c r="O32" s="1970"/>
      <c r="P32" s="1971"/>
      <c r="Q32" s="1971"/>
      <c r="R32" s="2036">
        <f t="shared" si="0"/>
        <v>1</v>
      </c>
      <c r="S32" s="2036"/>
      <c r="T32" s="2036">
        <f t="shared" si="1"/>
        <v>0</v>
      </c>
      <c r="U32" s="2036"/>
      <c r="V32" s="2036">
        <f t="shared" si="2"/>
        <v>0</v>
      </c>
      <c r="W32" s="2037"/>
      <c r="X32" s="2038" t="s">
        <v>58</v>
      </c>
      <c r="Y32" s="1904"/>
      <c r="Z32" s="1902" t="str">
        <f>IF(ISTEXT(IFERROR(VLOOKUP(人物卡!AB32,人物卡!BJ34:BR38,1,FALSE),IFERROR(VLOOKUP(人物卡!AB32,人物卡!BA34:BC38,1,FALSE),0))),"★",INDEX(本职技能!$A$2:$NE$105,MATCH(人物卡!AB32,本职技能!$A$2:$A$105,0),MATCH(人物卡!$M$5,本职技能!$A$1:$NE$1,0)))</f>
        <v/>
      </c>
      <c r="AA32" s="1903"/>
      <c r="AB32" s="1906" t="s">
        <v>115</v>
      </c>
      <c r="AC32" s="1906"/>
      <c r="AD32" s="2079"/>
      <c r="AE32" s="2079"/>
      <c r="AF32" s="1904">
        <f>IF(ISBLANK(AU34),IF(AD32="数学",10,1),IF(AD32=AU34,BA34,1))</f>
        <v>1</v>
      </c>
      <c r="AG32" s="1904"/>
      <c r="AH32" s="2107"/>
      <c r="AI32" s="2107"/>
      <c r="AJ32" s="1970"/>
      <c r="AK32" s="1970"/>
      <c r="AL32" s="1992"/>
      <c r="AM32" s="1992"/>
      <c r="AN32" s="2036">
        <f t="shared" si="3"/>
        <v>1</v>
      </c>
      <c r="AO32" s="2036"/>
      <c r="AP32" s="2036">
        <f t="shared" si="4"/>
        <v>0</v>
      </c>
      <c r="AQ32" s="2036"/>
      <c r="AR32" s="2036">
        <f t="shared" si="5"/>
        <v>0</v>
      </c>
      <c r="AS32" s="2050"/>
      <c r="AU32" s="2149" t="s">
        <v>95</v>
      </c>
      <c r="AV32" s="2149"/>
      <c r="AW32" s="2149"/>
      <c r="AX32" s="2149"/>
      <c r="AY32" s="2149"/>
      <c r="AZ32" s="2149"/>
      <c r="BA32" s="2193">
        <v>0</v>
      </c>
      <c r="BB32" s="2193"/>
      <c r="BC32" s="2197"/>
      <c r="BD32" s="2197"/>
      <c r="BE32" s="2197"/>
      <c r="BF32" s="2197"/>
      <c r="BG32" s="2197"/>
      <c r="BH32" s="2197"/>
      <c r="BI32" s="2197"/>
      <c r="BJ32" s="2197"/>
      <c r="BK32" s="2197"/>
      <c r="BL32" s="2197"/>
      <c r="BM32" s="2197"/>
      <c r="BN32" s="2197"/>
      <c r="BO32" s="2197"/>
      <c r="BP32" s="2197"/>
      <c r="BQ32" s="2197"/>
      <c r="BR32" s="2197"/>
    </row>
    <row r="33" customHeight="1" spans="1:70">
      <c r="A33" s="1911"/>
      <c r="B33" s="1900" t="s">
        <v>58</v>
      </c>
      <c r="C33" s="1901"/>
      <c r="D33" s="1902" t="str">
        <f>IF(ISTEXT(IFERROR(VLOOKUP(人物卡!F33,人物卡!BJ35:BR39,1,FALSE),IFERROR(VLOOKUP(人物卡!F33,BA35:BI39,1,FALSE),0))),"★",INDEX(本职技能!$A$2:$NE$105,MATCH(人物卡!F33,本职技能!$A$2:$A$105,0),MATCH(人物卡!$M$5,本职技能!$A$1:$NE$1,0)))</f>
        <v/>
      </c>
      <c r="E33" s="1903"/>
      <c r="F33" s="1904" t="s">
        <v>116</v>
      </c>
      <c r="G33" s="1904"/>
      <c r="H33" s="1904"/>
      <c r="I33" s="1904"/>
      <c r="J33" s="1904">
        <v>5</v>
      </c>
      <c r="K33" s="1904"/>
      <c r="L33" s="1969"/>
      <c r="M33" s="1969"/>
      <c r="N33" s="1970"/>
      <c r="O33" s="1970"/>
      <c r="P33" s="1971"/>
      <c r="Q33" s="1971"/>
      <c r="R33" s="2036">
        <f t="shared" si="0"/>
        <v>5</v>
      </c>
      <c r="S33" s="2036"/>
      <c r="T33" s="2036">
        <f t="shared" si="1"/>
        <v>2</v>
      </c>
      <c r="U33" s="2036"/>
      <c r="V33" s="2036">
        <f t="shared" si="2"/>
        <v>1</v>
      </c>
      <c r="W33" s="2037"/>
      <c r="X33" s="2038" t="s">
        <v>58</v>
      </c>
      <c r="Y33" s="1904"/>
      <c r="Z33" s="1902" t="str">
        <f>IF(ISTEXT(IFERROR(VLOOKUP(人物卡!AB33,人物卡!BJ35:BR39,1,FALSE),IFERROR(VLOOKUP(人物卡!AB33,人物卡!BA35:BC39,1,FALSE),0))),"★",INDEX(本职技能!$A$2:$NE$105,MATCH(人物卡!AB33,本职技能!$A$2:$A$105,0),MATCH(人物卡!$M$5,本职技能!$A$1:$NE$1,0)))</f>
        <v/>
      </c>
      <c r="AA33" s="1903"/>
      <c r="AB33" s="1906" t="s">
        <v>117</v>
      </c>
      <c r="AC33" s="1906"/>
      <c r="AD33" s="2079"/>
      <c r="AE33" s="2079"/>
      <c r="AF33" s="1904">
        <f>IF(ISBLANK(AU34),IF(AD33="数学",10,1),IF(AD33=AU34,BA34,1))</f>
        <v>1</v>
      </c>
      <c r="AG33" s="1904"/>
      <c r="AH33" s="2107"/>
      <c r="AI33" s="2107"/>
      <c r="AJ33" s="1970"/>
      <c r="AK33" s="1970"/>
      <c r="AL33" s="1992"/>
      <c r="AM33" s="1992"/>
      <c r="AN33" s="2036">
        <f t="shared" si="3"/>
        <v>1</v>
      </c>
      <c r="AO33" s="2036"/>
      <c r="AP33" s="2036">
        <f t="shared" si="4"/>
        <v>0</v>
      </c>
      <c r="AQ33" s="2036"/>
      <c r="AR33" s="2036">
        <f t="shared" si="5"/>
        <v>0</v>
      </c>
      <c r="AS33" s="2050"/>
      <c r="AU33" s="2150" t="s">
        <v>118</v>
      </c>
      <c r="AV33" s="2150"/>
      <c r="AW33" s="2150"/>
      <c r="AX33" s="2150"/>
      <c r="AY33" s="2150"/>
      <c r="AZ33" s="2150"/>
      <c r="BA33" s="2195" t="s">
        <v>90</v>
      </c>
      <c r="BB33" s="2195"/>
      <c r="BC33" s="2197"/>
      <c r="BD33" s="2197"/>
      <c r="BE33" s="2197"/>
      <c r="BF33" s="2197"/>
      <c r="BG33" s="2197"/>
      <c r="BH33" s="2197"/>
      <c r="BI33" s="2197"/>
      <c r="BJ33" s="2197"/>
      <c r="BK33" s="2197"/>
      <c r="BL33" s="2197"/>
      <c r="BM33" s="2197"/>
      <c r="BN33" s="2197"/>
      <c r="BO33" s="2197"/>
      <c r="BP33" s="2197"/>
      <c r="BQ33" s="2197"/>
      <c r="BR33" s="2197"/>
    </row>
    <row r="34" customHeight="1" spans="1:70">
      <c r="A34" s="1911"/>
      <c r="B34" s="1900" t="s">
        <v>58</v>
      </c>
      <c r="C34" s="1901"/>
      <c r="D34" s="1902" t="str">
        <f>IF(ISTEXT(IFERROR(VLOOKUP(人物卡!F34,人物卡!BJ36:BR40,1,FALSE),IFERROR(VLOOKUP(人物卡!F34,BA36:BI40,1,FALSE),0))),"★",INDEX(本职技能!$A$2:$NE$105,MATCH(人物卡!F34,本职技能!$A$2:$A$105,0),MATCH(人物卡!$M$5,本职技能!$A$1:$NE$1,0)))</f>
        <v/>
      </c>
      <c r="E34" s="1903"/>
      <c r="F34" s="1906" t="s">
        <v>119</v>
      </c>
      <c r="G34" s="1906"/>
      <c r="H34" s="1912" t="s">
        <v>120</v>
      </c>
      <c r="I34" s="1912"/>
      <c r="J34" s="1904">
        <v>25</v>
      </c>
      <c r="K34" s="1904"/>
      <c r="L34" s="1969"/>
      <c r="M34" s="1969"/>
      <c r="N34" s="1970"/>
      <c r="O34" s="1970"/>
      <c r="P34" s="1971"/>
      <c r="Q34" s="1971"/>
      <c r="R34" s="2036">
        <f t="shared" si="0"/>
        <v>25</v>
      </c>
      <c r="S34" s="2036"/>
      <c r="T34" s="2036">
        <f t="shared" si="1"/>
        <v>12</v>
      </c>
      <c r="U34" s="2036"/>
      <c r="V34" s="2036">
        <f t="shared" si="2"/>
        <v>5</v>
      </c>
      <c r="W34" s="2037"/>
      <c r="X34" s="2038" t="s">
        <v>58</v>
      </c>
      <c r="Y34" s="1904"/>
      <c r="Z34" s="1902" t="str">
        <f>IF(ISTEXT(IFERROR(VLOOKUP(人物卡!AB34,人物卡!BJ36:BR40,1,FALSE),IFERROR(VLOOKUP(人物卡!AB34,人物卡!BA36:BC40,1,FALSE),0))),"★",INDEX(本职技能!$A$2:$NE$105,MATCH(人物卡!AB34,本职技能!$A$2:$A$105,0),MATCH(人物卡!$M$5,本职技能!$A$1:$NE$1,0)))</f>
        <v/>
      </c>
      <c r="AA34" s="1903"/>
      <c r="AB34" s="1904" t="s">
        <v>121</v>
      </c>
      <c r="AC34" s="1904"/>
      <c r="AD34" s="1904"/>
      <c r="AE34" s="1904"/>
      <c r="AF34" s="1904">
        <v>10</v>
      </c>
      <c r="AG34" s="1904"/>
      <c r="AH34" s="2107"/>
      <c r="AI34" s="2107"/>
      <c r="AJ34" s="1970"/>
      <c r="AK34" s="1970"/>
      <c r="AL34" s="1992"/>
      <c r="AM34" s="1992"/>
      <c r="AN34" s="2036">
        <f t="shared" si="3"/>
        <v>10</v>
      </c>
      <c r="AO34" s="2036"/>
      <c r="AP34" s="2036">
        <f t="shared" si="4"/>
        <v>5</v>
      </c>
      <c r="AQ34" s="2036"/>
      <c r="AR34" s="2036">
        <f t="shared" si="5"/>
        <v>2</v>
      </c>
      <c r="AS34" s="2050"/>
      <c r="AU34" s="2149" t="s">
        <v>95</v>
      </c>
      <c r="AV34" s="2149"/>
      <c r="AW34" s="2149"/>
      <c r="AX34" s="2149"/>
      <c r="AY34" s="2149"/>
      <c r="AZ34" s="2149"/>
      <c r="BA34" s="2193">
        <v>0</v>
      </c>
      <c r="BB34" s="2193"/>
      <c r="BC34" s="2197"/>
      <c r="BD34" s="2197"/>
      <c r="BE34" s="2197"/>
      <c r="BF34" s="2197"/>
      <c r="BG34" s="2197"/>
      <c r="BH34" s="2197"/>
      <c r="BI34" s="2197"/>
      <c r="BJ34" s="2197"/>
      <c r="BK34" s="2197"/>
      <c r="BL34" s="2197"/>
      <c r="BM34" s="2197"/>
      <c r="BN34" s="2197"/>
      <c r="BO34" s="2197"/>
      <c r="BP34" s="2197"/>
      <c r="BQ34" s="2197"/>
      <c r="BR34" s="2197"/>
    </row>
    <row r="35" customHeight="1" spans="1:70">
      <c r="A35" s="1911"/>
      <c r="B35" s="1900" t="s">
        <v>58</v>
      </c>
      <c r="C35" s="1901"/>
      <c r="D35" s="1902" t="str">
        <f>IF(ISTEXT(IFERROR(VLOOKUP(人物卡!F35,人物卡!BJ37:BR41,1,FALSE),IFERROR(VLOOKUP(人物卡!F35,BA37:BI41,1,FALSE),0))),"★",INDEX(本职技能!$A$2:$NE$105,MATCH(人物卡!F35,本职技能!$A$2:$A$105,0),MATCH(人物卡!$M$5,本职技能!$A$1:$NE$1,0)))</f>
        <v/>
      </c>
      <c r="E35" s="1903"/>
      <c r="F35" s="1906" t="s">
        <v>122</v>
      </c>
      <c r="G35" s="1906"/>
      <c r="H35" s="1912"/>
      <c r="I35" s="1912"/>
      <c r="J35" s="1979">
        <f>_xlfn.IFNA(VLOOKUP(H35,附表!$U$219:$V$248,2,0),0)</f>
        <v>0</v>
      </c>
      <c r="K35" s="1979"/>
      <c r="L35" s="1969"/>
      <c r="M35" s="1969"/>
      <c r="N35" s="1970"/>
      <c r="O35" s="1970"/>
      <c r="P35" s="1971"/>
      <c r="Q35" s="1971"/>
      <c r="R35" s="2036">
        <f t="shared" si="0"/>
        <v>0</v>
      </c>
      <c r="S35" s="2036"/>
      <c r="T35" s="2036">
        <f t="shared" si="1"/>
        <v>0</v>
      </c>
      <c r="U35" s="2036"/>
      <c r="V35" s="2036">
        <f t="shared" si="2"/>
        <v>0</v>
      </c>
      <c r="W35" s="2037"/>
      <c r="X35" s="2038" t="s">
        <v>58</v>
      </c>
      <c r="Y35" s="1904"/>
      <c r="Z35" s="1902" t="str">
        <f>IF(ISTEXT(IFERROR(VLOOKUP(人物卡!AB35,人物卡!BJ37:BR41,1,FALSE),IFERROR(VLOOKUP(人物卡!AB35,人物卡!BA37:BC41,1,FALSE),0))),"★",INDEX(本职技能!$A$2:$NE$105,MATCH(人物卡!AB35,本职技能!$A$2:$A$105,0),MATCH(人物卡!$M$5,本职技能!$A$1:$NE$1,0)))</f>
        <v/>
      </c>
      <c r="AA35" s="1903"/>
      <c r="AB35" s="1904" t="s">
        <v>123</v>
      </c>
      <c r="AC35" s="1904"/>
      <c r="AD35" s="1904"/>
      <c r="AE35" s="1904"/>
      <c r="AF35" s="1904">
        <v>25</v>
      </c>
      <c r="AG35" s="1904"/>
      <c r="AH35" s="2107"/>
      <c r="AI35" s="2107"/>
      <c r="AJ35" s="1970"/>
      <c r="AK35" s="1970"/>
      <c r="AL35" s="1992"/>
      <c r="AM35" s="1992"/>
      <c r="AN35" s="2036">
        <f t="shared" si="3"/>
        <v>25</v>
      </c>
      <c r="AO35" s="2036"/>
      <c r="AP35" s="2036">
        <f t="shared" si="4"/>
        <v>12</v>
      </c>
      <c r="AQ35" s="2036"/>
      <c r="AR35" s="2036">
        <f t="shared" si="5"/>
        <v>5</v>
      </c>
      <c r="AS35" s="2050"/>
      <c r="AU35" s="2151" t="s">
        <v>124</v>
      </c>
      <c r="AV35" s="2152"/>
      <c r="AW35" s="2152"/>
      <c r="AX35" s="2152"/>
      <c r="AY35" s="2152"/>
      <c r="AZ35" s="2152"/>
      <c r="BA35" s="2152"/>
      <c r="BB35" s="2152"/>
      <c r="BC35" s="2197"/>
      <c r="BD35" s="2197"/>
      <c r="BE35" s="2197"/>
      <c r="BF35" s="2197"/>
      <c r="BG35" s="2197"/>
      <c r="BH35" s="2197"/>
      <c r="BI35" s="2197"/>
      <c r="BJ35" s="2197"/>
      <c r="BK35" s="2226" t="s">
        <v>125</v>
      </c>
      <c r="BL35" s="2227"/>
      <c r="BM35" s="2227"/>
      <c r="BN35" s="2227"/>
      <c r="BO35" s="2227"/>
      <c r="BP35" s="2227"/>
      <c r="BQ35" s="2227"/>
      <c r="BR35" s="2227"/>
    </row>
    <row r="36" customHeight="1" spans="1:70">
      <c r="A36" s="1911"/>
      <c r="B36" s="1900" t="s">
        <v>58</v>
      </c>
      <c r="C36" s="1901"/>
      <c r="D36" s="1902" t="str">
        <f>IF(ISTEXT(IFERROR(VLOOKUP(人物卡!F36,人物卡!BJ38:BR42,1,FALSE),IFERROR(VLOOKUP(人物卡!F36,BA38:BI42,1,FALSE),0))),"★",INDEX(本职技能!$A$2:$NE$105,MATCH(人物卡!F36,本职技能!$A$2:$A$105,0),MATCH(人物卡!$M$5,本职技能!$A$1:$NE$1,0)))</f>
        <v/>
      </c>
      <c r="E36" s="1903"/>
      <c r="F36" s="1906" t="s">
        <v>126</v>
      </c>
      <c r="G36" s="1906"/>
      <c r="H36" s="1912"/>
      <c r="I36" s="1912"/>
      <c r="J36" s="1904">
        <f>_xlfn.IFNA(VLOOKUP(H36,附表!$U$219:$V$248,2,0),0)</f>
        <v>0</v>
      </c>
      <c r="K36" s="1904"/>
      <c r="L36" s="1969"/>
      <c r="M36" s="1969"/>
      <c r="N36" s="1970"/>
      <c r="O36" s="1970"/>
      <c r="P36" s="1971"/>
      <c r="Q36" s="1971"/>
      <c r="R36" s="2036">
        <f t="shared" si="0"/>
        <v>0</v>
      </c>
      <c r="S36" s="2036"/>
      <c r="T36" s="2036">
        <f t="shared" si="1"/>
        <v>0</v>
      </c>
      <c r="U36" s="2036"/>
      <c r="V36" s="2036">
        <f t="shared" si="2"/>
        <v>0</v>
      </c>
      <c r="W36" s="2037"/>
      <c r="X36" s="2038" t="s">
        <v>58</v>
      </c>
      <c r="Y36" s="1904"/>
      <c r="Z36" s="1902" t="str">
        <f>IF(ISTEXT(IFERROR(VLOOKUP(人物卡!AB36,人物卡!BJ38:BR42,1,FALSE),IFERROR(VLOOKUP(人物卡!AB36,人物卡!BA38:BC42,1,FALSE),0))),"★",INDEX(本职技能!$A$2:$NE$105,MATCH(人物卡!AB36,本职技能!$A$2:$A$105,0),MATCH(人物卡!$M$5,本职技能!$A$1:$NE$1,0)))</f>
        <v/>
      </c>
      <c r="AA36" s="1903"/>
      <c r="AB36" s="1904" t="s">
        <v>127</v>
      </c>
      <c r="AC36" s="1904"/>
      <c r="AD36" s="1904"/>
      <c r="AE36" s="1904"/>
      <c r="AF36" s="1904">
        <v>20</v>
      </c>
      <c r="AG36" s="1904"/>
      <c r="AH36" s="2107"/>
      <c r="AI36" s="2107"/>
      <c r="AJ36" s="1970"/>
      <c r="AK36" s="1970"/>
      <c r="AL36" s="1992"/>
      <c r="AM36" s="1992"/>
      <c r="AN36" s="2036">
        <f t="shared" si="3"/>
        <v>20</v>
      </c>
      <c r="AO36" s="2036"/>
      <c r="AP36" s="2036">
        <f t="shared" si="4"/>
        <v>10</v>
      </c>
      <c r="AQ36" s="2036"/>
      <c r="AR36" s="2036">
        <f t="shared" si="5"/>
        <v>4</v>
      </c>
      <c r="AS36" s="2050"/>
      <c r="AU36" s="2153" t="s">
        <v>18</v>
      </c>
      <c r="AV36" s="2154"/>
      <c r="AW36" s="2154"/>
      <c r="AX36" s="2154"/>
      <c r="AY36" s="2154"/>
      <c r="AZ36" s="2154"/>
      <c r="BA36" s="2154"/>
      <c r="BB36" s="2154"/>
      <c r="BC36" s="2197"/>
      <c r="BD36" s="2197"/>
      <c r="BE36" s="2197"/>
      <c r="BF36" s="2197"/>
      <c r="BG36" s="2197"/>
      <c r="BH36" s="2197"/>
      <c r="BI36" s="2197"/>
      <c r="BJ36" s="2197"/>
      <c r="BK36" s="2228" t="s">
        <v>128</v>
      </c>
      <c r="BL36" s="2228"/>
      <c r="BM36" s="2228"/>
      <c r="BN36" s="2228"/>
      <c r="BO36" s="2228" t="s">
        <v>129</v>
      </c>
      <c r="BP36" s="2228"/>
      <c r="BQ36" s="2228"/>
      <c r="BR36" s="2228"/>
    </row>
    <row r="37" customHeight="1" spans="1:71">
      <c r="A37" s="1911"/>
      <c r="B37" s="1900" t="s">
        <v>58</v>
      </c>
      <c r="C37" s="1901"/>
      <c r="D37" s="1902" t="str">
        <f>IF(ISTEXT(IFERROR(VLOOKUP(人物卡!F37,人物卡!BJ39:BR43,1,FALSE),IFERROR(VLOOKUP(人物卡!F37,BA39:BI43,1,FALSE),0))),"★",INDEX(本职技能!$A$2:$NE$105,MATCH(人物卡!F37,本职技能!$A$2:$A$105,0),MATCH(人物卡!$M$5,本职技能!$A$1:$NE$1,0)))</f>
        <v/>
      </c>
      <c r="E37" s="1903"/>
      <c r="F37" s="1906" t="s">
        <v>130</v>
      </c>
      <c r="G37" s="1906"/>
      <c r="H37" s="1912"/>
      <c r="I37" s="1912"/>
      <c r="J37" s="1904">
        <f>_xlfn.IFNA(VLOOKUP(H37,附表!$U$219:$V$248,2,0),0)</f>
        <v>0</v>
      </c>
      <c r="K37" s="1904"/>
      <c r="L37" s="1969"/>
      <c r="M37" s="1969"/>
      <c r="N37" s="1970"/>
      <c r="O37" s="1970"/>
      <c r="P37" s="1971"/>
      <c r="Q37" s="1971"/>
      <c r="R37" s="2036">
        <f t="shared" si="0"/>
        <v>0</v>
      </c>
      <c r="S37" s="2036"/>
      <c r="T37" s="2036">
        <f t="shared" si="1"/>
        <v>0</v>
      </c>
      <c r="U37" s="2036"/>
      <c r="V37" s="2036">
        <f t="shared" si="2"/>
        <v>0</v>
      </c>
      <c r="W37" s="2037"/>
      <c r="X37" s="2038" t="s">
        <v>58</v>
      </c>
      <c r="Y37" s="1904"/>
      <c r="Z37" s="1902" t="str">
        <f>IF(ISTEXT(IFERROR(VLOOKUP(人物卡!AB37,人物卡!BJ39:BR43,1,FALSE),IFERROR(VLOOKUP(人物卡!AB37,人物卡!BA39:BC43,1,FALSE),0))),"★",INDEX(本职技能!$A$2:$NE$105,MATCH(人物卡!AB37,本职技能!$A$2:$A$105,0),MATCH(人物卡!$M$5,本职技能!$A$1:$NE$1,0)))</f>
        <v/>
      </c>
      <c r="AA37" s="1903"/>
      <c r="AB37" s="1906" t="s">
        <v>131</v>
      </c>
      <c r="AC37" s="1906"/>
      <c r="AD37" s="2079"/>
      <c r="AE37" s="2079"/>
      <c r="AF37" s="1904">
        <v>10</v>
      </c>
      <c r="AG37" s="1904"/>
      <c r="AH37" s="2107"/>
      <c r="AI37" s="2107"/>
      <c r="AJ37" s="1970"/>
      <c r="AK37" s="1970"/>
      <c r="AL37" s="1992"/>
      <c r="AM37" s="1992"/>
      <c r="AN37" s="2036">
        <f t="shared" si="3"/>
        <v>10</v>
      </c>
      <c r="AO37" s="2036"/>
      <c r="AP37" s="2036">
        <f t="shared" si="4"/>
        <v>5</v>
      </c>
      <c r="AQ37" s="2036"/>
      <c r="AR37" s="2036">
        <f t="shared" si="5"/>
        <v>2</v>
      </c>
      <c r="AS37" s="2050"/>
      <c r="AT37" s="2155"/>
      <c r="AU37" s="2156"/>
      <c r="AV37" s="2156"/>
      <c r="AW37" s="2156"/>
      <c r="AX37" s="2156"/>
      <c r="AY37" s="2156"/>
      <c r="AZ37" s="2156"/>
      <c r="BA37" s="2156"/>
      <c r="BB37" s="2156"/>
      <c r="BC37" s="2197"/>
      <c r="BD37" s="2197"/>
      <c r="BE37" s="2197"/>
      <c r="BF37" s="2197"/>
      <c r="BG37" s="2197"/>
      <c r="BH37" s="2197"/>
      <c r="BI37" s="2197"/>
      <c r="BJ37" s="2197"/>
      <c r="BK37" s="2156"/>
      <c r="BL37" s="2156"/>
      <c r="BM37" s="2156"/>
      <c r="BN37" s="2156"/>
      <c r="BO37" s="2156"/>
      <c r="BP37" s="2156"/>
      <c r="BQ37" s="2156"/>
      <c r="BR37" s="2156"/>
      <c r="BS37" s="1905"/>
    </row>
    <row r="38" customHeight="1" spans="1:71">
      <c r="A38" s="1911"/>
      <c r="B38" s="1900" t="s">
        <v>58</v>
      </c>
      <c r="C38" s="1901"/>
      <c r="D38" s="1902" t="str">
        <f>IF(ISTEXT(IFERROR(VLOOKUP(人物卡!F38,人物卡!BJ40:BR44,1,FALSE),IFERROR(VLOOKUP(人物卡!F38,BA40:BI44,1,FALSE),0))),"★",INDEX(本职技能!$A$2:$NE$105,MATCH(人物卡!F38,本职技能!$A$2:$A$105,0),MATCH(人物卡!$M$5,本职技能!$A$1:$NE$1,0)))</f>
        <v/>
      </c>
      <c r="E38" s="1903"/>
      <c r="F38" s="1906" t="s">
        <v>132</v>
      </c>
      <c r="G38" s="1906"/>
      <c r="H38" s="1913" t="s">
        <v>133</v>
      </c>
      <c r="I38" s="1913"/>
      <c r="J38" s="1904">
        <v>20</v>
      </c>
      <c r="K38" s="1904"/>
      <c r="L38" s="1969"/>
      <c r="M38" s="1969"/>
      <c r="N38" s="1970"/>
      <c r="O38" s="1970"/>
      <c r="P38" s="1971"/>
      <c r="Q38" s="1971"/>
      <c r="R38" s="2036">
        <f>SUM(J38+L38+N38+P38)</f>
        <v>20</v>
      </c>
      <c r="S38" s="2036"/>
      <c r="T38" s="2036">
        <f t="shared" si="1"/>
        <v>10</v>
      </c>
      <c r="U38" s="2036"/>
      <c r="V38" s="2036">
        <f t="shared" si="2"/>
        <v>4</v>
      </c>
      <c r="W38" s="2037"/>
      <c r="X38" s="2038" t="s">
        <v>58</v>
      </c>
      <c r="Y38" s="1904"/>
      <c r="Z38" s="1902" t="str">
        <f>IF(ISTEXT(IFERROR(VLOOKUP(人物卡!AB38,人物卡!BJ40:BR44,1,FALSE),IFERROR(VLOOKUP(人物卡!AB38,人物卡!BA40:BC44,1,FALSE),0))),"★",INDEX(本职技能!$A$2:$NE$105,MATCH(人物卡!AB38,本职技能!$A$2:$A$105,0),MATCH(人物卡!$M$5,本职技能!$A$1:$NE$1,0)))</f>
        <v/>
      </c>
      <c r="AA38" s="1903"/>
      <c r="AB38" s="1904" t="s">
        <v>134</v>
      </c>
      <c r="AC38" s="1904"/>
      <c r="AD38" s="1904"/>
      <c r="AE38" s="1904"/>
      <c r="AF38" s="1904">
        <v>20</v>
      </c>
      <c r="AG38" s="1904"/>
      <c r="AH38" s="2107"/>
      <c r="AI38" s="2107"/>
      <c r="AJ38" s="1970"/>
      <c r="AK38" s="1970"/>
      <c r="AL38" s="1992"/>
      <c r="AM38" s="1992"/>
      <c r="AN38" s="2036">
        <f t="shared" si="3"/>
        <v>20</v>
      </c>
      <c r="AO38" s="2036"/>
      <c r="AP38" s="2036">
        <f t="shared" si="4"/>
        <v>10</v>
      </c>
      <c r="AQ38" s="2036"/>
      <c r="AR38" s="2036">
        <f t="shared" si="5"/>
        <v>4</v>
      </c>
      <c r="AS38" s="2050"/>
      <c r="AT38" s="2155"/>
      <c r="AU38" s="2157" t="s">
        <v>135</v>
      </c>
      <c r="AV38" s="2158"/>
      <c r="AW38" s="2158"/>
      <c r="AX38" s="2198"/>
      <c r="AY38" s="2199" t="str">
        <f>IF(M5=0,"请选择职业 ",""&amp;LOOKUP(M5,职业列表!A2:A232,职业列表!K2:K232))</f>
        <v>列出一些角色在职业工作中可能接触的个人或组织,它们也可以为调查员的个人背景提供灵感。</v>
      </c>
      <c r="AZ38" s="2200"/>
      <c r="BA38" s="2200"/>
      <c r="BB38" s="2200"/>
      <c r="BC38" s="2200"/>
      <c r="BD38" s="2200"/>
      <c r="BE38" s="2200"/>
      <c r="BF38" s="2200"/>
      <c r="BG38" s="2200"/>
      <c r="BH38" s="2200"/>
      <c r="BI38" s="2200"/>
      <c r="BJ38" s="2200"/>
      <c r="BK38" s="2200"/>
      <c r="BL38" s="2200"/>
      <c r="BM38" s="2200"/>
      <c r="BN38" s="2200"/>
      <c r="BO38" s="2200"/>
      <c r="BP38" s="2200"/>
      <c r="BQ38" s="2200"/>
      <c r="BR38" s="2243"/>
      <c r="BS38" s="495"/>
    </row>
    <row r="39" customHeight="1" spans="2:71">
      <c r="B39" s="1900" t="s">
        <v>58</v>
      </c>
      <c r="C39" s="1901"/>
      <c r="D39" s="1902" t="str">
        <f>IF(ISTEXT(IFERROR(VLOOKUP(人物卡!F39,人物卡!BJ41:BR45,1,FALSE),IFERROR(VLOOKUP(人物卡!F39,BA41:BI45,1,FALSE),0))),"★",INDEX(本职技能!$A$2:$NE$105,MATCH(人物卡!F39,本职技能!$A$2:$A$105,0),MATCH(人物卡!$M$5,本职技能!$A$1:$NE$1,0)))</f>
        <v/>
      </c>
      <c r="E39" s="1903"/>
      <c r="F39" s="1906" t="s">
        <v>136</v>
      </c>
      <c r="G39" s="1906"/>
      <c r="H39" s="1912"/>
      <c r="I39" s="1912"/>
      <c r="J39" s="1904">
        <f>_xlfn.IFNA(附表!E11,0)</f>
        <v>0</v>
      </c>
      <c r="K39" s="1904"/>
      <c r="L39" s="1969"/>
      <c r="M39" s="1969"/>
      <c r="N39" s="1970"/>
      <c r="O39" s="1970"/>
      <c r="P39" s="1971"/>
      <c r="Q39" s="1971"/>
      <c r="R39" s="2036">
        <f>SUM(J39+L39+N39+P39)</f>
        <v>0</v>
      </c>
      <c r="S39" s="2036"/>
      <c r="T39" s="2036">
        <f t="shared" si="1"/>
        <v>0</v>
      </c>
      <c r="U39" s="2036"/>
      <c r="V39" s="2036">
        <f t="shared" si="2"/>
        <v>0</v>
      </c>
      <c r="W39" s="2037"/>
      <c r="X39" s="2038" t="s">
        <v>58</v>
      </c>
      <c r="Y39" s="1904"/>
      <c r="Z39" s="1902" t="str">
        <f>IF(ISTEXT(IFERROR(VLOOKUP(人物卡!AB39,人物卡!BJ41:BR45,1,FALSE),IFERROR(VLOOKUP(人物卡!AB39,人物卡!BA41:BC45,1,FALSE),0))),"★",INDEX(本职技能!$A$2:$NE$105,MATCH(人物卡!AB39,本职技能!$A$2:$A$105,0),MATCH(人物卡!$M$5,本职技能!$A$1:$NE$1,0)))</f>
        <v/>
      </c>
      <c r="AA39" s="1903"/>
      <c r="AB39" s="1904" t="s">
        <v>137</v>
      </c>
      <c r="AC39" s="1904"/>
      <c r="AD39" s="1904"/>
      <c r="AE39" s="1904"/>
      <c r="AF39" s="1904">
        <v>20</v>
      </c>
      <c r="AG39" s="1904"/>
      <c r="AH39" s="2107"/>
      <c r="AI39" s="2107"/>
      <c r="AJ39" s="1970"/>
      <c r="AK39" s="1970"/>
      <c r="AL39" s="1992"/>
      <c r="AM39" s="1992"/>
      <c r="AN39" s="2036">
        <f t="shared" si="3"/>
        <v>20</v>
      </c>
      <c r="AO39" s="2036"/>
      <c r="AP39" s="2036">
        <f t="shared" si="4"/>
        <v>10</v>
      </c>
      <c r="AQ39" s="2036"/>
      <c r="AR39" s="2036">
        <f t="shared" si="5"/>
        <v>4</v>
      </c>
      <c r="AS39" s="2050"/>
      <c r="AT39" s="2155"/>
      <c r="AU39" s="2159" t="s">
        <v>138</v>
      </c>
      <c r="AV39" s="2160"/>
      <c r="AW39" s="2160"/>
      <c r="AX39" s="2201"/>
      <c r="AY39" s="2202" t="str">
        <f>IF(M5=0,"职业相关介绍 ",""&amp;LOOKUP(M5,职业列表!A2:A370,职业列表!M2:M370))</f>
        <v>不多于7个本职技能。
在职业属性中输入第二职业属性的名字（如外貌、意志、教育、敏捷、力量、体质、体型，留空则视为EDU）并自行设置起始信誉。使用自定义职业前，请先咨询你的KP</v>
      </c>
      <c r="AZ39" s="2203"/>
      <c r="BA39" s="2203"/>
      <c r="BB39" s="2203"/>
      <c r="BC39" s="2203"/>
      <c r="BD39" s="2203"/>
      <c r="BE39" s="2203"/>
      <c r="BF39" s="2203"/>
      <c r="BG39" s="2203"/>
      <c r="BH39" s="2203"/>
      <c r="BI39" s="2203"/>
      <c r="BJ39" s="2203"/>
      <c r="BK39" s="2203"/>
      <c r="BL39" s="2203"/>
      <c r="BM39" s="2203"/>
      <c r="BN39" s="2203"/>
      <c r="BO39" s="2203"/>
      <c r="BP39" s="2203"/>
      <c r="BQ39" s="2203"/>
      <c r="BR39" s="2244"/>
      <c r="BS39" s="495"/>
    </row>
    <row r="40" customHeight="1" spans="2:71">
      <c r="B40" s="1900" t="s">
        <v>58</v>
      </c>
      <c r="C40" s="1901"/>
      <c r="D40" s="1902" t="str">
        <f>IF(ISTEXT(IFERROR(VLOOKUP(人物卡!F40,人物卡!BJ42:BR46,1,FALSE),IFERROR(VLOOKUP(人物卡!F40,BA42:BI46,1,FALSE),0))),"★",INDEX(本职技能!$A$2:$NE$105,MATCH(人物卡!F40,本职技能!$A$2:$A$105,0),MATCH(人物卡!$M$5,本职技能!$A$1:$NE$1,0)))</f>
        <v/>
      </c>
      <c r="E40" s="1903"/>
      <c r="F40" s="1906" t="s">
        <v>139</v>
      </c>
      <c r="G40" s="1906"/>
      <c r="H40" s="1912"/>
      <c r="I40" s="1912"/>
      <c r="J40" s="1904">
        <f>_xlfn.IFNA(附表!E12,0)</f>
        <v>0</v>
      </c>
      <c r="K40" s="1904"/>
      <c r="L40" s="1969"/>
      <c r="M40" s="1969"/>
      <c r="N40" s="1970"/>
      <c r="O40" s="1970"/>
      <c r="P40" s="1971"/>
      <c r="Q40" s="1971"/>
      <c r="R40" s="2036">
        <f>SUM(J40+L40+N40+P40)</f>
        <v>0</v>
      </c>
      <c r="S40" s="2036"/>
      <c r="T40" s="2036">
        <f t="shared" si="1"/>
        <v>0</v>
      </c>
      <c r="U40" s="2036"/>
      <c r="V40" s="2036">
        <f t="shared" si="2"/>
        <v>0</v>
      </c>
      <c r="W40" s="2037"/>
      <c r="X40" s="2038" t="s">
        <v>58</v>
      </c>
      <c r="Y40" s="1904"/>
      <c r="Z40" s="1902" t="str">
        <f>IF(ISTEXT(IFERROR(VLOOKUP(人物卡!AB40,人物卡!BJ42:BR46,1,FALSE),IFERROR(VLOOKUP(人物卡!AB40,人物卡!BA42:BC46,1,FALSE),0))),"★",INDEX(本职技能!$A$2:$NE$105,MATCH(人物卡!AB40,本职技能!$A$2:$A$105,0),MATCH(人物卡!$M$5,本职技能!$A$1:$NE$1,0)))</f>
        <v/>
      </c>
      <c r="AA40" s="1903"/>
      <c r="AB40" s="1904" t="s">
        <v>140</v>
      </c>
      <c r="AC40" s="1904"/>
      <c r="AD40" s="1904"/>
      <c r="AE40" s="1904"/>
      <c r="AF40" s="1904">
        <v>10</v>
      </c>
      <c r="AG40" s="1904"/>
      <c r="AH40" s="2107"/>
      <c r="AI40" s="2107"/>
      <c r="AJ40" s="1970"/>
      <c r="AK40" s="1970"/>
      <c r="AL40" s="1992"/>
      <c r="AM40" s="1992"/>
      <c r="AN40" s="2036">
        <f t="shared" si="3"/>
        <v>10</v>
      </c>
      <c r="AO40" s="2036"/>
      <c r="AP40" s="2036">
        <f t="shared" si="4"/>
        <v>5</v>
      </c>
      <c r="AQ40" s="2036"/>
      <c r="AR40" s="2036">
        <f t="shared" si="5"/>
        <v>2</v>
      </c>
      <c r="AS40" s="2050"/>
      <c r="AT40" s="2155"/>
      <c r="AU40" s="2161"/>
      <c r="AV40" s="2162"/>
      <c r="AW40" s="2162"/>
      <c r="AX40" s="2204"/>
      <c r="AY40" s="2205"/>
      <c r="AZ40" s="2206"/>
      <c r="BA40" s="2206"/>
      <c r="BB40" s="2206"/>
      <c r="BC40" s="2206"/>
      <c r="BD40" s="2206"/>
      <c r="BE40" s="2206"/>
      <c r="BF40" s="2206"/>
      <c r="BG40" s="2206"/>
      <c r="BH40" s="2206"/>
      <c r="BI40" s="2206"/>
      <c r="BJ40" s="2206"/>
      <c r="BK40" s="2206"/>
      <c r="BL40" s="2206"/>
      <c r="BM40" s="2206"/>
      <c r="BN40" s="2206"/>
      <c r="BO40" s="2206"/>
      <c r="BP40" s="2206"/>
      <c r="BQ40" s="2206"/>
      <c r="BR40" s="2245"/>
      <c r="BS40" s="1905"/>
    </row>
    <row r="41" customHeight="1" spans="2:71">
      <c r="B41" s="1900" t="s">
        <v>58</v>
      </c>
      <c r="C41" s="1901"/>
      <c r="D41" s="1902" t="str">
        <f>IF(ISTEXT(IFERROR(VLOOKUP(人物卡!F41,人物卡!BJ43:BR47,1,FALSE),IFERROR(VLOOKUP(人物卡!F41,BA43:BI47,1,FALSE),0))),"★",INDEX(本职技能!$A$2:$NE$105,MATCH(人物卡!F41,本职技能!$A$2:$A$105,0),MATCH(人物卡!$M$5,本职技能!$A$1:$NE$1,0)))</f>
        <v/>
      </c>
      <c r="E41" s="1903"/>
      <c r="F41" s="1906" t="s">
        <v>141</v>
      </c>
      <c r="G41" s="1906"/>
      <c r="H41" s="1912"/>
      <c r="I41" s="1912"/>
      <c r="J41" s="1904">
        <f>_xlfn.IFNA(附表!E13,0)</f>
        <v>0</v>
      </c>
      <c r="K41" s="1904"/>
      <c r="L41" s="1969"/>
      <c r="M41" s="1969"/>
      <c r="N41" s="1970"/>
      <c r="O41" s="1970"/>
      <c r="P41" s="1971"/>
      <c r="Q41" s="1971"/>
      <c r="R41" s="2036">
        <f>SUM(J41+L41+N41+P41)</f>
        <v>0</v>
      </c>
      <c r="S41" s="2036"/>
      <c r="T41" s="2036">
        <f t="shared" si="1"/>
        <v>0</v>
      </c>
      <c r="U41" s="2036"/>
      <c r="V41" s="2036">
        <f t="shared" si="2"/>
        <v>0</v>
      </c>
      <c r="W41" s="2037"/>
      <c r="X41" s="2038" t="s">
        <v>58</v>
      </c>
      <c r="Y41" s="1904"/>
      <c r="Z41" s="1902" t="str">
        <f>IF(ISTEXT(IFERROR(VLOOKUP(人物卡!AB41,人物卡!BJ43:BR47,1,FALSE),IFERROR(VLOOKUP(人物卡!AB41,人物卡!BA43:BC47,1,FALSE),0))),"★",INDEX(本职技能!$A$2:$NE$105,MATCH(人物卡!AB41,本职技能!$A$2:$A$105,0),MATCH(人物卡!$M$5,本职技能!$A$1:$NE$1,0)))</f>
        <v/>
      </c>
      <c r="AA41" s="1903"/>
      <c r="AB41" s="1904" t="s">
        <v>142</v>
      </c>
      <c r="AC41" s="1904"/>
      <c r="AD41" s="1904"/>
      <c r="AE41" s="1904"/>
      <c r="AF41" s="1904">
        <v>5</v>
      </c>
      <c r="AG41" s="1904"/>
      <c r="AH41" s="2107"/>
      <c r="AI41" s="2107"/>
      <c r="AJ41" s="1970"/>
      <c r="AK41" s="1970"/>
      <c r="AL41" s="1992"/>
      <c r="AM41" s="1992"/>
      <c r="AN41" s="2036">
        <f t="shared" si="3"/>
        <v>5</v>
      </c>
      <c r="AO41" s="2036"/>
      <c r="AP41" s="2036">
        <f t="shared" si="4"/>
        <v>2</v>
      </c>
      <c r="AQ41" s="2036"/>
      <c r="AR41" s="2036">
        <f t="shared" si="5"/>
        <v>1</v>
      </c>
      <c r="AS41" s="2050"/>
      <c r="AT41" s="2155"/>
      <c r="AU41" s="2161"/>
      <c r="AV41" s="2162"/>
      <c r="AW41" s="2162"/>
      <c r="AX41" s="2204"/>
      <c r="AY41" s="2205"/>
      <c r="AZ41" s="2206"/>
      <c r="BA41" s="2206"/>
      <c r="BB41" s="2206"/>
      <c r="BC41" s="2206"/>
      <c r="BD41" s="2206"/>
      <c r="BE41" s="2206"/>
      <c r="BF41" s="2206"/>
      <c r="BG41" s="2206"/>
      <c r="BH41" s="2206"/>
      <c r="BI41" s="2206"/>
      <c r="BJ41" s="2206"/>
      <c r="BK41" s="2206"/>
      <c r="BL41" s="2206"/>
      <c r="BM41" s="2206"/>
      <c r="BN41" s="2206"/>
      <c r="BO41" s="2206"/>
      <c r="BP41" s="2206"/>
      <c r="BQ41" s="2206"/>
      <c r="BR41" s="2245"/>
      <c r="BS41" s="1905"/>
    </row>
    <row r="42" customHeight="1" spans="2:71">
      <c r="B42" s="1900" t="s">
        <v>58</v>
      </c>
      <c r="C42" s="1901"/>
      <c r="D42" s="1902" t="str">
        <f>IF(ISTEXT(IFERROR(VLOOKUP(人物卡!F42,人物卡!BJ44:BR48,1,FALSE),IFERROR(VLOOKUP(人物卡!F42,BA44:BI48,1,FALSE),0))),"★",INDEX(本职技能!$A$2:$NE$105,MATCH(人物卡!F42,本职技能!$A$2:$A$105,0),MATCH(人物卡!$M$5,本职技能!$A$1:$NE$1,0)))</f>
        <v/>
      </c>
      <c r="E42" s="1903"/>
      <c r="F42" s="1904" t="s">
        <v>143</v>
      </c>
      <c r="G42" s="1904"/>
      <c r="H42" s="1904"/>
      <c r="I42" s="1904"/>
      <c r="J42" s="1904">
        <v>30</v>
      </c>
      <c r="K42" s="1904"/>
      <c r="L42" s="1969"/>
      <c r="M42" s="1969"/>
      <c r="N42" s="1970"/>
      <c r="O42" s="1970"/>
      <c r="P42" s="1971"/>
      <c r="Q42" s="1971"/>
      <c r="R42" s="2036">
        <f t="shared" ref="R42:R61" si="6">SUM(J42:Q42)</f>
        <v>30</v>
      </c>
      <c r="S42" s="2036"/>
      <c r="T42" s="2036">
        <f t="shared" si="1"/>
        <v>15</v>
      </c>
      <c r="U42" s="2036"/>
      <c r="V42" s="2036">
        <f t="shared" si="2"/>
        <v>6</v>
      </c>
      <c r="W42" s="2037"/>
      <c r="X42" s="2038" t="s">
        <v>58</v>
      </c>
      <c r="Y42" s="1904"/>
      <c r="Z42" s="1902" t="str">
        <f>IF(ISTEXT(IFERROR(VLOOKUP(人物卡!AB42,人物卡!BJ44:BR48,1,FALSE),IFERROR(VLOOKUP(人物卡!AB42,人物卡!BA44:BC48,1,FALSE),0))),"★",INDEX(本职技能!$A$2:$NE$105,MATCH(人物卡!AB42,本职技能!$A$2:$A$105,0),MATCH(人物卡!$M$5,本职技能!$A$1:$NE$1,0)))</f>
        <v/>
      </c>
      <c r="AA42" s="1903"/>
      <c r="AB42" s="1904" t="s">
        <v>144</v>
      </c>
      <c r="AC42" s="1904"/>
      <c r="AD42" s="1904"/>
      <c r="AE42" s="1904"/>
      <c r="AF42" s="1904">
        <v>1</v>
      </c>
      <c r="AG42" s="1904"/>
      <c r="AH42" s="2107"/>
      <c r="AI42" s="2107"/>
      <c r="AJ42" s="1970"/>
      <c r="AK42" s="1970"/>
      <c r="AL42" s="1992"/>
      <c r="AM42" s="1992"/>
      <c r="AN42" s="2036">
        <f t="shared" si="3"/>
        <v>1</v>
      </c>
      <c r="AO42" s="2036"/>
      <c r="AP42" s="2036">
        <f t="shared" si="4"/>
        <v>0</v>
      </c>
      <c r="AQ42" s="2036"/>
      <c r="AR42" s="2036">
        <f t="shared" si="5"/>
        <v>0</v>
      </c>
      <c r="AS42" s="2050"/>
      <c r="AT42" s="2155"/>
      <c r="AU42" s="2161"/>
      <c r="AV42" s="2162"/>
      <c r="AW42" s="2162"/>
      <c r="AX42" s="2204"/>
      <c r="AY42" s="2205"/>
      <c r="AZ42" s="2206"/>
      <c r="BA42" s="2206"/>
      <c r="BB42" s="2206"/>
      <c r="BC42" s="2206"/>
      <c r="BD42" s="2206"/>
      <c r="BE42" s="2206"/>
      <c r="BF42" s="2206"/>
      <c r="BG42" s="2206"/>
      <c r="BH42" s="2206"/>
      <c r="BI42" s="2206"/>
      <c r="BJ42" s="2206"/>
      <c r="BK42" s="2206"/>
      <c r="BL42" s="2206"/>
      <c r="BM42" s="2206"/>
      <c r="BN42" s="2206"/>
      <c r="BO42" s="2206"/>
      <c r="BP42" s="2206"/>
      <c r="BQ42" s="2206"/>
      <c r="BR42" s="2245"/>
      <c r="BS42" s="1905"/>
    </row>
    <row r="43" customHeight="1" spans="2:71">
      <c r="B43" s="1900" t="s">
        <v>58</v>
      </c>
      <c r="C43" s="1901"/>
      <c r="D43" s="1902" t="str">
        <f>IF(ISTEXT(IFERROR(VLOOKUP(人物卡!F43,人物卡!BJ45:BR49,1,FALSE),IFERROR(VLOOKUP(人物卡!F43,BA45:BI49,1,FALSE),0))),"★",INDEX(本职技能!$A$2:$NE$105,MATCH(人物卡!F43,本职技能!$A$2:$A$105,0),MATCH(人物卡!$M$5,本职技能!$A$1:$NE$1,0)))</f>
        <v/>
      </c>
      <c r="E43" s="1903"/>
      <c r="F43" s="1904" t="s">
        <v>145</v>
      </c>
      <c r="G43" s="1904"/>
      <c r="H43" s="1904"/>
      <c r="I43" s="1904"/>
      <c r="J43" s="1904">
        <v>5</v>
      </c>
      <c r="K43" s="1904"/>
      <c r="L43" s="1969"/>
      <c r="M43" s="1969"/>
      <c r="N43" s="1970"/>
      <c r="O43" s="1970"/>
      <c r="P43" s="1971"/>
      <c r="Q43" s="1971"/>
      <c r="R43" s="2036">
        <f t="shared" si="6"/>
        <v>5</v>
      </c>
      <c r="S43" s="2036"/>
      <c r="T43" s="2036">
        <f t="shared" si="1"/>
        <v>2</v>
      </c>
      <c r="U43" s="2036"/>
      <c r="V43" s="2036">
        <f t="shared" si="2"/>
        <v>1</v>
      </c>
      <c r="W43" s="2037"/>
      <c r="X43" s="2038" t="s">
        <v>58</v>
      </c>
      <c r="Y43" s="1904"/>
      <c r="Z43" s="1902" t="str">
        <f>IF(ISTEXT(IFERROR(VLOOKUP(人物卡!AB43,人物卡!BJ45:BR49,1,FALSE),IFERROR(VLOOKUP(人物卡!AB43,人物卡!BA45:BC49,1,FALSE),0))),"★",INDEX(本职技能!$A$2:$NE$105,MATCH(人物卡!AB43,本职技能!$A$2:$A$105,0),MATCH(人物卡!$M$5,本职技能!$A$1:$NE$1,0)))</f>
        <v/>
      </c>
      <c r="AA43" s="1903"/>
      <c r="AB43" s="1904" t="s">
        <v>146</v>
      </c>
      <c r="AC43" s="1904"/>
      <c r="AD43" s="1904"/>
      <c r="AE43" s="1904"/>
      <c r="AF43" s="1904">
        <v>1</v>
      </c>
      <c r="AG43" s="1904"/>
      <c r="AH43" s="2107"/>
      <c r="AI43" s="2107"/>
      <c r="AJ43" s="1970"/>
      <c r="AK43" s="1970"/>
      <c r="AL43" s="1992"/>
      <c r="AM43" s="1992"/>
      <c r="AN43" s="2036">
        <f t="shared" si="3"/>
        <v>1</v>
      </c>
      <c r="AO43" s="2036"/>
      <c r="AP43" s="2036">
        <f t="shared" si="4"/>
        <v>0</v>
      </c>
      <c r="AQ43" s="2036"/>
      <c r="AR43" s="2036">
        <f t="shared" si="5"/>
        <v>0</v>
      </c>
      <c r="AS43" s="2050"/>
      <c r="AT43" s="2155"/>
      <c r="AU43" s="2161"/>
      <c r="AV43" s="2163"/>
      <c r="AW43" s="2163"/>
      <c r="AX43" s="2204"/>
      <c r="AY43" s="2205"/>
      <c r="AZ43" s="2207"/>
      <c r="BA43" s="2207"/>
      <c r="BB43" s="2207"/>
      <c r="BC43" s="2207"/>
      <c r="BD43" s="2207"/>
      <c r="BE43" s="2207"/>
      <c r="BF43" s="2207"/>
      <c r="BG43" s="2207"/>
      <c r="BH43" s="2207"/>
      <c r="BI43" s="2207"/>
      <c r="BJ43" s="2207"/>
      <c r="BK43" s="2207"/>
      <c r="BL43" s="2207"/>
      <c r="BM43" s="2207"/>
      <c r="BN43" s="2207"/>
      <c r="BO43" s="2207"/>
      <c r="BP43" s="2207"/>
      <c r="BQ43" s="2207"/>
      <c r="BR43" s="2245"/>
      <c r="BS43" s="1905"/>
    </row>
    <row r="44" customHeight="1" spans="2:70">
      <c r="B44" s="1900" t="s">
        <v>58</v>
      </c>
      <c r="C44" s="1901"/>
      <c r="D44" s="1902" t="str">
        <f>IF(ISTEXT(IFERROR(VLOOKUP(人物卡!F44,人物卡!BJ46:BR50,1,FALSE),IFERROR(VLOOKUP(人物卡!F44,BA46:BI50,1,FALSE),0))),"★",INDEX(本职技能!$A$2:$NE$105,MATCH(人物卡!F44,本职技能!$A$2:$A$105,0),MATCH(人物卡!$M$5,本职技能!$A$1:$NE$1,0)))</f>
        <v/>
      </c>
      <c r="E44" s="1903"/>
      <c r="F44" s="1904" t="s">
        <v>147</v>
      </c>
      <c r="G44" s="1904"/>
      <c r="H44" s="1904"/>
      <c r="I44" s="1904"/>
      <c r="J44" s="1904">
        <v>15</v>
      </c>
      <c r="K44" s="1904"/>
      <c r="L44" s="1969"/>
      <c r="M44" s="1969"/>
      <c r="N44" s="1970"/>
      <c r="O44" s="1970"/>
      <c r="P44" s="1971"/>
      <c r="Q44" s="1971"/>
      <c r="R44" s="2036">
        <f t="shared" si="6"/>
        <v>15</v>
      </c>
      <c r="S44" s="2036"/>
      <c r="T44" s="2036">
        <f t="shared" si="1"/>
        <v>7</v>
      </c>
      <c r="U44" s="2036"/>
      <c r="V44" s="2036">
        <f t="shared" si="2"/>
        <v>3</v>
      </c>
      <c r="W44" s="2037"/>
      <c r="X44" s="2038" t="s">
        <v>58</v>
      </c>
      <c r="Y44" s="1904"/>
      <c r="Z44" s="1902" t="str">
        <f>IF(ISTEXT(IFERROR(VLOOKUP(人物卡!AB44,人物卡!BJ46:BR50,1,FALSE),IFERROR(VLOOKUP(人物卡!AB44,人物卡!BA46:BC50,1,FALSE),0))),"★",INDEX(本职技能!$A$2:$NE$105,MATCH(人物卡!AB44,本职技能!$A$2:$A$105,0),MATCH(人物卡!$M$5,本职技能!$A$1:$NE$1,0)))</f>
        <v/>
      </c>
      <c r="AA44" s="1903"/>
      <c r="AB44" s="1904" t="s">
        <v>148</v>
      </c>
      <c r="AC44" s="1904"/>
      <c r="AD44" s="1904"/>
      <c r="AE44" s="1904"/>
      <c r="AF44" s="1904">
        <v>1</v>
      </c>
      <c r="AG44" s="1904"/>
      <c r="AH44" s="2107"/>
      <c r="AI44" s="2107"/>
      <c r="AJ44" s="1970"/>
      <c r="AK44" s="1970"/>
      <c r="AL44" s="1992"/>
      <c r="AM44" s="1992"/>
      <c r="AN44" s="2036">
        <f t="shared" si="3"/>
        <v>1</v>
      </c>
      <c r="AO44" s="2036"/>
      <c r="AP44" s="2036">
        <f t="shared" si="4"/>
        <v>0</v>
      </c>
      <c r="AQ44" s="2036"/>
      <c r="AR44" s="2036">
        <f t="shared" si="5"/>
        <v>0</v>
      </c>
      <c r="AS44" s="2050"/>
      <c r="AT44" s="2155"/>
      <c r="AU44" s="2164" t="s">
        <v>149</v>
      </c>
      <c r="AV44" s="2164"/>
      <c r="AW44" s="2164"/>
      <c r="AX44" s="2164"/>
      <c r="AY44" s="2164"/>
      <c r="AZ44" s="2164"/>
      <c r="BA44" s="2164"/>
      <c r="BB44" s="2164"/>
      <c r="BC44" s="2164"/>
      <c r="BD44" s="2164"/>
      <c r="BE44" s="2164"/>
      <c r="BF44" s="2164"/>
      <c r="BG44" s="2164"/>
      <c r="BH44" s="2164"/>
      <c r="BI44" s="2164"/>
      <c r="BJ44" s="2164"/>
      <c r="BK44" s="2164"/>
      <c r="BL44" s="2164"/>
      <c r="BM44" s="2164"/>
      <c r="BN44" s="2164"/>
      <c r="BO44" s="2164"/>
      <c r="BP44" s="2164"/>
      <c r="BQ44" s="2164"/>
      <c r="BR44" s="2164"/>
    </row>
    <row r="45" customHeight="1" spans="2:70">
      <c r="B45" s="1900" t="s">
        <v>58</v>
      </c>
      <c r="C45" s="1901"/>
      <c r="D45" s="1902" t="str">
        <f>IF(ISTEXT(IFERROR(VLOOKUP(人物卡!F45,人物卡!BJ47:BR51,1,FALSE),IFERROR(VLOOKUP(人物卡!F45,BA47:BI51,1,FALSE),0))),"★",INDEX(本职技能!$A$2:$NE$105,MATCH(人物卡!F45,本职技能!$A$2:$A$105,0),MATCH(人物卡!$M$5,本职技能!$A$1:$NE$1,0)))</f>
        <v/>
      </c>
      <c r="E45" s="1903"/>
      <c r="F45" s="1904" t="s">
        <v>150</v>
      </c>
      <c r="G45" s="1904"/>
      <c r="H45" s="1904"/>
      <c r="I45" s="1904"/>
      <c r="J45" s="1904">
        <v>20</v>
      </c>
      <c r="K45" s="1904"/>
      <c r="L45" s="1969"/>
      <c r="M45" s="1969"/>
      <c r="N45" s="1970"/>
      <c r="O45" s="1970"/>
      <c r="P45" s="1971"/>
      <c r="Q45" s="1971"/>
      <c r="R45" s="2036">
        <f t="shared" si="6"/>
        <v>20</v>
      </c>
      <c r="S45" s="2036"/>
      <c r="T45" s="2036">
        <f t="shared" si="1"/>
        <v>10</v>
      </c>
      <c r="U45" s="2036"/>
      <c r="V45" s="2036">
        <f t="shared" si="2"/>
        <v>4</v>
      </c>
      <c r="W45" s="2037"/>
      <c r="X45" s="2038" t="s">
        <v>58</v>
      </c>
      <c r="Y45" s="1904"/>
      <c r="Z45" s="1902" t="str">
        <f>IF(ISTEXT(IFERROR(VLOOKUP(人物卡!AB45,人物卡!BJ47:BR51,1,FALSE),IFERROR(VLOOKUP(人物卡!AB45,人物卡!BA47:BC51,1,FALSE),0))),"★",INDEX(本职技能!$A$2:$NE$105,MATCH(人物卡!AB45,本职技能!$A$2:$A$105,0),MATCH(人物卡!$M$5,本职技能!$A$1:$NE$1,0)))</f>
        <v/>
      </c>
      <c r="AA45" s="1903"/>
      <c r="AB45" s="1904" t="s">
        <v>151</v>
      </c>
      <c r="AC45" s="1904"/>
      <c r="AD45" s="1904"/>
      <c r="AE45" s="1904"/>
      <c r="AF45" s="1904">
        <v>1</v>
      </c>
      <c r="AG45" s="1904"/>
      <c r="AH45" s="2107"/>
      <c r="AI45" s="2107"/>
      <c r="AJ45" s="1970"/>
      <c r="AK45" s="1970"/>
      <c r="AL45" s="1992"/>
      <c r="AM45" s="1992"/>
      <c r="AN45" s="2036">
        <f t="shared" si="3"/>
        <v>1</v>
      </c>
      <c r="AO45" s="2036"/>
      <c r="AP45" s="2036">
        <f t="shared" si="4"/>
        <v>0</v>
      </c>
      <c r="AQ45" s="2036"/>
      <c r="AR45" s="2036">
        <f t="shared" si="5"/>
        <v>0</v>
      </c>
      <c r="AS45" s="2050"/>
      <c r="AT45" s="2155"/>
      <c r="AU45" s="2165" t="s">
        <v>152</v>
      </c>
      <c r="AV45" s="2165"/>
      <c r="AW45" s="2165"/>
      <c r="AX45" s="2208">
        <f>E10</f>
        <v>0</v>
      </c>
      <c r="AY45" s="2209" t="str">
        <f>REPT("▇",E10)</f>
        <v/>
      </c>
      <c r="AZ45" s="2209"/>
      <c r="BA45" s="2209"/>
      <c r="BB45" s="2209"/>
      <c r="BC45" s="2209"/>
      <c r="BD45" s="2209"/>
      <c r="BE45" s="2209"/>
      <c r="BF45" s="2209"/>
      <c r="BG45" s="2209"/>
      <c r="BH45" s="2209"/>
      <c r="BI45" s="2209"/>
      <c r="BJ45" s="2209"/>
      <c r="BK45" s="2209"/>
      <c r="BL45" s="2209"/>
      <c r="BM45" s="2209"/>
      <c r="BN45" s="2209"/>
      <c r="BO45" s="2246" t="str">
        <f>I11</f>
        <v>健康</v>
      </c>
      <c r="BP45" s="2247"/>
      <c r="BQ45" s="2247"/>
      <c r="BR45" s="2248"/>
    </row>
    <row r="46" customHeight="1" spans="2:70">
      <c r="B46" s="1900" t="s">
        <v>58</v>
      </c>
      <c r="C46" s="1901"/>
      <c r="D46" s="1902" t="str">
        <f>IF(ISTEXT(IFERROR(VLOOKUP(人物卡!F46,人物卡!BJ48:BR52,1,FALSE),IFERROR(VLOOKUP(人物卡!F46,BA48:BI52,1,FALSE),0))),"★",INDEX(本职技能!$A$2:$NE$105,MATCH(人物卡!F46,本职技能!$A$2:$A$105,0),MATCH(人物卡!$M$5,本职技能!$A$1:$NE$1,0)))</f>
        <v/>
      </c>
      <c r="E46" s="1903"/>
      <c r="F46" s="1906" t="s">
        <v>153</v>
      </c>
      <c r="G46" s="1906"/>
      <c r="H46" s="1912"/>
      <c r="I46" s="1912"/>
      <c r="J46" s="1904">
        <v>1</v>
      </c>
      <c r="K46" s="1904"/>
      <c r="L46" s="1969"/>
      <c r="M46" s="1969"/>
      <c r="N46" s="1970"/>
      <c r="O46" s="1970"/>
      <c r="P46" s="1971"/>
      <c r="Q46" s="1971"/>
      <c r="R46" s="2036">
        <f t="shared" si="6"/>
        <v>1</v>
      </c>
      <c r="S46" s="2036"/>
      <c r="T46" s="2036">
        <f t="shared" si="1"/>
        <v>0</v>
      </c>
      <c r="U46" s="2036"/>
      <c r="V46" s="2036">
        <f t="shared" si="2"/>
        <v>0</v>
      </c>
      <c r="W46" s="2037"/>
      <c r="X46" s="2038" t="s">
        <v>58</v>
      </c>
      <c r="Y46" s="1904"/>
      <c r="Z46" s="1902" t="str">
        <f>IF(ISTEXT(IFERROR(VLOOKUP(人物卡!AB46,人物卡!BJ48:BR52,1,FALSE),IFERROR(VLOOKUP(人物卡!AB46,人物卡!BA48:BC52,1,FALSE),0))),"★",INDEX(本职技能!$A$2:$NE$105,MATCH(人物卡!AB46,本职技能!$A$2:$A$105,0),MATCH(人物卡!$M$5,本职技能!$A$1:$NE$1,0)))</f>
        <v/>
      </c>
      <c r="AA46" s="1903"/>
      <c r="AB46" s="1904" t="s">
        <v>154</v>
      </c>
      <c r="AC46" s="1904"/>
      <c r="AD46" s="1904"/>
      <c r="AE46" s="1904"/>
      <c r="AF46" s="1904">
        <v>1</v>
      </c>
      <c r="AG46" s="1904"/>
      <c r="AH46" s="2107"/>
      <c r="AI46" s="2107"/>
      <c r="AJ46" s="1970"/>
      <c r="AK46" s="1970"/>
      <c r="AL46" s="1992"/>
      <c r="AM46" s="1992"/>
      <c r="AN46" s="2036">
        <f t="shared" si="3"/>
        <v>1</v>
      </c>
      <c r="AO46" s="2036"/>
      <c r="AP46" s="2036">
        <f t="shared" si="4"/>
        <v>0</v>
      </c>
      <c r="AQ46" s="2036"/>
      <c r="AR46" s="2036">
        <f t="shared" si="5"/>
        <v>0</v>
      </c>
      <c r="AS46" s="2050"/>
      <c r="AT46" s="2155"/>
      <c r="AU46" s="2165" t="s">
        <v>155</v>
      </c>
      <c r="AV46" s="2165"/>
      <c r="AW46" s="2165"/>
      <c r="AX46" s="2210">
        <f>W10</f>
        <v>0</v>
      </c>
      <c r="AY46" s="2211" t="str">
        <f>REPT("▇",W10)</f>
        <v/>
      </c>
      <c r="AZ46" s="2211"/>
      <c r="BA46" s="2211"/>
      <c r="BB46" s="2211"/>
      <c r="BC46" s="2211"/>
      <c r="BD46" s="2211"/>
      <c r="BE46" s="2211"/>
      <c r="BF46" s="2211"/>
      <c r="BG46" s="2211"/>
      <c r="BH46" s="2211"/>
      <c r="BI46" s="2211"/>
      <c r="BJ46" s="2211"/>
      <c r="BK46" s="2211"/>
      <c r="BL46" s="2211"/>
      <c r="BM46" s="2211"/>
      <c r="BN46" s="2211"/>
      <c r="BO46" s="2249" t="str">
        <f>"+"&amp;X12</f>
        <v>+</v>
      </c>
      <c r="BP46" s="2249"/>
      <c r="BQ46" s="2249"/>
      <c r="BR46" s="2249"/>
    </row>
    <row r="47" customHeight="1" spans="2:70">
      <c r="B47" s="1900" t="s">
        <v>58</v>
      </c>
      <c r="C47" s="1901"/>
      <c r="D47" s="1902" t="str">
        <f>IF(ISTEXT(IFERROR(VLOOKUP(人物卡!F47,人物卡!BJ49:BR53,1,FALSE),IFERROR(VLOOKUP(人物卡!F47,BA49:BI53,1,FALSE),0))),"★",INDEX(本职技能!$A$2:$NE$105,MATCH(人物卡!F47,本职技能!$A$2:$A$105,0),MATCH(人物卡!$M$5,本职技能!$A$1:$NE$1,0)))</f>
        <v/>
      </c>
      <c r="E47" s="1903"/>
      <c r="F47" s="1906" t="s">
        <v>156</v>
      </c>
      <c r="G47" s="1906"/>
      <c r="H47" s="1912"/>
      <c r="I47" s="1912"/>
      <c r="J47" s="1904">
        <v>1</v>
      </c>
      <c r="K47" s="1904"/>
      <c r="L47" s="1969"/>
      <c r="M47" s="1969"/>
      <c r="N47" s="1970"/>
      <c r="O47" s="1970"/>
      <c r="P47" s="1971"/>
      <c r="Q47" s="1971"/>
      <c r="R47" s="2036">
        <f t="shared" si="6"/>
        <v>1</v>
      </c>
      <c r="S47" s="2036"/>
      <c r="T47" s="2036">
        <f t="shared" si="1"/>
        <v>0</v>
      </c>
      <c r="U47" s="2036"/>
      <c r="V47" s="2036">
        <f t="shared" si="2"/>
        <v>0</v>
      </c>
      <c r="W47" s="2037"/>
      <c r="X47" s="2038" t="s">
        <v>58</v>
      </c>
      <c r="Y47" s="1904"/>
      <c r="Z47" s="1902" t="str">
        <f>IF(ISTEXT(IFERROR(VLOOKUP(人物卡!AB47,人物卡!BJ49:BR53,1,FALSE),IFERROR(VLOOKUP(人物卡!AB47,人物卡!BA49:BC53,1,FALSE),0))),"★",INDEX(本职技能!$A$2:$NE$105,MATCH(人物卡!AB47,本职技能!$A$2:$A$105,0),MATCH(人物卡!$M$5,本职技能!$A$1:$NE$1,0)))</f>
        <v/>
      </c>
      <c r="AA47" s="1903"/>
      <c r="AB47" s="1906" t="s">
        <v>157</v>
      </c>
      <c r="AC47" s="1906"/>
      <c r="AD47" s="2079"/>
      <c r="AE47" s="2079"/>
      <c r="AF47" s="1904">
        <v>1</v>
      </c>
      <c r="AG47" s="1904"/>
      <c r="AH47" s="2107"/>
      <c r="AI47" s="2107"/>
      <c r="AJ47" s="1970"/>
      <c r="AK47" s="1970"/>
      <c r="AL47" s="1992"/>
      <c r="AM47" s="1992"/>
      <c r="AN47" s="2036">
        <f t="shared" si="3"/>
        <v>1</v>
      </c>
      <c r="AO47" s="2036"/>
      <c r="AP47" s="2036">
        <f t="shared" si="4"/>
        <v>0</v>
      </c>
      <c r="AQ47" s="2036"/>
      <c r="AR47" s="2036">
        <f t="shared" si="5"/>
        <v>0</v>
      </c>
      <c r="AS47" s="2050"/>
      <c r="AT47" s="1846"/>
      <c r="AU47" s="2165" t="s">
        <v>158</v>
      </c>
      <c r="AV47" s="2165"/>
      <c r="AW47" s="2165"/>
      <c r="AX47" s="2212">
        <f>N10</f>
        <v>0</v>
      </c>
      <c r="AY47" s="2213" t="str">
        <f>REPT("▇",N10/5)</f>
        <v/>
      </c>
      <c r="AZ47" s="2213"/>
      <c r="BA47" s="2213"/>
      <c r="BB47" s="2213"/>
      <c r="BC47" s="2213"/>
      <c r="BD47" s="2213"/>
      <c r="BE47" s="2213"/>
      <c r="BF47" s="2213"/>
      <c r="BG47" s="2213"/>
      <c r="BH47" s="2213"/>
      <c r="BI47" s="2213"/>
      <c r="BJ47" s="2213"/>
      <c r="BK47" s="2213"/>
      <c r="BL47" s="2213"/>
      <c r="BM47" s="2213"/>
      <c r="BN47" s="2213"/>
      <c r="BO47" s="2250" t="str">
        <f>R11</f>
        <v>清醒</v>
      </c>
      <c r="BP47" s="2250"/>
      <c r="BQ47" s="2250"/>
      <c r="BR47" s="2250"/>
    </row>
    <row r="48" customHeight="1" spans="2:70">
      <c r="B48" s="1900" t="s">
        <v>58</v>
      </c>
      <c r="C48" s="1901"/>
      <c r="D48" s="1902" t="str">
        <f>IF(ISTEXT(IFERROR(VLOOKUP(人物卡!F48,人物卡!BJ50:BR54,1,FALSE),IFERROR(VLOOKUP(人物卡!F48,BA50:BI54,1,FALSE),0))),"★",INDEX(本职技能!$A$2:$NE$105,MATCH(人物卡!F48,本职技能!$A$2:$A$105,0),MATCH(人物卡!$M$5,本职技能!$A$1:$NE$1,0)))</f>
        <v/>
      </c>
      <c r="E48" s="1903"/>
      <c r="F48" s="1906" t="s">
        <v>159</v>
      </c>
      <c r="G48" s="1906"/>
      <c r="H48" s="1912"/>
      <c r="I48" s="1912"/>
      <c r="J48" s="1904">
        <v>1</v>
      </c>
      <c r="K48" s="1904"/>
      <c r="L48" s="1969"/>
      <c r="M48" s="1969"/>
      <c r="N48" s="1970"/>
      <c r="O48" s="1970"/>
      <c r="P48" s="1971"/>
      <c r="Q48" s="1971"/>
      <c r="R48" s="2036">
        <f t="shared" si="6"/>
        <v>1</v>
      </c>
      <c r="S48" s="2036"/>
      <c r="T48" s="2036">
        <f t="shared" si="1"/>
        <v>0</v>
      </c>
      <c r="U48" s="2036"/>
      <c r="V48" s="2036">
        <f t="shared" si="2"/>
        <v>0</v>
      </c>
      <c r="W48" s="2037"/>
      <c r="X48" s="2038" t="s">
        <v>58</v>
      </c>
      <c r="Y48" s="1904"/>
      <c r="Z48" s="1902" t="str">
        <f>IF(ISTEXT(IFERROR(VLOOKUP(人物卡!AB48,人物卡!BJ50:BR54,1,FALSE),IFERROR(VLOOKUP(人物卡!AB48,人物卡!BA50:BC54,1,FALSE),0))),"★",INDEX(本职技能!$A$2:$NE$105,MATCH(人物卡!AB48,本职技能!$A$2:$A$105,0),MATCH(人物卡!$M$5,本职技能!$A$1:$NE$1,0)))</f>
        <v/>
      </c>
      <c r="AA48" s="1903"/>
      <c r="AB48" s="1906" t="s">
        <v>160</v>
      </c>
      <c r="AC48" s="1906"/>
      <c r="AD48" s="2079"/>
      <c r="AE48" s="2079"/>
      <c r="AF48" s="1904">
        <v>1</v>
      </c>
      <c r="AG48" s="1904"/>
      <c r="AH48" s="2107"/>
      <c r="AI48" s="2107"/>
      <c r="AJ48" s="1970"/>
      <c r="AK48" s="1970"/>
      <c r="AL48" s="1992"/>
      <c r="AM48" s="1992"/>
      <c r="AN48" s="2036">
        <f t="shared" si="3"/>
        <v>1</v>
      </c>
      <c r="AO48" s="2036"/>
      <c r="AP48" s="2036">
        <f t="shared" si="4"/>
        <v>0</v>
      </c>
      <c r="AQ48" s="2036"/>
      <c r="AR48" s="2036">
        <f t="shared" si="5"/>
        <v>0</v>
      </c>
      <c r="AS48" s="2050"/>
      <c r="AT48" s="1846"/>
      <c r="AU48" s="2165" t="s">
        <v>161</v>
      </c>
      <c r="AV48" s="2165"/>
      <c r="AW48" s="2165"/>
      <c r="AX48" s="2214">
        <f>AN10+AP11</f>
        <v>0</v>
      </c>
      <c r="AY48" s="2215" t="str">
        <f>REPT("■",AN10)</f>
        <v/>
      </c>
      <c r="AZ48" s="2215"/>
      <c r="BA48" s="2215"/>
      <c r="BB48" s="2215"/>
      <c r="BC48" s="2215"/>
      <c r="BD48" s="2215"/>
      <c r="BE48" s="2215"/>
      <c r="BF48" s="2215"/>
      <c r="BG48" s="2215"/>
      <c r="BH48" s="2215"/>
      <c r="BI48" s="2215"/>
      <c r="BJ48" s="2215"/>
      <c r="BK48" s="2215"/>
      <c r="BL48" s="2215"/>
      <c r="BM48" s="2215"/>
      <c r="BN48" s="2215"/>
      <c r="BO48" s="2251" t="s">
        <v>162</v>
      </c>
      <c r="BP48" s="2251"/>
      <c r="BQ48" s="2251"/>
      <c r="BR48" s="2251"/>
    </row>
    <row r="49" customHeight="1" spans="2:46">
      <c r="B49" s="1900" t="s">
        <v>58</v>
      </c>
      <c r="C49" s="1901"/>
      <c r="D49" s="1902" t="s">
        <v>74</v>
      </c>
      <c r="E49" s="1903"/>
      <c r="F49" s="1914" t="s">
        <v>163</v>
      </c>
      <c r="G49" s="1914"/>
      <c r="H49" s="1915"/>
      <c r="I49" s="1915"/>
      <c r="J49" s="1904">
        <f>AG5</f>
        <v>0</v>
      </c>
      <c r="K49" s="1904"/>
      <c r="L49" s="1969"/>
      <c r="M49" s="1969"/>
      <c r="N49" s="1970"/>
      <c r="O49" s="1970"/>
      <c r="P49" s="1971"/>
      <c r="Q49" s="1971"/>
      <c r="R49" s="2036">
        <f t="shared" si="6"/>
        <v>0</v>
      </c>
      <c r="S49" s="2036"/>
      <c r="T49" s="2036">
        <f t="shared" si="1"/>
        <v>0</v>
      </c>
      <c r="U49" s="2036"/>
      <c r="V49" s="2036">
        <f t="shared" si="2"/>
        <v>0</v>
      </c>
      <c r="W49" s="2037"/>
      <c r="X49" s="2041" t="s">
        <v>58</v>
      </c>
      <c r="Y49" s="1921"/>
      <c r="Z49" s="1902" t="str">
        <f>IF(ISTEXT(IFERROR(VLOOKUP(人物卡!AB49,人物卡!BJ51:BR55,1,FALSE),IFERROR(VLOOKUP(人物卡!AB49,人物卡!BA51:BC55,1,FALSE),0))),"★",INDEX(本职技能!$A$2:$NE$105,MATCH(人物卡!AB49,本职技能!$A$2:$A$105,0),MATCH(人物卡!$M$5,本职技能!$A$1:$NE$1,0)))</f>
        <v/>
      </c>
      <c r="AA49" s="1903"/>
      <c r="AB49" s="1921" t="s">
        <v>164</v>
      </c>
      <c r="AC49" s="1921"/>
      <c r="AD49" s="1921"/>
      <c r="AE49" s="1921"/>
      <c r="AF49" s="1921">
        <v>5</v>
      </c>
      <c r="AG49" s="1921"/>
      <c r="AH49" s="2108"/>
      <c r="AI49" s="2108"/>
      <c r="AJ49" s="1981"/>
      <c r="AK49" s="1981"/>
      <c r="AL49" s="1983"/>
      <c r="AM49" s="1983"/>
      <c r="AN49" s="2042">
        <f t="shared" si="3"/>
        <v>5</v>
      </c>
      <c r="AO49" s="2042"/>
      <c r="AP49" s="2042">
        <f t="shared" si="4"/>
        <v>2</v>
      </c>
      <c r="AQ49" s="2042"/>
      <c r="AR49" s="2042">
        <f t="shared" si="5"/>
        <v>1</v>
      </c>
      <c r="AS49" s="2166"/>
      <c r="AT49" s="1846"/>
    </row>
    <row r="50" customHeight="1" spans="2:70">
      <c r="B50" s="1916" t="s">
        <v>58</v>
      </c>
      <c r="C50" s="1917"/>
      <c r="D50" s="1902" t="str">
        <f>IF(ISTEXT(IFERROR(VLOOKUP(人物卡!F50,人物卡!BJ52:BR56,1,FALSE),IFERROR(VLOOKUP(人物卡!F50,BA52:BI56,1,FALSE),0))),"★",INDEX(本职技能!$A$2:$NE$105,MATCH(人物卡!F50,本职技能!$A$2:$A$105,0),MATCH(人物卡!$M$5,本职技能!$A$1:$NE$1,0)))</f>
        <v/>
      </c>
      <c r="E50" s="1903"/>
      <c r="F50" s="1918" t="s">
        <v>165</v>
      </c>
      <c r="G50" s="1918"/>
      <c r="H50" s="1919"/>
      <c r="I50" s="1919"/>
      <c r="J50" s="1921">
        <v>10</v>
      </c>
      <c r="K50" s="1921"/>
      <c r="L50" s="1980"/>
      <c r="M50" s="1980"/>
      <c r="N50" s="1981"/>
      <c r="O50" s="1981"/>
      <c r="P50" s="1982"/>
      <c r="Q50" s="1982"/>
      <c r="R50" s="2042">
        <f t="shared" si="6"/>
        <v>10</v>
      </c>
      <c r="S50" s="2042"/>
      <c r="T50" s="2042">
        <f t="shared" si="1"/>
        <v>5</v>
      </c>
      <c r="U50" s="2042"/>
      <c r="V50" s="2042">
        <f t="shared" si="2"/>
        <v>2</v>
      </c>
      <c r="W50" s="2043"/>
      <c r="X50" s="2041" t="s">
        <v>58</v>
      </c>
      <c r="Y50" s="1921"/>
      <c r="Z50" s="1902" t="str">
        <f>IF(ISTEXT(IFERROR(VLOOKUP(人物卡!AB50,人物卡!BJ52:BR56,1,FALSE),IFERROR(VLOOKUP(人物卡!AB50,人物卡!BA52:BC56,1,FALSE),0))),"★",INDEX(本职技能!$A$2:$NE$105,MATCH(人物卡!AB50,本职技能!$A$2:$A$105,0),MATCH(人物卡!$M$5,本职技能!$A$1:$NE$1,0)))</f>
        <v/>
      </c>
      <c r="AA50" s="1903"/>
      <c r="AB50" s="1921" t="s">
        <v>166</v>
      </c>
      <c r="AC50" s="1921"/>
      <c r="AD50" s="1921"/>
      <c r="AE50" s="1921"/>
      <c r="AF50" s="1921">
        <v>15</v>
      </c>
      <c r="AG50" s="1921"/>
      <c r="AH50" s="2108"/>
      <c r="AI50" s="2108"/>
      <c r="AJ50" s="1981"/>
      <c r="AK50" s="1981"/>
      <c r="AL50" s="1983"/>
      <c r="AM50" s="1983"/>
      <c r="AN50" s="2042">
        <f t="shared" si="3"/>
        <v>15</v>
      </c>
      <c r="AO50" s="2042"/>
      <c r="AP50" s="2042">
        <f t="shared" si="4"/>
        <v>7</v>
      </c>
      <c r="AQ50" s="2042"/>
      <c r="AR50" s="2042">
        <f t="shared" si="5"/>
        <v>3</v>
      </c>
      <c r="AS50" s="2166"/>
      <c r="AT50" s="1846"/>
      <c r="AU50" s="2167" t="s">
        <v>167</v>
      </c>
      <c r="AV50" s="2168"/>
      <c r="AW50" s="2168"/>
      <c r="AX50" s="2168"/>
      <c r="AY50" s="2168"/>
      <c r="AZ50" s="2168"/>
      <c r="BA50" s="2168"/>
      <c r="BB50" s="2168"/>
      <c r="BC50" s="2168"/>
      <c r="BD50" s="2168"/>
      <c r="BE50" s="1895"/>
      <c r="BF50" s="1895"/>
      <c r="BG50" s="2168"/>
      <c r="BH50" s="2168"/>
      <c r="BI50" s="2168"/>
      <c r="BJ50" s="2168"/>
      <c r="BK50" s="2168"/>
      <c r="BL50" s="2168"/>
      <c r="BM50" s="2168"/>
      <c r="BN50" s="2168"/>
      <c r="BO50" s="2168"/>
      <c r="BP50" s="2168"/>
      <c r="BQ50" s="1895"/>
      <c r="BR50" s="2139"/>
    </row>
    <row r="51" customHeight="1" spans="2:70">
      <c r="B51" s="1920" t="s">
        <v>58</v>
      </c>
      <c r="C51" s="1921"/>
      <c r="D51" s="1902" t="str">
        <f>IF(ISTEXT(IFERROR(VLOOKUP(人物卡!F51,人物卡!BJ53:BR57,1,FALSE),IFERROR(VLOOKUP(人物卡!F51,BA53:BI57,1,FALSE),0))),"★",INDEX(本职技能!$A$2:$NE$105,MATCH(人物卡!F51,本职技能!$A$2:$A$105,0),MATCH(人物卡!$M$5,本职技能!$A$1:$NE$1,0)))</f>
        <v/>
      </c>
      <c r="E51" s="1903"/>
      <c r="F51" s="1921" t="s">
        <v>168</v>
      </c>
      <c r="G51" s="1921"/>
      <c r="H51" s="1921"/>
      <c r="I51" s="1921"/>
      <c r="J51" s="1921">
        <v>10</v>
      </c>
      <c r="K51" s="1921"/>
      <c r="L51" s="1980"/>
      <c r="M51" s="1980"/>
      <c r="N51" s="1981"/>
      <c r="O51" s="1981"/>
      <c r="P51" s="1983"/>
      <c r="Q51" s="1983"/>
      <c r="R51" s="2042">
        <f t="shared" si="6"/>
        <v>10</v>
      </c>
      <c r="S51" s="2042"/>
      <c r="T51" s="2042">
        <f t="shared" si="1"/>
        <v>5</v>
      </c>
      <c r="U51" s="2042"/>
      <c r="V51" s="2042">
        <f t="shared" si="2"/>
        <v>2</v>
      </c>
      <c r="W51" s="2043"/>
      <c r="X51" s="2041" t="s">
        <v>58</v>
      </c>
      <c r="Y51" s="1921"/>
      <c r="Z51" s="1902" t="str">
        <f>IF(ISTEXT(IFERROR(VLOOKUP(人物卡!AB51,人物卡!BJ53:BR57,1,FALSE),IFERROR(VLOOKUP(人物卡!AB51,人物卡!BA53:BC57,1,FALSE),0))),"★",INDEX(本职技能!$A$2:$NE$105,MATCH(人物卡!AB51,本职技能!$A$2:$A$105,0),MATCH(人物卡!$M$5,本职技能!$A$1:$NE$1,0)))</f>
        <v/>
      </c>
      <c r="AA51" s="1903"/>
      <c r="AB51" s="1918" t="s">
        <v>169</v>
      </c>
      <c r="AC51" s="1918"/>
      <c r="AD51" s="1923"/>
      <c r="AE51" s="1923"/>
      <c r="AF51" s="1921">
        <v>5</v>
      </c>
      <c r="AG51" s="1921"/>
      <c r="AH51" s="2108"/>
      <c r="AI51" s="2108"/>
      <c r="AJ51" s="1981"/>
      <c r="AK51" s="1981"/>
      <c r="AL51" s="1983"/>
      <c r="AM51" s="1983"/>
      <c r="AN51" s="2042">
        <f t="shared" si="3"/>
        <v>5</v>
      </c>
      <c r="AO51" s="2042"/>
      <c r="AP51" s="2042">
        <f t="shared" si="4"/>
        <v>2</v>
      </c>
      <c r="AQ51" s="2042"/>
      <c r="AR51" s="2042">
        <f t="shared" si="5"/>
        <v>1</v>
      </c>
      <c r="AS51" s="2166"/>
      <c r="AT51" s="1846"/>
      <c r="AU51" s="2169" t="s">
        <v>170</v>
      </c>
      <c r="AV51" s="2170"/>
      <c r="AW51" s="2170"/>
      <c r="AX51" s="2170"/>
      <c r="AY51" s="2170"/>
      <c r="AZ51" s="2170"/>
      <c r="BA51" s="2170"/>
      <c r="BB51" s="2170"/>
      <c r="BC51" s="2170"/>
      <c r="BD51" s="2170"/>
      <c r="BE51" s="2229" t="s">
        <v>171</v>
      </c>
      <c r="BF51" s="2230" t="s">
        <v>172</v>
      </c>
      <c r="BG51" s="2170" t="s">
        <v>170</v>
      </c>
      <c r="BH51" s="2170"/>
      <c r="BI51" s="2170"/>
      <c r="BJ51" s="2170"/>
      <c r="BK51" s="2170"/>
      <c r="BL51" s="2170"/>
      <c r="BM51" s="2170"/>
      <c r="BN51" s="2170"/>
      <c r="BO51" s="2170"/>
      <c r="BP51" s="2170"/>
      <c r="BQ51" s="2229" t="s">
        <v>171</v>
      </c>
      <c r="BR51" s="2230" t="s">
        <v>172</v>
      </c>
    </row>
    <row r="52" customHeight="1" spans="1:70">
      <c r="A52" s="1922"/>
      <c r="B52" s="1920" t="s">
        <v>58</v>
      </c>
      <c r="C52" s="1921"/>
      <c r="D52" s="1902" t="str">
        <f>IF(ISTEXT(IFERROR(VLOOKUP(人物卡!F52,人物卡!BJ54:BR58,1,FALSE),IFERROR(VLOOKUP(人物卡!F52,BA54:BI58,1,FALSE),0))),"★",INDEX(本职技能!$A$2:$NE$105,MATCH(人物卡!F52,本职技能!$A$2:$A$105,0),MATCH(人物卡!$M$5,本职技能!$A$1:$NE$1,0)))</f>
        <v/>
      </c>
      <c r="E52" s="1903"/>
      <c r="F52" s="1918" t="s">
        <v>173</v>
      </c>
      <c r="G52" s="1918"/>
      <c r="H52" s="1923"/>
      <c r="I52" s="1923"/>
      <c r="J52" s="1921">
        <v>5</v>
      </c>
      <c r="K52" s="1921"/>
      <c r="L52" s="1980"/>
      <c r="M52" s="1980"/>
      <c r="N52" s="1981"/>
      <c r="O52" s="1981"/>
      <c r="P52" s="1983"/>
      <c r="Q52" s="1983"/>
      <c r="R52" s="2042">
        <f t="shared" si="6"/>
        <v>5</v>
      </c>
      <c r="S52" s="2042"/>
      <c r="T52" s="2042">
        <f t="shared" si="1"/>
        <v>2</v>
      </c>
      <c r="U52" s="2042"/>
      <c r="V52" s="2042">
        <f t="shared" si="2"/>
        <v>1</v>
      </c>
      <c r="W52" s="2043"/>
      <c r="X52" s="2041" t="s">
        <v>58</v>
      </c>
      <c r="Y52" s="1921"/>
      <c r="Z52" s="1902" t="str">
        <f>IF(ISTEXT(IFERROR(VLOOKUP(人物卡!AB52,人物卡!BJ54:BR58,1,FALSE),IFERROR(VLOOKUP(人物卡!AB52,人物卡!BA54:BC58,1,FALSE),0))),"★",INDEX(本职技能!$A$2:$NE$105,MATCH(人物卡!AB52,本职技能!$A$2:$A$105,0),MATCH(人物卡!$M$5,本职技能!$A$1:$NE$1,0)))</f>
        <v/>
      </c>
      <c r="AA52" s="1903"/>
      <c r="AB52" s="1918" t="s">
        <v>174</v>
      </c>
      <c r="AC52" s="1918"/>
      <c r="AD52" s="1919"/>
      <c r="AE52" s="1919"/>
      <c r="AF52" s="1921">
        <v>25</v>
      </c>
      <c r="AG52" s="1921"/>
      <c r="AH52" s="2108"/>
      <c r="AI52" s="2108"/>
      <c r="AJ52" s="1981"/>
      <c r="AK52" s="1981"/>
      <c r="AL52" s="1983"/>
      <c r="AM52" s="1983"/>
      <c r="AN52" s="2042">
        <f t="shared" si="3"/>
        <v>25</v>
      </c>
      <c r="AO52" s="2042"/>
      <c r="AP52" s="2042">
        <f t="shared" si="4"/>
        <v>12</v>
      </c>
      <c r="AQ52" s="2042"/>
      <c r="AR52" s="2042">
        <f t="shared" si="5"/>
        <v>5</v>
      </c>
      <c r="AS52" s="2166"/>
      <c r="AT52" s="1846"/>
      <c r="AU52" s="2171"/>
      <c r="AV52" s="2163"/>
      <c r="AW52" s="2163"/>
      <c r="AX52" s="2163"/>
      <c r="AY52" s="2163"/>
      <c r="AZ52" s="2163"/>
      <c r="BA52" s="2163"/>
      <c r="BB52" s="2163"/>
      <c r="BC52" s="2163"/>
      <c r="BD52" s="2163"/>
      <c r="BE52" s="2231"/>
      <c r="BF52" s="2232"/>
      <c r="BG52" s="2163"/>
      <c r="BH52" s="2163"/>
      <c r="BI52" s="2163"/>
      <c r="BJ52" s="2163"/>
      <c r="BK52" s="2163"/>
      <c r="BL52" s="2163"/>
      <c r="BM52" s="2163"/>
      <c r="BN52" s="2163"/>
      <c r="BO52" s="2163"/>
      <c r="BP52" s="2163"/>
      <c r="BQ52" s="2231"/>
      <c r="BR52" s="2232"/>
    </row>
    <row r="53" customHeight="1" spans="2:70">
      <c r="B53" s="1916" t="s">
        <v>58</v>
      </c>
      <c r="C53" s="1917"/>
      <c r="D53" s="1902" t="str">
        <f>IF(ISTEXT(IFERROR(VLOOKUP(人物卡!F53,人物卡!BJ55:BR59,1,FALSE),IFERROR(VLOOKUP(人物卡!F53,BA55:BI59,1,FALSE),0))),"★",INDEX(本职技能!$A$2:$NE$105,MATCH(人物卡!F53,本职技能!$A$2:$A$105,0),MATCH(人物卡!$M$5,本职技能!$A$1:$NE$1,0)))</f>
        <v/>
      </c>
      <c r="E53" s="1903"/>
      <c r="F53" s="1918" t="s">
        <v>175</v>
      </c>
      <c r="G53" s="1918"/>
      <c r="H53" s="1924"/>
      <c r="I53" s="1924"/>
      <c r="J53" s="1921">
        <v>5</v>
      </c>
      <c r="K53" s="1921"/>
      <c r="L53" s="1980"/>
      <c r="M53" s="1980"/>
      <c r="N53" s="1981"/>
      <c r="O53" s="1981"/>
      <c r="P53" s="1982"/>
      <c r="Q53" s="1982"/>
      <c r="R53" s="2042">
        <f t="shared" si="6"/>
        <v>5</v>
      </c>
      <c r="S53" s="2042"/>
      <c r="T53" s="2042">
        <f t="shared" si="1"/>
        <v>2</v>
      </c>
      <c r="U53" s="2042"/>
      <c r="V53" s="2042">
        <f t="shared" si="2"/>
        <v>1</v>
      </c>
      <c r="W53" s="2043"/>
      <c r="X53" s="2041" t="s">
        <v>58</v>
      </c>
      <c r="Y53" s="1921"/>
      <c r="Z53" s="1902" t="str">
        <f>IF(ISTEXT(IFERROR(VLOOKUP(人物卡!AB53,人物卡!BJ55:BR59,1,FALSE),IFERROR(VLOOKUP(人物卡!AB53,人物卡!BA55:BC59,1,FALSE),0))),"★",INDEX(本职技能!$A$2:$NE$105,MATCH(人物卡!AB53,本职技能!$A$2:$A$105,0),MATCH(人物卡!$M$5,本职技能!$A$1:$NE$1,0)))</f>
        <v/>
      </c>
      <c r="AA53" s="1903"/>
      <c r="AB53" s="1921" t="s">
        <v>176</v>
      </c>
      <c r="AC53" s="1921"/>
      <c r="AD53" s="1921"/>
      <c r="AE53" s="1921"/>
      <c r="AF53" s="1921">
        <v>15</v>
      </c>
      <c r="AG53" s="1921"/>
      <c r="AH53" s="2108"/>
      <c r="AI53" s="2108"/>
      <c r="AJ53" s="1981"/>
      <c r="AK53" s="1981"/>
      <c r="AL53" s="1983"/>
      <c r="AM53" s="1983"/>
      <c r="AN53" s="2042">
        <f t="shared" si="3"/>
        <v>15</v>
      </c>
      <c r="AO53" s="2042"/>
      <c r="AP53" s="2042">
        <f t="shared" si="4"/>
        <v>7</v>
      </c>
      <c r="AQ53" s="2042"/>
      <c r="AR53" s="2042">
        <f t="shared" si="5"/>
        <v>3</v>
      </c>
      <c r="AS53" s="2166"/>
      <c r="AT53" s="1846"/>
      <c r="AU53" s="2172"/>
      <c r="AV53" s="2173"/>
      <c r="AW53" s="2173"/>
      <c r="AX53" s="2173"/>
      <c r="AY53" s="2173"/>
      <c r="AZ53" s="2173"/>
      <c r="BA53" s="2173"/>
      <c r="BB53" s="2173"/>
      <c r="BC53" s="2173"/>
      <c r="BD53" s="2216"/>
      <c r="BE53" s="2233"/>
      <c r="BF53" s="2234"/>
      <c r="BG53" s="2172"/>
      <c r="BH53" s="2173"/>
      <c r="BI53" s="2173"/>
      <c r="BJ53" s="2173"/>
      <c r="BK53" s="2173"/>
      <c r="BL53" s="2173"/>
      <c r="BM53" s="2173"/>
      <c r="BN53" s="2173"/>
      <c r="BO53" s="2173"/>
      <c r="BP53" s="2216"/>
      <c r="BQ53" s="2252"/>
      <c r="BR53" s="2253"/>
    </row>
    <row r="54" customHeight="1" spans="2:70">
      <c r="B54" s="1920" t="s">
        <v>58</v>
      </c>
      <c r="C54" s="1921"/>
      <c r="D54" s="1902" t="str">
        <f>IF(ISTEXT(IFERROR(VLOOKUP(人物卡!F54,人物卡!BJ56:BR60,1,FALSE),IFERROR(VLOOKUP(人物卡!F54,BA56:BI60,1,FALSE),0))),"★",INDEX(本职技能!$A$2:$NE$105,MATCH(人物卡!F54,本职技能!$A$2:$A$105,0),MATCH(人物卡!$M$5,本职技能!$A$1:$NE$1,0)))</f>
        <v/>
      </c>
      <c r="E54" s="1903"/>
      <c r="F54" s="1918" t="s">
        <v>177</v>
      </c>
      <c r="G54" s="1918"/>
      <c r="H54" s="1924"/>
      <c r="I54" s="1924"/>
      <c r="J54" s="1921">
        <v>5</v>
      </c>
      <c r="K54" s="1921"/>
      <c r="L54" s="1980"/>
      <c r="M54" s="1980"/>
      <c r="N54" s="1981"/>
      <c r="O54" s="1981"/>
      <c r="P54" s="1982"/>
      <c r="Q54" s="1982"/>
      <c r="R54" s="2042">
        <f t="shared" si="6"/>
        <v>5</v>
      </c>
      <c r="S54" s="2042"/>
      <c r="T54" s="2042">
        <f t="shared" si="1"/>
        <v>2</v>
      </c>
      <c r="U54" s="2042"/>
      <c r="V54" s="2042">
        <f t="shared" si="2"/>
        <v>1</v>
      </c>
      <c r="W54" s="2043"/>
      <c r="X54" s="2041" t="s">
        <v>58</v>
      </c>
      <c r="Y54" s="1921"/>
      <c r="Z54" s="1902" t="str">
        <f>IF(ISTEXT(IFERROR(VLOOKUP(人物卡!AB54,人物卡!BJ56:BR60,1,FALSE),IFERROR(VLOOKUP(人物卡!AB54,人物卡!BA56:BC60,1,FALSE),0))),"★",INDEX(本职技能!$A$2:$NE$105,MATCH(人物卡!AB54,本职技能!$A$2:$A$105,0),MATCH(人物卡!$M$5,本职技能!$A$1:$NE$1,0)))</f>
        <v/>
      </c>
      <c r="AA54" s="1903"/>
      <c r="AB54" s="1921" t="s">
        <v>178</v>
      </c>
      <c r="AC54" s="1921"/>
      <c r="AD54" s="1921"/>
      <c r="AE54" s="1921"/>
      <c r="AF54" s="1921">
        <v>15</v>
      </c>
      <c r="AG54" s="1921"/>
      <c r="AH54" s="2108"/>
      <c r="AI54" s="2108"/>
      <c r="AJ54" s="1981"/>
      <c r="AK54" s="1981"/>
      <c r="AL54" s="1983"/>
      <c r="AM54" s="1983"/>
      <c r="AN54" s="2042">
        <f t="shared" si="3"/>
        <v>15</v>
      </c>
      <c r="AO54" s="2042"/>
      <c r="AP54" s="2042">
        <f t="shared" si="4"/>
        <v>7</v>
      </c>
      <c r="AQ54" s="2042"/>
      <c r="AR54" s="2042">
        <f t="shared" si="5"/>
        <v>3</v>
      </c>
      <c r="AS54" s="2166"/>
      <c r="AT54" s="1846"/>
      <c r="AU54" s="2174"/>
      <c r="AV54" s="2175"/>
      <c r="AW54" s="2175"/>
      <c r="AX54" s="2175"/>
      <c r="AY54" s="2175"/>
      <c r="AZ54" s="2175"/>
      <c r="BA54" s="2175"/>
      <c r="BB54" s="2175"/>
      <c r="BC54" s="2175"/>
      <c r="BD54" s="2217"/>
      <c r="BE54" s="2235"/>
      <c r="BF54" s="2236"/>
      <c r="BG54" s="2174"/>
      <c r="BH54" s="2175"/>
      <c r="BI54" s="2175"/>
      <c r="BJ54" s="2175"/>
      <c r="BK54" s="2175"/>
      <c r="BL54" s="2175"/>
      <c r="BM54" s="2175"/>
      <c r="BN54" s="2175"/>
      <c r="BO54" s="2175"/>
      <c r="BP54" s="2217"/>
      <c r="BQ54" s="2254"/>
      <c r="BR54" s="2255"/>
    </row>
    <row r="55" customHeight="1" spans="2:70">
      <c r="B55" s="1916" t="s">
        <v>58</v>
      </c>
      <c r="C55" s="1917"/>
      <c r="D55" s="1902" t="s">
        <v>74</v>
      </c>
      <c r="E55" s="1903"/>
      <c r="F55" s="1918" t="s">
        <v>179</v>
      </c>
      <c r="G55" s="1918"/>
      <c r="H55" s="1925" t="s">
        <v>180</v>
      </c>
      <c r="I55" s="1925"/>
      <c r="J55" s="1921">
        <v>1</v>
      </c>
      <c r="K55" s="1921"/>
      <c r="L55" s="1980"/>
      <c r="M55" s="1980"/>
      <c r="N55" s="1981"/>
      <c r="O55" s="1981"/>
      <c r="P55" s="1984" t="s">
        <v>76</v>
      </c>
      <c r="Q55" s="1984"/>
      <c r="R55" s="2042">
        <f t="shared" si="6"/>
        <v>1</v>
      </c>
      <c r="S55" s="2042"/>
      <c r="T55" s="2042">
        <f t="shared" si="1"/>
        <v>0</v>
      </c>
      <c r="U55" s="2042"/>
      <c r="V55" s="2042">
        <f t="shared" si="2"/>
        <v>0</v>
      </c>
      <c r="W55" s="2043"/>
      <c r="X55" s="2041" t="s">
        <v>58</v>
      </c>
      <c r="Y55" s="1921"/>
      <c r="Z55" s="1902" t="str">
        <f>IF(ISTEXT(IFERROR(VLOOKUP(人物卡!AB55,人物卡!BJ57:BR61,1,FALSE),IFERROR(VLOOKUP(人物卡!AB55,人物卡!BA57:BC61,1,FALSE),0))),"★",INDEX(本职技能!$A$2:$NE$105,MATCH(人物卡!AB55,本职技能!$A$2:$A$105,0),MATCH(人物卡!$M$5,本职技能!$A$1:$NE$1,0)))</f>
        <v/>
      </c>
      <c r="AA55" s="1903"/>
      <c r="AB55" s="1921" t="s">
        <v>181</v>
      </c>
      <c r="AC55" s="1921"/>
      <c r="AD55" s="1921"/>
      <c r="AE55" s="1921"/>
      <c r="AF55" s="1921">
        <v>10</v>
      </c>
      <c r="AG55" s="1921"/>
      <c r="AH55" s="2108"/>
      <c r="AI55" s="2108"/>
      <c r="AJ55" s="1981"/>
      <c r="AK55" s="1981"/>
      <c r="AL55" s="1983"/>
      <c r="AM55" s="1983"/>
      <c r="AN55" s="2042">
        <f t="shared" si="3"/>
        <v>10</v>
      </c>
      <c r="AO55" s="2042"/>
      <c r="AP55" s="2042">
        <f t="shared" si="4"/>
        <v>5</v>
      </c>
      <c r="AQ55" s="2042"/>
      <c r="AR55" s="2042">
        <f t="shared" si="5"/>
        <v>2</v>
      </c>
      <c r="AS55" s="2166"/>
      <c r="AT55" s="1846"/>
      <c r="AU55" s="2176"/>
      <c r="AV55" s="2177"/>
      <c r="AW55" s="2177"/>
      <c r="AX55" s="2177"/>
      <c r="AY55" s="2177"/>
      <c r="AZ55" s="2177"/>
      <c r="BA55" s="2177"/>
      <c r="BB55" s="2177"/>
      <c r="BC55" s="2177"/>
      <c r="BD55" s="2218"/>
      <c r="BE55" s="2237"/>
      <c r="BF55" s="2238"/>
      <c r="BG55" s="2172"/>
      <c r="BH55" s="2173"/>
      <c r="BI55" s="2173"/>
      <c r="BJ55" s="2173"/>
      <c r="BK55" s="2173"/>
      <c r="BL55" s="2173"/>
      <c r="BM55" s="2173"/>
      <c r="BN55" s="2173"/>
      <c r="BO55" s="2173"/>
      <c r="BP55" s="2216"/>
      <c r="BQ55" s="2252"/>
      <c r="BR55" s="2253"/>
    </row>
    <row r="56" customHeight="1" spans="2:70">
      <c r="B56" s="1926" t="s">
        <v>58</v>
      </c>
      <c r="C56" s="1927"/>
      <c r="D56" s="1928" t="s">
        <v>74</v>
      </c>
      <c r="E56" s="1929"/>
      <c r="F56" s="1930" t="s">
        <v>182</v>
      </c>
      <c r="G56" s="1930"/>
      <c r="H56" s="1930"/>
      <c r="I56" s="1930"/>
      <c r="J56" s="1985">
        <f>$AG$3/5</f>
        <v>0</v>
      </c>
      <c r="K56" s="1985"/>
      <c r="L56" s="1986"/>
      <c r="M56" s="1986"/>
      <c r="N56" s="1987" t="s">
        <v>76</v>
      </c>
      <c r="O56" s="1987"/>
      <c r="P56" s="1988" t="s">
        <v>76</v>
      </c>
      <c r="Q56" s="1988"/>
      <c r="R56" s="2044">
        <f t="shared" si="6"/>
        <v>0</v>
      </c>
      <c r="S56" s="2044"/>
      <c r="T56" s="2044">
        <f t="shared" si="1"/>
        <v>0</v>
      </c>
      <c r="U56" s="2044"/>
      <c r="V56" s="2044">
        <f t="shared" si="2"/>
        <v>0</v>
      </c>
      <c r="W56" s="2045"/>
      <c r="X56" s="2046" t="s">
        <v>58</v>
      </c>
      <c r="Y56" s="1985"/>
      <c r="Z56" s="1928" t="s">
        <v>74</v>
      </c>
      <c r="AA56" s="1929"/>
      <c r="AB56" s="1930" t="s">
        <v>183</v>
      </c>
      <c r="AC56" s="1930"/>
      <c r="AD56" s="1930"/>
      <c r="AE56" s="1930"/>
      <c r="AF56" s="1985">
        <f>$R$27/2</f>
        <v>0</v>
      </c>
      <c r="AG56" s="1985"/>
      <c r="AH56" s="2109"/>
      <c r="AI56" s="2109"/>
      <c r="AJ56" s="1987" t="s">
        <v>76</v>
      </c>
      <c r="AK56" s="1987"/>
      <c r="AL56" s="2110" t="s">
        <v>76</v>
      </c>
      <c r="AM56" s="2110"/>
      <c r="AN56" s="2044">
        <f t="shared" si="3"/>
        <v>0</v>
      </c>
      <c r="AO56" s="2044"/>
      <c r="AP56" s="2044">
        <f t="shared" si="4"/>
        <v>0</v>
      </c>
      <c r="AQ56" s="2044"/>
      <c r="AR56" s="2044">
        <f t="shared" si="5"/>
        <v>0</v>
      </c>
      <c r="AS56" s="2178"/>
      <c r="AT56" s="1846"/>
      <c r="AU56" s="2174"/>
      <c r="AV56" s="2175"/>
      <c r="AW56" s="2175"/>
      <c r="AX56" s="2175"/>
      <c r="AY56" s="2175"/>
      <c r="AZ56" s="2175"/>
      <c r="BA56" s="2175"/>
      <c r="BB56" s="2175"/>
      <c r="BC56" s="2175"/>
      <c r="BD56" s="2217"/>
      <c r="BE56" s="2239"/>
      <c r="BF56" s="2240"/>
      <c r="BG56" s="2174"/>
      <c r="BH56" s="2175"/>
      <c r="BI56" s="2175"/>
      <c r="BJ56" s="2175"/>
      <c r="BK56" s="2175"/>
      <c r="BL56" s="2175"/>
      <c r="BM56" s="2175"/>
      <c r="BN56" s="2175"/>
      <c r="BO56" s="2175"/>
      <c r="BP56" s="2217"/>
      <c r="BQ56" s="2254"/>
      <c r="BR56" s="2255"/>
    </row>
    <row r="57" customHeight="1" spans="2:70">
      <c r="B57" s="1931" t="s">
        <v>58</v>
      </c>
      <c r="C57" s="1932"/>
      <c r="D57" s="1933" t="str">
        <f>IF(ISTEXT(IFERROR(VLOOKUP(人物卡!F57,人物卡!BJ59:BR63,1,FALSE),IFERROR(VLOOKUP(人物卡!F57,BA59:BI63,1,FALSE),0))),"★",INDEX(本职技能!$A$2:$NE$105,MATCH(人物卡!F57,本职技能!$A$2:$A$105,0),MATCH(人物卡!$M$5,本职技能!$A$1:$NE$1,0)))</f>
        <v/>
      </c>
      <c r="E57" s="1934"/>
      <c r="F57" s="1935" t="s">
        <v>184</v>
      </c>
      <c r="G57" s="1935"/>
      <c r="H57" s="1935"/>
      <c r="I57" s="1935"/>
      <c r="J57" s="1989"/>
      <c r="K57" s="1989"/>
      <c r="L57" s="1989"/>
      <c r="M57" s="1989"/>
      <c r="N57" s="1990"/>
      <c r="O57" s="1990"/>
      <c r="P57" s="1991"/>
      <c r="Q57" s="1991"/>
      <c r="R57" s="2047">
        <f t="shared" si="6"/>
        <v>0</v>
      </c>
      <c r="S57" s="2047"/>
      <c r="T57" s="2047">
        <f t="shared" si="1"/>
        <v>0</v>
      </c>
      <c r="U57" s="2047"/>
      <c r="V57" s="2047">
        <f t="shared" si="2"/>
        <v>0</v>
      </c>
      <c r="W57" s="2048"/>
      <c r="X57" s="2049" t="s">
        <v>58</v>
      </c>
      <c r="Y57" s="1932"/>
      <c r="Z57" s="1933" t="str">
        <f>IF(ISTEXT(IFERROR(VLOOKUP(人物卡!AB57,人物卡!BJ59:BR63,1,FALSE),IFERROR(VLOOKUP(人物卡!AB57,人物卡!BA59:BC63,1,FALSE),0))),"★",INDEX(本职技能!$A$2:$NE$105,MATCH(人物卡!AB57,本职技能!$A$2:$A$105,0),MATCH(人物卡!$M$5,本职技能!$A$1:$NE$1,0)))</f>
        <v/>
      </c>
      <c r="AA57" s="1934"/>
      <c r="AB57" s="1935" t="s">
        <v>185</v>
      </c>
      <c r="AC57" s="1935"/>
      <c r="AD57" s="1935"/>
      <c r="AE57" s="1935"/>
      <c r="AF57" s="1989"/>
      <c r="AG57" s="1989"/>
      <c r="AH57" s="2111"/>
      <c r="AI57" s="2111"/>
      <c r="AJ57" s="1990"/>
      <c r="AK57" s="1990"/>
      <c r="AL57" s="1991"/>
      <c r="AM57" s="1991"/>
      <c r="AN57" s="2047">
        <f t="shared" si="3"/>
        <v>0</v>
      </c>
      <c r="AO57" s="2047"/>
      <c r="AP57" s="2047">
        <f t="shared" si="4"/>
        <v>0</v>
      </c>
      <c r="AQ57" s="2047"/>
      <c r="AR57" s="2047">
        <f t="shared" si="5"/>
        <v>0</v>
      </c>
      <c r="AS57" s="2048"/>
      <c r="AU57" s="2172"/>
      <c r="AV57" s="2173"/>
      <c r="AW57" s="2173"/>
      <c r="AX57" s="2173"/>
      <c r="AY57" s="2173"/>
      <c r="AZ57" s="2173"/>
      <c r="BA57" s="2173"/>
      <c r="BB57" s="2173"/>
      <c r="BC57" s="2173"/>
      <c r="BD57" s="2216"/>
      <c r="BE57" s="2241"/>
      <c r="BF57" s="2242"/>
      <c r="BG57" s="2172"/>
      <c r="BH57" s="2173"/>
      <c r="BI57" s="2173"/>
      <c r="BJ57" s="2173"/>
      <c r="BK57" s="2173"/>
      <c r="BL57" s="2173"/>
      <c r="BM57" s="2173"/>
      <c r="BN57" s="2173"/>
      <c r="BO57" s="2173"/>
      <c r="BP57" s="2216"/>
      <c r="BQ57" s="2252"/>
      <c r="BR57" s="2253"/>
    </row>
    <row r="58" customHeight="1" spans="2:70">
      <c r="B58" s="1936" t="s">
        <v>58</v>
      </c>
      <c r="C58" s="1904"/>
      <c r="D58" s="1902" t="str">
        <f>IF(ISTEXT(IFERROR(VLOOKUP(人物卡!F58,人物卡!BJ60:BR64,1,FALSE),IFERROR(VLOOKUP(人物卡!F58,BA60:BI64,1,FALSE),0))),"★",INDEX(本职技能!$A$2:$NE$105,MATCH(人物卡!F58,本职技能!$A$2:$A$105,0),MATCH(人物卡!$M$5,本职技能!$A$1:$NE$1,0)))</f>
        <v/>
      </c>
      <c r="E58" s="1903"/>
      <c r="F58" s="1937" t="s">
        <v>186</v>
      </c>
      <c r="G58" s="1937"/>
      <c r="H58" s="1937"/>
      <c r="I58" s="1937"/>
      <c r="J58" s="1969"/>
      <c r="K58" s="1969"/>
      <c r="L58" s="1969"/>
      <c r="M58" s="1969"/>
      <c r="N58" s="1970"/>
      <c r="O58" s="1970"/>
      <c r="P58" s="1992"/>
      <c r="Q58" s="1992"/>
      <c r="R58" s="2036">
        <f t="shared" si="6"/>
        <v>0</v>
      </c>
      <c r="S58" s="2036"/>
      <c r="T58" s="2036">
        <f t="shared" si="1"/>
        <v>0</v>
      </c>
      <c r="U58" s="2036"/>
      <c r="V58" s="2036">
        <f t="shared" si="2"/>
        <v>0</v>
      </c>
      <c r="W58" s="2050"/>
      <c r="X58" s="2038" t="s">
        <v>58</v>
      </c>
      <c r="Y58" s="1904"/>
      <c r="Z58" s="1902" t="str">
        <f>IF(ISTEXT(IFERROR(VLOOKUP(人物卡!AB58,人物卡!BJ60:BR64,1,FALSE),IFERROR(VLOOKUP(人物卡!AB58,人物卡!BA60:BC64,1,FALSE),0))),"★",INDEX(本职技能!$A$2:$NE$105,MATCH(人物卡!AB58,本职技能!$A$2:$A$105,0),MATCH(人物卡!$M$5,本职技能!$A$1:$NE$1,0)))</f>
        <v/>
      </c>
      <c r="AA58" s="1903"/>
      <c r="AB58" s="1937" t="s">
        <v>187</v>
      </c>
      <c r="AC58" s="1937"/>
      <c r="AD58" s="1937"/>
      <c r="AE58" s="1937"/>
      <c r="AF58" s="1969"/>
      <c r="AG58" s="1969"/>
      <c r="AH58" s="2107"/>
      <c r="AI58" s="2107"/>
      <c r="AJ58" s="1970"/>
      <c r="AK58" s="1970"/>
      <c r="AL58" s="1992"/>
      <c r="AM58" s="1992"/>
      <c r="AN58" s="2036">
        <f t="shared" si="3"/>
        <v>0</v>
      </c>
      <c r="AO58" s="2036"/>
      <c r="AP58" s="2036">
        <f t="shared" si="4"/>
        <v>0</v>
      </c>
      <c r="AQ58" s="2036"/>
      <c r="AR58" s="2036">
        <f t="shared" si="5"/>
        <v>0</v>
      </c>
      <c r="AS58" s="2050"/>
      <c r="AU58" s="2174"/>
      <c r="AV58" s="2175"/>
      <c r="AW58" s="2175"/>
      <c r="AX58" s="2175"/>
      <c r="AY58" s="2175"/>
      <c r="AZ58" s="2175"/>
      <c r="BA58" s="2175"/>
      <c r="BB58" s="2175"/>
      <c r="BC58" s="2175"/>
      <c r="BD58" s="2217"/>
      <c r="BE58" s="2239"/>
      <c r="BF58" s="2240"/>
      <c r="BG58" s="2174"/>
      <c r="BH58" s="2175"/>
      <c r="BI58" s="2175"/>
      <c r="BJ58" s="2175"/>
      <c r="BK58" s="2175"/>
      <c r="BL58" s="2175"/>
      <c r="BM58" s="2175"/>
      <c r="BN58" s="2175"/>
      <c r="BO58" s="2175"/>
      <c r="BP58" s="2217"/>
      <c r="BQ58" s="2254"/>
      <c r="BR58" s="2255"/>
    </row>
    <row r="59" customHeight="1" spans="2:70">
      <c r="B59" s="1936" t="s">
        <v>58</v>
      </c>
      <c r="C59" s="1904"/>
      <c r="D59" s="1902" t="str">
        <f>IF(ISTEXT(IFERROR(VLOOKUP(人物卡!F59,人物卡!BJ61:BR65,1,FALSE),IFERROR(VLOOKUP(人物卡!F59,BA61:BI65,1,FALSE),0))),"★",INDEX(本职技能!$A$2:$NE$105,MATCH(人物卡!F59,本职技能!$A$2:$A$105,0),MATCH(人物卡!$M$5,本职技能!$A$1:$NE$1,0)))</f>
        <v/>
      </c>
      <c r="E59" s="1903"/>
      <c r="F59" s="1937" t="s">
        <v>188</v>
      </c>
      <c r="G59" s="1937"/>
      <c r="H59" s="1937"/>
      <c r="I59" s="1937"/>
      <c r="J59" s="1969"/>
      <c r="K59" s="1969"/>
      <c r="L59" s="1969"/>
      <c r="M59" s="1969"/>
      <c r="N59" s="1970"/>
      <c r="O59" s="1970"/>
      <c r="P59" s="1992"/>
      <c r="Q59" s="1992"/>
      <c r="R59" s="2036">
        <f t="shared" si="6"/>
        <v>0</v>
      </c>
      <c r="S59" s="2036"/>
      <c r="T59" s="2036">
        <f t="shared" si="1"/>
        <v>0</v>
      </c>
      <c r="U59" s="2036"/>
      <c r="V59" s="2036">
        <f t="shared" si="2"/>
        <v>0</v>
      </c>
      <c r="W59" s="2050"/>
      <c r="X59" s="2038" t="s">
        <v>58</v>
      </c>
      <c r="Y59" s="1904"/>
      <c r="Z59" s="1902" t="str">
        <f>IF(ISTEXT(IFERROR(VLOOKUP(人物卡!AB59,人物卡!BJ61:BR65,1,FALSE),IFERROR(VLOOKUP(人物卡!AB59,人物卡!BA61:BC65,1,FALSE),0))),"★",INDEX(本职技能!$A$2:$NE$105,MATCH(人物卡!AB59,本职技能!$A$2:$A$105,0),MATCH(人物卡!$M$5,本职技能!$A$1:$NE$1,0)))</f>
        <v/>
      </c>
      <c r="AA59" s="1903"/>
      <c r="AB59" s="1937" t="s">
        <v>189</v>
      </c>
      <c r="AC59" s="1937"/>
      <c r="AD59" s="1937"/>
      <c r="AE59" s="1937"/>
      <c r="AF59" s="1969"/>
      <c r="AG59" s="1969"/>
      <c r="AH59" s="2107"/>
      <c r="AI59" s="2107"/>
      <c r="AJ59" s="1970"/>
      <c r="AK59" s="1970"/>
      <c r="AL59" s="1992"/>
      <c r="AM59" s="1992"/>
      <c r="AN59" s="2036">
        <f t="shared" si="3"/>
        <v>0</v>
      </c>
      <c r="AO59" s="2036"/>
      <c r="AP59" s="2036">
        <f t="shared" si="4"/>
        <v>0</v>
      </c>
      <c r="AQ59" s="2036"/>
      <c r="AR59" s="2036">
        <f t="shared" si="5"/>
        <v>0</v>
      </c>
      <c r="AS59" s="2050"/>
      <c r="AU59" s="2172"/>
      <c r="AV59" s="2173"/>
      <c r="AW59" s="2173"/>
      <c r="AX59" s="2173"/>
      <c r="AY59" s="2173"/>
      <c r="AZ59" s="2173"/>
      <c r="BA59" s="2173"/>
      <c r="BB59" s="2173"/>
      <c r="BC59" s="2173"/>
      <c r="BD59" s="2216"/>
      <c r="BE59" s="2241"/>
      <c r="BF59" s="2242"/>
      <c r="BG59" s="2172"/>
      <c r="BH59" s="2173"/>
      <c r="BI59" s="2173"/>
      <c r="BJ59" s="2173"/>
      <c r="BK59" s="2173"/>
      <c r="BL59" s="2173"/>
      <c r="BM59" s="2173"/>
      <c r="BN59" s="2173"/>
      <c r="BO59" s="2173"/>
      <c r="BP59" s="2216"/>
      <c r="BQ59" s="2252"/>
      <c r="BR59" s="2253"/>
    </row>
    <row r="60" customHeight="1" spans="2:70">
      <c r="B60" s="1936" t="s">
        <v>58</v>
      </c>
      <c r="C60" s="1904"/>
      <c r="D60" s="1902" t="str">
        <f>IF(ISTEXT(IFERROR(VLOOKUP(人物卡!F60,人物卡!BJ62:BR66,1,FALSE),IFERROR(VLOOKUP(人物卡!F60,BA62:BI66,1,FALSE),0))),"★",INDEX(本职技能!$A$2:$NE$105,MATCH(人物卡!F60,本职技能!$A$2:$A$105,0),MATCH(人物卡!$M$5,本职技能!$A$1:$NE$1,0)))</f>
        <v/>
      </c>
      <c r="E60" s="1903"/>
      <c r="F60" s="1937" t="s">
        <v>190</v>
      </c>
      <c r="G60" s="1937"/>
      <c r="H60" s="1937"/>
      <c r="I60" s="1937"/>
      <c r="J60" s="1969"/>
      <c r="K60" s="1969"/>
      <c r="L60" s="1969"/>
      <c r="M60" s="1969"/>
      <c r="N60" s="1970"/>
      <c r="O60" s="1970"/>
      <c r="P60" s="1992"/>
      <c r="Q60" s="1992"/>
      <c r="R60" s="2036">
        <f t="shared" si="6"/>
        <v>0</v>
      </c>
      <c r="S60" s="2036"/>
      <c r="T60" s="2036">
        <f t="shared" si="1"/>
        <v>0</v>
      </c>
      <c r="U60" s="2036"/>
      <c r="V60" s="2036">
        <f t="shared" si="2"/>
        <v>0</v>
      </c>
      <c r="W60" s="2050"/>
      <c r="X60" s="2038" t="s">
        <v>58</v>
      </c>
      <c r="Y60" s="1904"/>
      <c r="Z60" s="1902" t="str">
        <f>IF(ISTEXT(IFERROR(VLOOKUP(人物卡!AB60,人物卡!BJ62:BR66,1,FALSE),IFERROR(VLOOKUP(人物卡!AB60,人物卡!BA62:BC66,1,FALSE),0))),"★",INDEX(本职技能!$A$2:$NE$105,MATCH(人物卡!AB60,本职技能!$A$2:$A$105,0),MATCH(人物卡!$M$5,本职技能!$A$1:$NE$1,0)))</f>
        <v/>
      </c>
      <c r="AA60" s="1903"/>
      <c r="AB60" s="1937" t="s">
        <v>191</v>
      </c>
      <c r="AC60" s="1937"/>
      <c r="AD60" s="1937"/>
      <c r="AE60" s="1937"/>
      <c r="AF60" s="1969"/>
      <c r="AG60" s="1969"/>
      <c r="AH60" s="2107"/>
      <c r="AI60" s="2107"/>
      <c r="AJ60" s="1970"/>
      <c r="AK60" s="1970"/>
      <c r="AL60" s="1992"/>
      <c r="AM60" s="1992"/>
      <c r="AN60" s="2036">
        <f t="shared" si="3"/>
        <v>0</v>
      </c>
      <c r="AO60" s="2036"/>
      <c r="AP60" s="2036">
        <f t="shared" si="4"/>
        <v>0</v>
      </c>
      <c r="AQ60" s="2036"/>
      <c r="AR60" s="2036">
        <f t="shared" si="5"/>
        <v>0</v>
      </c>
      <c r="AS60" s="2050"/>
      <c r="AU60" s="2174"/>
      <c r="AV60" s="2175"/>
      <c r="AW60" s="2175"/>
      <c r="AX60" s="2175"/>
      <c r="AY60" s="2175"/>
      <c r="AZ60" s="2175"/>
      <c r="BA60" s="2175"/>
      <c r="BB60" s="2175"/>
      <c r="BC60" s="2175"/>
      <c r="BD60" s="2217"/>
      <c r="BE60" s="2239"/>
      <c r="BF60" s="2240"/>
      <c r="BG60" s="2174"/>
      <c r="BH60" s="2175"/>
      <c r="BI60" s="2175"/>
      <c r="BJ60" s="2175"/>
      <c r="BK60" s="2175"/>
      <c r="BL60" s="2175"/>
      <c r="BM60" s="2175"/>
      <c r="BN60" s="2175"/>
      <c r="BO60" s="2175"/>
      <c r="BP60" s="2217"/>
      <c r="BQ60" s="2254"/>
      <c r="BR60" s="2255"/>
    </row>
    <row r="61" customHeight="1" spans="2:70">
      <c r="B61" s="1938" t="s">
        <v>58</v>
      </c>
      <c r="C61" s="1939"/>
      <c r="D61" s="1928" t="str">
        <f>IF(ISTEXT(IFERROR(VLOOKUP(人物卡!F61,人物卡!BJ63:BR67,1,FALSE),IFERROR(VLOOKUP(人物卡!F61,BA63:BI67,1,FALSE),0))),"★",INDEX(本职技能!$A$2:$NE$105,MATCH(人物卡!F61,本职技能!$A$2:$A$105,0),MATCH(人物卡!$M$5,本职技能!$A$1:$NE$1,0)))</f>
        <v/>
      </c>
      <c r="E61" s="1929"/>
      <c r="F61" s="1940" t="s">
        <v>192</v>
      </c>
      <c r="G61" s="1940"/>
      <c r="H61" s="1940"/>
      <c r="I61" s="1940"/>
      <c r="J61" s="1993"/>
      <c r="K61" s="1993"/>
      <c r="L61" s="1993"/>
      <c r="M61" s="1993"/>
      <c r="N61" s="1994"/>
      <c r="O61" s="1994"/>
      <c r="P61" s="1995"/>
      <c r="Q61" s="1995"/>
      <c r="R61" s="2051">
        <f t="shared" si="6"/>
        <v>0</v>
      </c>
      <c r="S61" s="2051"/>
      <c r="T61" s="2051">
        <f t="shared" si="1"/>
        <v>0</v>
      </c>
      <c r="U61" s="2051"/>
      <c r="V61" s="2051">
        <f t="shared" si="2"/>
        <v>0</v>
      </c>
      <c r="W61" s="2052"/>
      <c r="X61" s="2053" t="s">
        <v>58</v>
      </c>
      <c r="Y61" s="1939"/>
      <c r="Z61" s="1928" t="str">
        <f>IF(ISTEXT(IFERROR(VLOOKUP(人物卡!AB61,人物卡!BJ63:BR67,1,FALSE),IFERROR(VLOOKUP(人物卡!AB61,人物卡!BA63:BC67,1,FALSE),0))),"★",INDEX(本职技能!$A$2:$NE$105,MATCH(人物卡!AB61,本职技能!$A$2:$A$105,0),MATCH(人物卡!$M$5,本职技能!$A$1:$NE$1,0)))</f>
        <v/>
      </c>
      <c r="AA61" s="1929"/>
      <c r="AB61" s="1940" t="s">
        <v>193</v>
      </c>
      <c r="AC61" s="1940"/>
      <c r="AD61" s="1940"/>
      <c r="AE61" s="1940"/>
      <c r="AF61" s="1993"/>
      <c r="AG61" s="1993"/>
      <c r="AH61" s="2112"/>
      <c r="AI61" s="2112"/>
      <c r="AJ61" s="1994"/>
      <c r="AK61" s="1994"/>
      <c r="AL61" s="1995"/>
      <c r="AM61" s="1995"/>
      <c r="AN61" s="2051">
        <f t="shared" si="3"/>
        <v>0</v>
      </c>
      <c r="AO61" s="2051"/>
      <c r="AP61" s="2051">
        <f t="shared" si="4"/>
        <v>0</v>
      </c>
      <c r="AQ61" s="2051"/>
      <c r="AR61" s="2051">
        <f t="shared" si="5"/>
        <v>0</v>
      </c>
      <c r="AS61" s="2052"/>
      <c r="AU61" s="2172"/>
      <c r="AV61" s="2173"/>
      <c r="AW61" s="2173"/>
      <c r="AX61" s="2173"/>
      <c r="AY61" s="2173"/>
      <c r="AZ61" s="2173"/>
      <c r="BA61" s="2173"/>
      <c r="BB61" s="2173"/>
      <c r="BC61" s="2173"/>
      <c r="BD61" s="2216"/>
      <c r="BE61" s="2241"/>
      <c r="BF61" s="2242"/>
      <c r="BG61" s="2172"/>
      <c r="BH61" s="2173"/>
      <c r="BI61" s="2173"/>
      <c r="BJ61" s="2173"/>
      <c r="BK61" s="2173"/>
      <c r="BL61" s="2173"/>
      <c r="BM61" s="2173"/>
      <c r="BN61" s="2173"/>
      <c r="BO61" s="2173"/>
      <c r="BP61" s="2216"/>
      <c r="BQ61" s="2252"/>
      <c r="BR61" s="2253"/>
    </row>
    <row r="62" customHeight="1" spans="2:70">
      <c r="B62" s="1941" t="str">
        <f>IF(M5=0,"","职业信用范围："&amp;LOOKUP(M5,职业列表!A2:A232,职业列表!D2:D232))</f>
        <v>职业信用范围：</v>
      </c>
      <c r="C62" s="1941"/>
      <c r="D62" s="1941"/>
      <c r="E62" s="1941"/>
      <c r="F62" s="1941"/>
      <c r="G62" s="1941"/>
      <c r="H62" s="1941"/>
      <c r="I62" s="1205"/>
      <c r="J62" s="1996" t="str">
        <f ca="1">IF(M5=0,"","本职属性："&amp;附表!L54&amp;"       ")&amp;IF(M5=0,"",IF(AND(附表!J53-SUM(N16:O61,AJ16:AK61)=0,AA7+AA7-SUM(P16:Q61,AL16:AM61)=0),"",("剩余职业点="&amp;附表!J53-SUM(N16:O61,AJ16:AK61))&amp;"     剩余兴趣点="&amp;AA7+AA7-SUM(P16:Q61,AL16:AM61)&amp;IF(F125=附表!B26,"","     剩余经历包点="&amp;IF(ISNUMBER(附表!B:P),附表!D34-SUM(L16:M61,AH16:AI61),附表!D34))))</f>
        <v>本职属性：       </v>
      </c>
      <c r="K62" s="1996"/>
      <c r="L62" s="1996"/>
      <c r="M62" s="1996"/>
      <c r="N62" s="1996"/>
      <c r="O62" s="1996"/>
      <c r="P62" s="1996"/>
      <c r="Q62" s="1996"/>
      <c r="R62" s="1996"/>
      <c r="S62" s="1996"/>
      <c r="T62" s="1996"/>
      <c r="U62" s="1996"/>
      <c r="V62" s="1996"/>
      <c r="W62" s="1996"/>
      <c r="X62" s="1996"/>
      <c r="Y62" s="1996"/>
      <c r="Z62" s="1996"/>
      <c r="AA62" s="1996"/>
      <c r="AB62" s="1996"/>
      <c r="AC62" s="1996"/>
      <c r="AD62" s="1996"/>
      <c r="AE62" s="1996"/>
      <c r="AF62" s="1996"/>
      <c r="AG62" s="1996"/>
      <c r="AH62" s="1996"/>
      <c r="AI62" s="1996"/>
      <c r="AJ62" s="1996"/>
      <c r="AK62" s="1996"/>
      <c r="AL62" s="1996"/>
      <c r="AM62" s="1996"/>
      <c r="AN62" s="1996"/>
      <c r="AO62" s="1996"/>
      <c r="AP62" s="1996"/>
      <c r="AQ62" s="1996"/>
      <c r="AR62" s="1996"/>
      <c r="AS62" s="1996"/>
      <c r="AU62" s="2174"/>
      <c r="AV62" s="2175"/>
      <c r="AW62" s="2175"/>
      <c r="AX62" s="2175"/>
      <c r="AY62" s="2175"/>
      <c r="AZ62" s="2175"/>
      <c r="BA62" s="2175"/>
      <c r="BB62" s="2175"/>
      <c r="BC62" s="2175"/>
      <c r="BD62" s="2217"/>
      <c r="BE62" s="2239"/>
      <c r="BF62" s="2240"/>
      <c r="BG62" s="2174"/>
      <c r="BH62" s="2175"/>
      <c r="BI62" s="2175"/>
      <c r="BJ62" s="2175"/>
      <c r="BK62" s="2175"/>
      <c r="BL62" s="2175"/>
      <c r="BM62" s="2175"/>
      <c r="BN62" s="2175"/>
      <c r="BO62" s="2175"/>
      <c r="BP62" s="2217"/>
      <c r="BQ62" s="2254"/>
      <c r="BR62" s="2255"/>
    </row>
    <row r="63" customHeight="1" spans="2:70">
      <c r="B63" s="1942" t="s">
        <v>194</v>
      </c>
      <c r="C63" s="1943"/>
      <c r="D63" s="1943"/>
      <c r="E63" s="1943"/>
      <c r="F63" s="1943"/>
      <c r="G63" s="1943"/>
      <c r="H63" s="1943"/>
      <c r="I63" s="1943"/>
      <c r="J63" s="1943"/>
      <c r="K63" s="1943"/>
      <c r="L63" s="1943"/>
      <c r="M63" s="1943"/>
      <c r="N63" s="1943"/>
      <c r="O63" s="1943"/>
      <c r="P63" s="1943"/>
      <c r="Q63" s="1943"/>
      <c r="R63" s="1943"/>
      <c r="S63" s="1943"/>
      <c r="T63" s="1943"/>
      <c r="U63" s="1943"/>
      <c r="V63" s="1943"/>
      <c r="W63" s="1943"/>
      <c r="X63" s="1943"/>
      <c r="Y63" s="1943"/>
      <c r="Z63" s="1943"/>
      <c r="AA63" s="1943"/>
      <c r="AB63" s="1943"/>
      <c r="AC63" s="1943"/>
      <c r="AD63" s="1943"/>
      <c r="AE63" s="1943"/>
      <c r="AF63" s="1943"/>
      <c r="AG63" s="1943"/>
      <c r="AH63" s="1943"/>
      <c r="AI63" s="1943"/>
      <c r="AJ63" s="1943"/>
      <c r="AK63" s="2113"/>
      <c r="AM63" s="2114" t="s">
        <v>195</v>
      </c>
      <c r="AN63" s="2115"/>
      <c r="AO63" s="2115"/>
      <c r="AP63" s="2115"/>
      <c r="AQ63" s="2115"/>
      <c r="AR63" s="2115"/>
      <c r="AS63" s="2179"/>
      <c r="AU63" s="2172"/>
      <c r="AV63" s="2173"/>
      <c r="AW63" s="2173"/>
      <c r="AX63" s="2173"/>
      <c r="AY63" s="2173"/>
      <c r="AZ63" s="2173"/>
      <c r="BA63" s="2173"/>
      <c r="BB63" s="2173"/>
      <c r="BC63" s="2173"/>
      <c r="BD63" s="2216"/>
      <c r="BE63" s="2241"/>
      <c r="BF63" s="2242"/>
      <c r="BG63" s="2172"/>
      <c r="BH63" s="2173"/>
      <c r="BI63" s="2173"/>
      <c r="BJ63" s="2173"/>
      <c r="BK63" s="2173"/>
      <c r="BL63" s="2173"/>
      <c r="BM63" s="2173"/>
      <c r="BN63" s="2173"/>
      <c r="BO63" s="2173"/>
      <c r="BP63" s="2216"/>
      <c r="BQ63" s="2252"/>
      <c r="BR63" s="2253"/>
    </row>
    <row r="64" customHeight="1" spans="2:70">
      <c r="B64" s="1944" t="s">
        <v>196</v>
      </c>
      <c r="C64" s="1945"/>
      <c r="D64" s="1945"/>
      <c r="E64" s="1945"/>
      <c r="F64" s="1945"/>
      <c r="G64" s="1945" t="s">
        <v>197</v>
      </c>
      <c r="H64" s="1945"/>
      <c r="I64" s="1945"/>
      <c r="J64" s="1945"/>
      <c r="K64" s="1945"/>
      <c r="L64" s="1945"/>
      <c r="M64" s="1945" t="s">
        <v>198</v>
      </c>
      <c r="N64" s="1945"/>
      <c r="O64" s="1945"/>
      <c r="P64" s="1945"/>
      <c r="Q64" s="1945" t="s">
        <v>199</v>
      </c>
      <c r="R64" s="1945"/>
      <c r="S64" s="1945"/>
      <c r="T64" s="1945"/>
      <c r="U64" s="1945"/>
      <c r="V64" s="1945"/>
      <c r="W64" s="1945" t="s">
        <v>200</v>
      </c>
      <c r="X64" s="1945"/>
      <c r="Y64" s="1945"/>
      <c r="Z64" s="1945"/>
      <c r="AA64" s="2080" t="s">
        <v>201</v>
      </c>
      <c r="AB64" s="2080"/>
      <c r="AC64" s="2080" t="s">
        <v>202</v>
      </c>
      <c r="AD64" s="2080"/>
      <c r="AE64" s="2080" t="s">
        <v>203</v>
      </c>
      <c r="AF64" s="2080"/>
      <c r="AG64" s="2080" t="s">
        <v>204</v>
      </c>
      <c r="AH64" s="2080"/>
      <c r="AI64" s="2080"/>
      <c r="AJ64" s="2080" t="s">
        <v>205</v>
      </c>
      <c r="AK64" s="2116"/>
      <c r="AM64" s="2117" t="s">
        <v>206</v>
      </c>
      <c r="AN64" s="2118"/>
      <c r="AO64" s="2118"/>
      <c r="AP64" s="2180" t="str">
        <f>附表!P9</f>
        <v>0</v>
      </c>
      <c r="AQ64" s="2180"/>
      <c r="AR64" s="2180"/>
      <c r="AS64" s="2181"/>
      <c r="AU64" s="2174"/>
      <c r="AV64" s="2175"/>
      <c r="AW64" s="2175"/>
      <c r="AX64" s="2175"/>
      <c r="AY64" s="2175"/>
      <c r="AZ64" s="2175"/>
      <c r="BA64" s="2175"/>
      <c r="BB64" s="2175"/>
      <c r="BC64" s="2175"/>
      <c r="BD64" s="2217"/>
      <c r="BE64" s="2239"/>
      <c r="BF64" s="2240"/>
      <c r="BG64" s="2174"/>
      <c r="BH64" s="2175"/>
      <c r="BI64" s="2175"/>
      <c r="BJ64" s="2175"/>
      <c r="BK64" s="2175"/>
      <c r="BL64" s="2175"/>
      <c r="BM64" s="2175"/>
      <c r="BN64" s="2175"/>
      <c r="BO64" s="2175"/>
      <c r="BP64" s="2217"/>
      <c r="BQ64" s="2254"/>
      <c r="BR64" s="2255"/>
    </row>
    <row r="65" customHeight="1" spans="2:70">
      <c r="B65" s="2259" t="s">
        <v>207</v>
      </c>
      <c r="C65" s="2260"/>
      <c r="D65" s="2260"/>
      <c r="E65" s="2260"/>
      <c r="F65" s="2260"/>
      <c r="G65" s="2260" t="s">
        <v>208</v>
      </c>
      <c r="H65" s="2260"/>
      <c r="I65" s="2260"/>
      <c r="J65" s="2260"/>
      <c r="K65" s="2260"/>
      <c r="L65" s="2260"/>
      <c r="M65" s="2260" t="s">
        <v>120</v>
      </c>
      <c r="N65" s="2260"/>
      <c r="O65" s="2260"/>
      <c r="P65" s="2260"/>
      <c r="Q65" s="2349">
        <f>R34</f>
        <v>25</v>
      </c>
      <c r="R65" s="2349"/>
      <c r="S65" s="2260">
        <f>INT(Q65/2)</f>
        <v>12</v>
      </c>
      <c r="T65" s="2260"/>
      <c r="U65" s="2260">
        <f>INT(Q65/5)</f>
        <v>5</v>
      </c>
      <c r="V65" s="2260"/>
      <c r="W65" s="2260" t="s">
        <v>209</v>
      </c>
      <c r="X65" s="2260"/>
      <c r="Y65" s="2260"/>
      <c r="Z65" s="2260"/>
      <c r="AA65" s="2260" t="s">
        <v>76</v>
      </c>
      <c r="AB65" s="2260"/>
      <c r="AC65" s="2260" t="s">
        <v>210</v>
      </c>
      <c r="AD65" s="2260"/>
      <c r="AE65" s="2260">
        <v>1</v>
      </c>
      <c r="AF65" s="2260"/>
      <c r="AG65" s="2260" t="s">
        <v>76</v>
      </c>
      <c r="AH65" s="2260"/>
      <c r="AI65" s="2260"/>
      <c r="AJ65" s="2260" t="s">
        <v>76</v>
      </c>
      <c r="AK65" s="2408"/>
      <c r="AM65" s="2117"/>
      <c r="AN65" s="2118"/>
      <c r="AO65" s="2118"/>
      <c r="AP65" s="2180"/>
      <c r="AQ65" s="2180"/>
      <c r="AR65" s="2180"/>
      <c r="AS65" s="2181"/>
      <c r="AU65" s="2172"/>
      <c r="AV65" s="2173"/>
      <c r="AW65" s="2173"/>
      <c r="AX65" s="2173"/>
      <c r="AY65" s="2173"/>
      <c r="AZ65" s="2173"/>
      <c r="BA65" s="2173"/>
      <c r="BB65" s="2173"/>
      <c r="BC65" s="2173"/>
      <c r="BD65" s="2216"/>
      <c r="BE65" s="2241"/>
      <c r="BF65" s="2242"/>
      <c r="BG65" s="2172"/>
      <c r="BH65" s="2173"/>
      <c r="BI65" s="2173"/>
      <c r="BJ65" s="2173"/>
      <c r="BK65" s="2173"/>
      <c r="BL65" s="2173"/>
      <c r="BM65" s="2173"/>
      <c r="BN65" s="2173"/>
      <c r="BO65" s="2173"/>
      <c r="BP65" s="2216"/>
      <c r="BQ65" s="2252"/>
      <c r="BR65" s="2253"/>
    </row>
    <row r="66" customHeight="1" spans="2:70">
      <c r="B66" s="2261"/>
      <c r="C66" s="2262"/>
      <c r="D66" s="2262"/>
      <c r="E66" s="2262"/>
      <c r="F66" s="2262"/>
      <c r="G66" s="2262"/>
      <c r="H66" s="2262"/>
      <c r="I66" s="2262"/>
      <c r="J66" s="2262"/>
      <c r="K66" s="2262"/>
      <c r="L66" s="2262"/>
      <c r="M66" s="2317" t="str">
        <f>IF($G66=0,"←请选择类型",VLOOKUP($G66,武器列表!A:L,2,FALSE))</f>
        <v>←请选择类型</v>
      </c>
      <c r="N66" s="2317"/>
      <c r="O66" s="2317"/>
      <c r="P66" s="2317"/>
      <c r="Q66" s="2318">
        <f>IFERROR(VLOOKUP(M66,附表!$AL$33:$AM$85,2,FALSE),MAX(IFERROR(VLOOKUP(LEFT(M66,FIND("/",M66)-1),附表!$AL$33:$AM$85,2,FALSE),0),IFERROR(VLOOKUP(MID(M66,FIND("/",M66)+1,LEN(M66)),附表!$AL$33:$AM$85,2,FALSE),0)))</f>
        <v>0</v>
      </c>
      <c r="R66" s="2318"/>
      <c r="S66" s="2319">
        <f>IF(Q66="","",INT(Q66/2))</f>
        <v>0</v>
      </c>
      <c r="T66" s="2319"/>
      <c r="U66" s="2319">
        <f>IF(Q66="","",INT(Q66/5))</f>
        <v>0</v>
      </c>
      <c r="V66" s="2319"/>
      <c r="W66" s="2319" t="str">
        <f>IF($G66=0,"",VLOOKUP($G66,武器列表!A:L,3,FALSE))</f>
        <v/>
      </c>
      <c r="X66" s="2319"/>
      <c r="Y66" s="2319"/>
      <c r="Z66" s="2319"/>
      <c r="AA66" s="2319" t="str">
        <f>IF($G66=0,"",VLOOKUP($G66,武器列表!A:L,4,FALSE))</f>
        <v/>
      </c>
      <c r="AB66" s="2319"/>
      <c r="AC66" s="2319" t="str">
        <f>IF($G66=0,"",VLOOKUP($G66,武器列表!A:L,5,FALSE))</f>
        <v/>
      </c>
      <c r="AD66" s="2319"/>
      <c r="AE66" s="2319" t="str">
        <f>IF($G66=0,"",VLOOKUP($G66,武器列表!A:L,6,FALSE))</f>
        <v/>
      </c>
      <c r="AF66" s="2319"/>
      <c r="AG66" s="2319" t="str">
        <f>IF($G66=0,"",VLOOKUP($G66,武器列表!A:L,7,FALSE))</f>
        <v/>
      </c>
      <c r="AH66" s="2319"/>
      <c r="AI66" s="2319"/>
      <c r="AJ66" s="2319" t="str">
        <f>IF($G66=0,"",VLOOKUP($G66,武器列表!A:L,8,FALSE))</f>
        <v/>
      </c>
      <c r="AK66" s="2409"/>
      <c r="AM66" s="2117"/>
      <c r="AN66" s="2118"/>
      <c r="AO66" s="2118"/>
      <c r="AP66" s="2180"/>
      <c r="AQ66" s="2180"/>
      <c r="AR66" s="2180"/>
      <c r="AS66" s="2181"/>
      <c r="AU66" s="2174"/>
      <c r="AV66" s="2175"/>
      <c r="AW66" s="2175"/>
      <c r="AX66" s="2175"/>
      <c r="AY66" s="2175"/>
      <c r="AZ66" s="2175"/>
      <c r="BA66" s="2175"/>
      <c r="BB66" s="2175"/>
      <c r="BC66" s="2175"/>
      <c r="BD66" s="2217"/>
      <c r="BE66" s="2502"/>
      <c r="BF66" s="2503"/>
      <c r="BG66" s="2174"/>
      <c r="BH66" s="2175"/>
      <c r="BI66" s="2175"/>
      <c r="BJ66" s="2175"/>
      <c r="BK66" s="2175"/>
      <c r="BL66" s="2175"/>
      <c r="BM66" s="2175"/>
      <c r="BN66" s="2175"/>
      <c r="BO66" s="2175"/>
      <c r="BP66" s="2217"/>
      <c r="BQ66" s="2254"/>
      <c r="BR66" s="2255"/>
    </row>
    <row r="67" customHeight="1" spans="2:70">
      <c r="B67" s="2263"/>
      <c r="C67" s="2264"/>
      <c r="D67" s="2264"/>
      <c r="E67" s="2264"/>
      <c r="F67" s="2264"/>
      <c r="G67" s="2264"/>
      <c r="H67" s="2264"/>
      <c r="I67" s="2264"/>
      <c r="J67" s="2264"/>
      <c r="K67" s="2264"/>
      <c r="L67" s="2264"/>
      <c r="M67" s="2260" t="str">
        <f>IF($G67=0,IF(M66="←请选择类型","","←请选择类型"),VLOOKUP($G67,武器列表!A:L,2,FALSE))</f>
        <v/>
      </c>
      <c r="N67" s="2260"/>
      <c r="O67" s="2260"/>
      <c r="P67" s="2260"/>
      <c r="Q67" s="2320">
        <f>IFERROR(VLOOKUP(M67,附表!$AL$33:$AM$85,2,FALSE),MAX(IFERROR(VLOOKUP(LEFT(M67,FIND("/",M67)-1),附表!$AL$33:$AM$85,2,FALSE),0),IFERROR(VLOOKUP(MID(M67,FIND("/",M67)+1,LEN(M67)),附表!$AL$33:$AM$85,2,FALSE),0)))</f>
        <v>0</v>
      </c>
      <c r="R67" s="2320"/>
      <c r="S67" s="2260">
        <f>IF(Q67="","",INT(Q67/2))</f>
        <v>0</v>
      </c>
      <c r="T67" s="2260"/>
      <c r="U67" s="2260">
        <f>IF(Q67="","",INT(Q67/5))</f>
        <v>0</v>
      </c>
      <c r="V67" s="2260"/>
      <c r="W67" s="2260" t="str">
        <f>IF($G67=0,"",VLOOKUP($G67,武器列表!A:L,3,FALSE))</f>
        <v/>
      </c>
      <c r="X67" s="2260"/>
      <c r="Y67" s="2260"/>
      <c r="Z67" s="2260"/>
      <c r="AA67" s="2260" t="str">
        <f>IF($G67=0,"",VLOOKUP($G67,武器列表!A:L,4,FALSE))</f>
        <v/>
      </c>
      <c r="AB67" s="2260"/>
      <c r="AC67" s="2260" t="str">
        <f>IF($G67=0,"",VLOOKUP($G67,武器列表!A:L,5,FALSE))</f>
        <v/>
      </c>
      <c r="AD67" s="2260"/>
      <c r="AE67" s="2260" t="str">
        <f>IF($G67=0,"",VLOOKUP($G67,武器列表!A:L,6,FALSE))</f>
        <v/>
      </c>
      <c r="AF67" s="2260"/>
      <c r="AG67" s="2260" t="str">
        <f>IF($G67=0,"",VLOOKUP($G67,武器列表!A:L,7,FALSE))</f>
        <v/>
      </c>
      <c r="AH67" s="2260"/>
      <c r="AI67" s="2260"/>
      <c r="AJ67" s="2260" t="str">
        <f>IF($G67=0,"",VLOOKUP($G67,武器列表!A:L,8,FALSE))</f>
        <v/>
      </c>
      <c r="AK67" s="2408"/>
      <c r="AM67" s="2410" t="s">
        <v>211</v>
      </c>
      <c r="AN67" s="2411"/>
      <c r="AO67" s="2411"/>
      <c r="AP67" s="2426" t="str">
        <f>附表!P7</f>
        <v>0</v>
      </c>
      <c r="AQ67" s="2426"/>
      <c r="AR67" s="2426"/>
      <c r="AS67" s="2427"/>
      <c r="AU67" s="2428" t="s">
        <v>212</v>
      </c>
      <c r="AV67" s="2429"/>
      <c r="AW67" s="2429"/>
      <c r="AX67" s="2429"/>
      <c r="AY67" s="2483">
        <f>SUM(BR53:BR66)+SUM(BF53:BF66)</f>
        <v>0</v>
      </c>
      <c r="AZ67" s="2483"/>
      <c r="BA67" s="2484" t="s">
        <v>213</v>
      </c>
      <c r="BB67" s="2485">
        <f>10+($U$3+$U$5)/5+10*$AP$67</f>
        <v>10</v>
      </c>
      <c r="BC67" s="2485"/>
      <c r="BD67" s="2486" t="s">
        <v>214</v>
      </c>
      <c r="BE67" s="2504" t="s">
        <v>215</v>
      </c>
      <c r="BF67" s="2505"/>
      <c r="BG67" s="2505"/>
      <c r="BH67" s="2505"/>
      <c r="BI67" s="2505"/>
      <c r="BJ67" s="2505"/>
      <c r="BK67" s="2505"/>
      <c r="BL67" s="2505"/>
      <c r="BM67" s="2505"/>
      <c r="BN67" s="2505"/>
      <c r="BO67" s="2505"/>
      <c r="BP67" s="2505"/>
      <c r="BQ67" s="2505"/>
      <c r="BR67" s="2525"/>
    </row>
    <row r="68" customHeight="1" spans="2:70">
      <c r="B68" s="2265"/>
      <c r="C68" s="2266"/>
      <c r="D68" s="2266"/>
      <c r="E68" s="2266"/>
      <c r="F68" s="2266"/>
      <c r="G68" s="2266"/>
      <c r="H68" s="2266"/>
      <c r="I68" s="2266"/>
      <c r="J68" s="2266"/>
      <c r="K68" s="2266"/>
      <c r="L68" s="2266"/>
      <c r="M68" s="2318" t="str">
        <f>IF($G68=0,IF(OR(M66="←请选择类型",M67="←请选择类型"),"","←请选择类型"),VLOOKUP($G68,武器列表!A:L,2,FALSE))</f>
        <v/>
      </c>
      <c r="N68" s="2319"/>
      <c r="O68" s="2319"/>
      <c r="P68" s="2319"/>
      <c r="Q68" s="2318">
        <f>IFERROR(VLOOKUP(M68,附表!$AL$33:$AM$85,2,FALSE),MAX(IFERROR(VLOOKUP(LEFT(M68,FIND("/",M68)-1),附表!$AL$33:$AM$85,2,FALSE),0),IFERROR(VLOOKUP(MID(M68,FIND("/",M68)+1,LEN(M68)),附表!$AL$33:$AM$85,2,FALSE),0)))</f>
        <v>0</v>
      </c>
      <c r="R68" s="2318"/>
      <c r="S68" s="2350">
        <f>IF(Q68="","",INT(Q68/2))</f>
        <v>0</v>
      </c>
      <c r="T68" s="2350"/>
      <c r="U68" s="2350">
        <f>IF(Q68="","",INT(Q68/5))</f>
        <v>0</v>
      </c>
      <c r="V68" s="2350"/>
      <c r="W68" s="2350" t="str">
        <f>IF($G68=0,"",VLOOKUP($G68,武器列表!A:L,3,FALSE))</f>
        <v/>
      </c>
      <c r="X68" s="2350"/>
      <c r="Y68" s="2350"/>
      <c r="Z68" s="2350"/>
      <c r="AA68" s="2350" t="str">
        <f>IF($G68=0,"",VLOOKUP($G68,武器列表!A:L,4,FALSE))</f>
        <v/>
      </c>
      <c r="AB68" s="2350"/>
      <c r="AC68" s="2350" t="str">
        <f>IF($G68=0,"",VLOOKUP($G68,武器列表!A:L,5,FALSE))</f>
        <v/>
      </c>
      <c r="AD68" s="2350"/>
      <c r="AE68" s="2350" t="str">
        <f>IF($G68=0,"",VLOOKUP($G68,武器列表!A:L,6,FALSE))</f>
        <v/>
      </c>
      <c r="AF68" s="2350"/>
      <c r="AG68" s="2350" t="str">
        <f>IF($G68=0,"",VLOOKUP($G68,武器列表!A:L,7,FALSE))</f>
        <v/>
      </c>
      <c r="AH68" s="2350"/>
      <c r="AI68" s="2350"/>
      <c r="AJ68" s="2350" t="str">
        <f>IF($G68=0,"",VLOOKUP($G68,武器列表!A:L,8,FALSE))</f>
        <v/>
      </c>
      <c r="AK68" s="2412"/>
      <c r="AM68" s="2410"/>
      <c r="AN68" s="2411"/>
      <c r="AO68" s="2411"/>
      <c r="AP68" s="2426"/>
      <c r="AQ68" s="2426"/>
      <c r="AR68" s="2426"/>
      <c r="AS68" s="2427"/>
      <c r="AU68" s="2430" t="s">
        <v>216</v>
      </c>
      <c r="AV68" s="2431"/>
      <c r="AW68" s="2487"/>
      <c r="AX68" s="2488"/>
      <c r="AY68" s="2431" t="s">
        <v>217</v>
      </c>
      <c r="AZ68" s="2431"/>
      <c r="BA68" s="2488"/>
      <c r="BB68" s="2487"/>
      <c r="BC68" s="2431" t="s">
        <v>218</v>
      </c>
      <c r="BD68" s="2431"/>
      <c r="BE68" s="2506" t="s">
        <v>197</v>
      </c>
      <c r="BF68" s="2506"/>
      <c r="BG68" s="2506" t="s">
        <v>170</v>
      </c>
      <c r="BH68" s="2506"/>
      <c r="BI68" s="2506"/>
      <c r="BJ68" s="2506"/>
      <c r="BK68" s="2506"/>
      <c r="BL68" s="2506" t="s">
        <v>197</v>
      </c>
      <c r="BM68" s="2506"/>
      <c r="BN68" s="2506" t="s">
        <v>170</v>
      </c>
      <c r="BO68" s="2506"/>
      <c r="BP68" s="2506"/>
      <c r="BQ68" s="2506"/>
      <c r="BR68" s="2506"/>
    </row>
    <row r="69" customHeight="1" spans="2:70">
      <c r="B69" s="2263"/>
      <c r="C69" s="2264"/>
      <c r="D69" s="2264"/>
      <c r="E69" s="2264"/>
      <c r="F69" s="2264"/>
      <c r="G69" s="2264"/>
      <c r="H69" s="2264"/>
      <c r="I69" s="2264"/>
      <c r="J69" s="2264"/>
      <c r="K69" s="2264"/>
      <c r="L69" s="2264"/>
      <c r="M69" s="2320" t="str">
        <f>IF($G69=0,IF(OR(M67="←请选择类型",M68="←请选择类型",M66="←请选择类型"),"","←请选择类型"),VLOOKUP($G69,武器列表!A:L,2,FALSE))</f>
        <v/>
      </c>
      <c r="N69" s="2260"/>
      <c r="O69" s="2260"/>
      <c r="P69" s="2260"/>
      <c r="Q69" s="2320">
        <f>IFERROR(VLOOKUP(M69,附表!$AL$33:$AM$85,2,FALSE),MAX(IFERROR(VLOOKUP(LEFT(M69,FIND("/",M69)-1),附表!$AL$33:$AM$85,2,FALSE),0),IFERROR(VLOOKUP(MID(M69,FIND("/",M69)+1,LEN(M69)),附表!$AL$33:$AM$85,2,FALSE),0)))</f>
        <v>0</v>
      </c>
      <c r="R69" s="2320"/>
      <c r="S69" s="2260">
        <f>IF(Q69="","",INT(Q69/2))</f>
        <v>0</v>
      </c>
      <c r="T69" s="2260"/>
      <c r="U69" s="2260">
        <f>IF(Q69="","",INT(Q69/5))</f>
        <v>0</v>
      </c>
      <c r="V69" s="2260"/>
      <c r="W69" s="2260" t="str">
        <f>IF($G69=0,"",VLOOKUP($G69,武器列表!A:L,3,FALSE))</f>
        <v/>
      </c>
      <c r="X69" s="2260"/>
      <c r="Y69" s="2260"/>
      <c r="Z69" s="2260"/>
      <c r="AA69" s="2260" t="str">
        <f>IF($G69=0,"",VLOOKUP($G69,武器列表!A:L,4,FALSE))</f>
        <v/>
      </c>
      <c r="AB69" s="2260"/>
      <c r="AC69" s="2260" t="str">
        <f>IF($G69=0,"",VLOOKUP($G69,武器列表!A:L,5,FALSE))</f>
        <v/>
      </c>
      <c r="AD69" s="2260"/>
      <c r="AE69" s="2260" t="str">
        <f>IF($G69=0,"",VLOOKUP($G69,武器列表!A:L,6,FALSE))</f>
        <v/>
      </c>
      <c r="AF69" s="2260"/>
      <c r="AG69" s="2260" t="str">
        <f>IF($G69=0,"",VLOOKUP($G69,武器列表!A:L,7,FALSE))</f>
        <v/>
      </c>
      <c r="AH69" s="2260"/>
      <c r="AI69" s="2260"/>
      <c r="AJ69" s="2260" t="str">
        <f>IF($G69=0,"",VLOOKUP($G69,武器列表!A:L,8,FALSE))</f>
        <v/>
      </c>
      <c r="AK69" s="2408"/>
      <c r="AM69" s="2413" t="s">
        <v>219</v>
      </c>
      <c r="AN69" s="2414"/>
      <c r="AO69" s="2414"/>
      <c r="AP69" s="2432">
        <f>R29</f>
        <v>0</v>
      </c>
      <c r="AQ69" s="2432"/>
      <c r="AR69" s="2432">
        <f>T29</f>
        <v>0</v>
      </c>
      <c r="AS69" s="2433"/>
      <c r="AU69" s="2434"/>
      <c r="AV69" s="1905"/>
      <c r="AW69" s="1905"/>
      <c r="AX69" s="2448"/>
      <c r="AY69" s="2439" t="s">
        <v>220</v>
      </c>
      <c r="AZ69" s="2439"/>
      <c r="BA69" s="2448"/>
      <c r="BB69" s="1905"/>
      <c r="BC69" s="1905"/>
      <c r="BD69" s="2489"/>
      <c r="BE69" s="2507"/>
      <c r="BF69" s="2508"/>
      <c r="BG69" s="2509"/>
      <c r="BH69" s="2510"/>
      <c r="BI69" s="2510"/>
      <c r="BJ69" s="2510"/>
      <c r="BK69" s="2511"/>
      <c r="BL69" s="2512"/>
      <c r="BM69" s="2508"/>
      <c r="BN69" s="2509"/>
      <c r="BO69" s="2510"/>
      <c r="BP69" s="2510"/>
      <c r="BQ69" s="2510"/>
      <c r="BR69" s="2526"/>
    </row>
    <row r="70" customHeight="1" spans="2:70">
      <c r="B70" s="2267"/>
      <c r="C70" s="2268"/>
      <c r="D70" s="2268"/>
      <c r="E70" s="2268"/>
      <c r="F70" s="2268"/>
      <c r="G70" s="2269"/>
      <c r="H70" s="2269"/>
      <c r="I70" s="2269"/>
      <c r="J70" s="2269"/>
      <c r="K70" s="2269"/>
      <c r="L70" s="2269"/>
      <c r="M70" s="2321" t="str">
        <f>IF($G70=0,IF(OR(M67="←请选择类型",M68="←请选择类型",M66="←请选择类型",M69="←请选择类型"),"","←请选择类型"),VLOOKUP(G70,武器列表!A:L,2,FALSE))</f>
        <v/>
      </c>
      <c r="N70" s="2322"/>
      <c r="O70" s="2322"/>
      <c r="P70" s="2322"/>
      <c r="Q70" s="2321">
        <f>IFERROR(VLOOKUP(M70,附表!$AL$33:$AM$85,2,FALSE),MAX(IFERROR(VLOOKUP(LEFT(M70,FIND("/",M70)-1),附表!$AL$33:$AM$85,2,FALSE),0),IFERROR(VLOOKUP(MID(M70,FIND("/",M70)+1,LEN(M70)),附表!$AL$33:$AM$85,2,FALSE),0)))</f>
        <v>0</v>
      </c>
      <c r="R70" s="2321"/>
      <c r="S70" s="2351">
        <f>IF(Q70="","",INT(Q70/2))</f>
        <v>0</v>
      </c>
      <c r="T70" s="2351"/>
      <c r="U70" s="2351">
        <f>IF(Q70="","",INT(Q70/5))</f>
        <v>0</v>
      </c>
      <c r="V70" s="2351"/>
      <c r="W70" s="2351" t="str">
        <f>IF($G70=0,"",VLOOKUP($G70,武器列表!A:L,3,FALSE))</f>
        <v/>
      </c>
      <c r="X70" s="2351"/>
      <c r="Y70" s="2351"/>
      <c r="Z70" s="2351"/>
      <c r="AA70" s="2351" t="str">
        <f>IF($G70=0,"",VLOOKUP($G70,武器列表!A:L,4,FALSE))</f>
        <v/>
      </c>
      <c r="AB70" s="2351"/>
      <c r="AC70" s="2351" t="str">
        <f>IF($G70=0,"",VLOOKUP($G70,武器列表!A:L,5,FALSE))</f>
        <v/>
      </c>
      <c r="AD70" s="2351"/>
      <c r="AE70" s="2351" t="str">
        <f>IF($G70=0,"",VLOOKUP($G70,武器列表!A:L,6,FALSE))</f>
        <v/>
      </c>
      <c r="AF70" s="2351"/>
      <c r="AG70" s="2351" t="str">
        <f>IF($G70=0,"",VLOOKUP($G70,武器列表!A:L,7,FALSE))</f>
        <v/>
      </c>
      <c r="AH70" s="2351"/>
      <c r="AI70" s="2351"/>
      <c r="AJ70" s="2351" t="str">
        <f>IF($G70=0,"",VLOOKUP($G70,武器列表!A:L,8,FALSE))</f>
        <v/>
      </c>
      <c r="AK70" s="2415"/>
      <c r="AM70" s="2416"/>
      <c r="AN70" s="2417"/>
      <c r="AO70" s="2417"/>
      <c r="AP70" s="2435"/>
      <c r="AQ70" s="2435"/>
      <c r="AR70" s="2435">
        <f>V29</f>
        <v>0</v>
      </c>
      <c r="AS70" s="2436"/>
      <c r="AU70" s="2434"/>
      <c r="AV70" s="1905"/>
      <c r="AW70" s="2439" t="s">
        <v>221</v>
      </c>
      <c r="AX70" s="2439"/>
      <c r="AY70" s="2490"/>
      <c r="AZ70" s="2490"/>
      <c r="BA70" s="2439" t="s">
        <v>222</v>
      </c>
      <c r="BB70" s="2439"/>
      <c r="BC70" s="1905"/>
      <c r="BD70" s="2489"/>
      <c r="BE70" s="2507"/>
      <c r="BF70" s="2508"/>
      <c r="BG70" s="2509"/>
      <c r="BH70" s="2510"/>
      <c r="BI70" s="2510"/>
      <c r="BJ70" s="2510"/>
      <c r="BK70" s="2511"/>
      <c r="BL70" s="2512"/>
      <c r="BM70" s="2508"/>
      <c r="BN70" s="2509"/>
      <c r="BO70" s="2510"/>
      <c r="BP70" s="2510"/>
      <c r="BQ70" s="2510"/>
      <c r="BR70" s="2526"/>
    </row>
    <row r="71" customHeight="1" spans="2:70">
      <c r="B71" s="1846"/>
      <c r="C71" s="1846"/>
      <c r="D71" s="1846"/>
      <c r="E71" s="1846"/>
      <c r="F71" s="1846"/>
      <c r="G71" s="1846"/>
      <c r="H71" s="1846"/>
      <c r="I71" s="1846"/>
      <c r="J71" s="1846"/>
      <c r="K71" s="1846"/>
      <c r="L71" s="1846"/>
      <c r="M71" s="1846"/>
      <c r="N71" s="1846"/>
      <c r="O71" s="1846"/>
      <c r="P71" s="1846"/>
      <c r="Q71" s="1846"/>
      <c r="R71" s="1846"/>
      <c r="AH71" s="2418"/>
      <c r="AU71" s="1486"/>
      <c r="AV71" s="1846"/>
      <c r="AW71" s="2448"/>
      <c r="AX71" s="1905"/>
      <c r="AY71" s="2439" t="s">
        <v>223</v>
      </c>
      <c r="AZ71" s="2439"/>
      <c r="BA71" s="1905"/>
      <c r="BB71" s="2448"/>
      <c r="BC71" s="1846"/>
      <c r="BD71" s="2491"/>
      <c r="BE71" s="2507"/>
      <c r="BF71" s="2508"/>
      <c r="BG71" s="2509"/>
      <c r="BH71" s="2510"/>
      <c r="BI71" s="2510"/>
      <c r="BJ71" s="2510"/>
      <c r="BK71" s="2511"/>
      <c r="BL71" s="2512"/>
      <c r="BM71" s="2508"/>
      <c r="BN71" s="2509"/>
      <c r="BO71" s="2510"/>
      <c r="BP71" s="2510"/>
      <c r="BQ71" s="2510"/>
      <c r="BR71" s="2526"/>
    </row>
    <row r="72" customHeight="1" spans="2:70">
      <c r="B72" s="2120" t="s">
        <v>224</v>
      </c>
      <c r="C72" s="2120"/>
      <c r="D72" s="2120"/>
      <c r="E72" s="2120"/>
      <c r="F72" s="2120"/>
      <c r="G72" s="2120"/>
      <c r="H72" s="2120"/>
      <c r="I72" s="2120"/>
      <c r="J72" s="2120"/>
      <c r="K72" s="2120"/>
      <c r="L72" s="2120"/>
      <c r="M72" s="2120"/>
      <c r="N72" s="2120"/>
      <c r="O72" s="2120"/>
      <c r="P72" s="2120"/>
      <c r="Q72" s="2120"/>
      <c r="R72" s="2120"/>
      <c r="S72" s="2120"/>
      <c r="T72" s="2120"/>
      <c r="U72" s="2120"/>
      <c r="W72" s="2120" t="s">
        <v>225</v>
      </c>
      <c r="X72" s="2120"/>
      <c r="Y72" s="2120"/>
      <c r="Z72" s="2120"/>
      <c r="AA72" s="2120"/>
      <c r="AB72" s="2120"/>
      <c r="AC72" s="2120"/>
      <c r="AD72" s="2120"/>
      <c r="AE72" s="2120"/>
      <c r="AF72" s="2120"/>
      <c r="AG72" s="2120"/>
      <c r="AH72" s="2120"/>
      <c r="AI72" s="2120"/>
      <c r="AJ72" s="2120"/>
      <c r="AK72" s="2120"/>
      <c r="AL72" s="2120"/>
      <c r="AM72" s="2120"/>
      <c r="AN72" s="2120"/>
      <c r="AO72" s="2120"/>
      <c r="AP72" s="2120"/>
      <c r="AQ72" s="2120"/>
      <c r="AR72" s="2437" t="s">
        <v>226</v>
      </c>
      <c r="AS72" s="2438"/>
      <c r="AT72" s="1905"/>
      <c r="AU72" s="1759" t="s">
        <v>227</v>
      </c>
      <c r="AV72" s="2439"/>
      <c r="AW72" s="1905"/>
      <c r="AX72" s="2448"/>
      <c r="AY72" s="1905"/>
      <c r="AZ72" s="1905"/>
      <c r="BA72" s="2448"/>
      <c r="BB72" s="1905"/>
      <c r="BC72" s="2439" t="s">
        <v>228</v>
      </c>
      <c r="BD72" s="1761"/>
      <c r="BE72" s="2507"/>
      <c r="BF72" s="2508"/>
      <c r="BG72" s="2509"/>
      <c r="BH72" s="2510"/>
      <c r="BI72" s="2510"/>
      <c r="BJ72" s="2510"/>
      <c r="BK72" s="2511"/>
      <c r="BL72" s="2512"/>
      <c r="BM72" s="2508"/>
      <c r="BN72" s="2509"/>
      <c r="BO72" s="2510"/>
      <c r="BP72" s="2510"/>
      <c r="BQ72" s="2510"/>
      <c r="BR72" s="2526"/>
    </row>
    <row r="73" customHeight="1" spans="2:70">
      <c r="B73" s="2270" t="s">
        <v>93</v>
      </c>
      <c r="C73" s="2270"/>
      <c r="D73" s="2270"/>
      <c r="E73" s="2270"/>
      <c r="F73" s="2270" t="s">
        <v>229</v>
      </c>
      <c r="G73" s="2270"/>
      <c r="H73" s="2270"/>
      <c r="I73" s="2270" t="s">
        <v>230</v>
      </c>
      <c r="J73" s="2270"/>
      <c r="K73" s="2270"/>
      <c r="L73" s="2270" t="s">
        <v>231</v>
      </c>
      <c r="M73" s="2270"/>
      <c r="N73" s="2270"/>
      <c r="O73" s="2270" t="s">
        <v>232</v>
      </c>
      <c r="P73" s="2270"/>
      <c r="Q73" s="2270"/>
      <c r="R73" s="2270"/>
      <c r="S73" s="2270" t="s">
        <v>233</v>
      </c>
      <c r="T73" s="2270"/>
      <c r="U73" s="2270"/>
      <c r="W73" s="2352" t="s">
        <v>234</v>
      </c>
      <c r="X73" s="2352"/>
      <c r="Y73" s="2352"/>
      <c r="Z73" s="2352"/>
      <c r="AA73" s="2278"/>
      <c r="AB73" s="2278"/>
      <c r="AC73" s="2278"/>
      <c r="AD73" s="2278"/>
      <c r="AE73" s="2278"/>
      <c r="AF73" s="2278"/>
      <c r="AG73" s="2278"/>
      <c r="AH73" s="2278"/>
      <c r="AI73" s="2278"/>
      <c r="AJ73" s="2278"/>
      <c r="AK73" s="2278"/>
      <c r="AL73" s="2278"/>
      <c r="AM73" s="2278"/>
      <c r="AN73" s="2278"/>
      <c r="AO73" s="2278"/>
      <c r="AP73" s="2278"/>
      <c r="AQ73" s="2278"/>
      <c r="AR73" s="2440" t="s">
        <v>58</v>
      </c>
      <c r="AS73" s="2441"/>
      <c r="AT73" s="1905"/>
      <c r="AU73" s="1732"/>
      <c r="AV73" s="1905"/>
      <c r="AW73" s="1905"/>
      <c r="AX73" s="2448"/>
      <c r="AY73" s="2439" t="s">
        <v>235</v>
      </c>
      <c r="AZ73" s="2439"/>
      <c r="BA73" s="2448"/>
      <c r="BB73" s="1905"/>
      <c r="BC73" s="1905"/>
      <c r="BD73" s="2491"/>
      <c r="BE73" s="2507"/>
      <c r="BF73" s="2508"/>
      <c r="BG73" s="2509"/>
      <c r="BH73" s="2510"/>
      <c r="BI73" s="2510"/>
      <c r="BJ73" s="2510"/>
      <c r="BK73" s="2511"/>
      <c r="BL73" s="2512"/>
      <c r="BM73" s="2508"/>
      <c r="BN73" s="2509"/>
      <c r="BO73" s="2510"/>
      <c r="BP73" s="2510"/>
      <c r="BQ73" s="2510"/>
      <c r="BR73" s="2526"/>
    </row>
    <row r="74" customHeight="1" spans="2:70">
      <c r="B74" s="2271" t="str">
        <f>附表!Z223</f>
        <v>0%/0%/0%</v>
      </c>
      <c r="C74" s="2271"/>
      <c r="D74" s="2271"/>
      <c r="E74" s="2271"/>
      <c r="F74" s="2271" t="str">
        <f>附表!Z225</f>
        <v>身无分文</v>
      </c>
      <c r="G74" s="2271"/>
      <c r="H74" s="2271"/>
      <c r="I74" s="2323">
        <f>附表!AE240</f>
        <v>1500</v>
      </c>
      <c r="J74" s="2323"/>
      <c r="K74" s="2323"/>
      <c r="L74" s="2271" t="str">
        <f>附表!AG240</f>
        <v>没有</v>
      </c>
      <c r="M74" s="2271"/>
      <c r="N74" s="2271"/>
      <c r="O74" s="2323">
        <f>附表!AF240</f>
        <v>1500</v>
      </c>
      <c r="P74" s="2323"/>
      <c r="Q74" s="2323"/>
      <c r="R74" s="2323"/>
      <c r="S74" s="2353" t="s">
        <v>236</v>
      </c>
      <c r="T74" s="2353"/>
      <c r="U74" s="2353"/>
      <c r="W74" s="2352"/>
      <c r="X74" s="2352"/>
      <c r="Y74" s="2352"/>
      <c r="Z74" s="2352"/>
      <c r="AA74" s="2278"/>
      <c r="AB74" s="2278"/>
      <c r="AC74" s="2278"/>
      <c r="AD74" s="2278"/>
      <c r="AE74" s="2278"/>
      <c r="AF74" s="2278"/>
      <c r="AG74" s="2278"/>
      <c r="AH74" s="2278"/>
      <c r="AI74" s="2278"/>
      <c r="AJ74" s="2278"/>
      <c r="AK74" s="2278"/>
      <c r="AL74" s="2278"/>
      <c r="AM74" s="2278"/>
      <c r="AN74" s="2278"/>
      <c r="AO74" s="2278"/>
      <c r="AP74" s="2278"/>
      <c r="AQ74" s="2278"/>
      <c r="AR74" s="2442" t="s">
        <v>237</v>
      </c>
      <c r="AS74" s="2443"/>
      <c r="AT74" s="1905"/>
      <c r="AU74" s="1732"/>
      <c r="AV74" s="2439" t="s">
        <v>238</v>
      </c>
      <c r="AW74" s="2439"/>
      <c r="AX74" s="1905"/>
      <c r="AY74" s="2439" t="s">
        <v>239</v>
      </c>
      <c r="AZ74" s="2439"/>
      <c r="BA74" s="1905"/>
      <c r="BB74" s="2439" t="s">
        <v>240</v>
      </c>
      <c r="BC74" s="2439"/>
      <c r="BD74" s="2491"/>
      <c r="BE74" s="2507"/>
      <c r="BF74" s="2508"/>
      <c r="BG74" s="2509"/>
      <c r="BH74" s="2510"/>
      <c r="BI74" s="2510"/>
      <c r="BJ74" s="2510"/>
      <c r="BK74" s="2511"/>
      <c r="BL74" s="2512"/>
      <c r="BM74" s="2508"/>
      <c r="BN74" s="2509"/>
      <c r="BO74" s="2510"/>
      <c r="BP74" s="2510"/>
      <c r="BQ74" s="2510"/>
      <c r="BR74" s="2526"/>
    </row>
    <row r="75" customHeight="1" spans="2:70">
      <c r="B75" s="2272" t="str">
        <f>IF(R26&lt;=0,"连贫穷都够不上的人才能够叫做身无分文。住所：大概只有睡大街。旅行：步行，扒车或逃票上火车轮船。",IF(R26&lt;=9,"刚好买得起最廉价的屋顶，每天能够吃到一餐廉价食物。住所：最最最廉价的出租屋或睡袋旅馆。旅行：最便宜的公众运输方式。反正只要赶便宜就对了，与之相伴的是不可靠。",IF(R26&lt;=49,"舒适的生活水平，一日三餐，偶尔下馆子。住所：普通的家或公寓，无论是租赁还是自购。外出住普通的旅馆。旅行：会使用普通的旅行方式，不会用最高级。在现代来看，大概会有一辆自己的小车。",IF(R26&lt;=89,"小康级别已经可以享受奢侈品的舒适了。住所：真材实料的住地，也许会有一些仆人（管家，主妇，清洁工，园丁，等等）。乡下估计还有小别墅。会住昂贵的宾馆。旅行：头等舱。会买高档车或同等的交通工具。",IF(R26&lt;=98,"富裕级别就是享受超级奢侈品的时候了。住所：豪华住所和有着大量仆人的庭院。乡下和别处有着别墅是定番。住总统套房。旅行：头等舱。现代社会估摸还会有很多豪车。",IF(R26=99,"与富裕差不多，但钱已经只是一个代号了。你将是世界上最富有的人。","请正确分配您的技能点！"))))))</f>
        <v>连贫穷都够不上的人才能够叫做身无分文。住所：大概只有睡大街。旅行：步行，扒车或逃票上火车轮船。</v>
      </c>
      <c r="C75" s="2272"/>
      <c r="D75" s="2272"/>
      <c r="E75" s="2272"/>
      <c r="F75" s="2272"/>
      <c r="G75" s="2272"/>
      <c r="H75" s="2272"/>
      <c r="I75" s="2272"/>
      <c r="J75" s="2272"/>
      <c r="K75" s="2272"/>
      <c r="L75" s="2324"/>
      <c r="M75" s="2324"/>
      <c r="N75" s="2324"/>
      <c r="O75" s="2324"/>
      <c r="P75" s="2324"/>
      <c r="Q75" s="2324"/>
      <c r="R75" s="2324"/>
      <c r="S75" s="2324"/>
      <c r="T75" s="2324"/>
      <c r="U75" s="2324"/>
      <c r="W75" s="2354" t="s">
        <v>241</v>
      </c>
      <c r="X75" s="2354"/>
      <c r="Y75" s="2354"/>
      <c r="Z75" s="2354"/>
      <c r="AA75" s="2276"/>
      <c r="AB75" s="2276"/>
      <c r="AC75" s="2276"/>
      <c r="AD75" s="2276"/>
      <c r="AE75" s="2276"/>
      <c r="AF75" s="2276"/>
      <c r="AG75" s="2276"/>
      <c r="AH75" s="2276"/>
      <c r="AI75" s="2276"/>
      <c r="AJ75" s="2276"/>
      <c r="AK75" s="2276"/>
      <c r="AL75" s="2276"/>
      <c r="AM75" s="2276"/>
      <c r="AN75" s="2276"/>
      <c r="AO75" s="2276"/>
      <c r="AP75" s="2276"/>
      <c r="AQ75" s="2276"/>
      <c r="AR75" s="2444" t="s">
        <v>58</v>
      </c>
      <c r="AS75" s="2445"/>
      <c r="AT75" s="1905"/>
      <c r="AU75" s="1759" t="s">
        <v>242</v>
      </c>
      <c r="AV75" s="2439"/>
      <c r="AW75" s="1905"/>
      <c r="AX75" s="2448"/>
      <c r="AY75" s="2439" t="s">
        <v>243</v>
      </c>
      <c r="AZ75" s="2439"/>
      <c r="BA75" s="2448"/>
      <c r="BB75" s="1905"/>
      <c r="BC75" s="2439" t="s">
        <v>244</v>
      </c>
      <c r="BD75" s="1761"/>
      <c r="BE75" s="2507"/>
      <c r="BF75" s="2508"/>
      <c r="BG75" s="2509"/>
      <c r="BH75" s="2510"/>
      <c r="BI75" s="2510"/>
      <c r="BJ75" s="2510"/>
      <c r="BK75" s="2511"/>
      <c r="BL75" s="2512"/>
      <c r="BM75" s="2508"/>
      <c r="BN75" s="2509"/>
      <c r="BO75" s="2510"/>
      <c r="BP75" s="2510"/>
      <c r="BQ75" s="2510"/>
      <c r="BR75" s="2526"/>
    </row>
    <row r="76" customHeight="1" spans="2:70">
      <c r="B76" s="2272"/>
      <c r="C76" s="2272"/>
      <c r="D76" s="2272"/>
      <c r="E76" s="2272"/>
      <c r="F76" s="2272"/>
      <c r="G76" s="2272"/>
      <c r="H76" s="2272"/>
      <c r="I76" s="2272"/>
      <c r="J76" s="2272"/>
      <c r="K76" s="2272"/>
      <c r="L76" s="2324"/>
      <c r="M76" s="2324"/>
      <c r="N76" s="2324"/>
      <c r="O76" s="2324"/>
      <c r="P76" s="2324"/>
      <c r="Q76" s="2324"/>
      <c r="R76" s="2324"/>
      <c r="S76" s="2324"/>
      <c r="T76" s="2324"/>
      <c r="U76" s="2324"/>
      <c r="W76" s="2354"/>
      <c r="X76" s="2354"/>
      <c r="Y76" s="2354"/>
      <c r="Z76" s="2354"/>
      <c r="AA76" s="2276"/>
      <c r="AB76" s="2276"/>
      <c r="AC76" s="2276"/>
      <c r="AD76" s="2276"/>
      <c r="AE76" s="2276"/>
      <c r="AF76" s="2276"/>
      <c r="AG76" s="2276"/>
      <c r="AH76" s="2276"/>
      <c r="AI76" s="2276"/>
      <c r="AJ76" s="2276"/>
      <c r="AK76" s="2276"/>
      <c r="AL76" s="2276"/>
      <c r="AM76" s="2276"/>
      <c r="AN76" s="2276"/>
      <c r="AO76" s="2276"/>
      <c r="AP76" s="2276"/>
      <c r="AQ76" s="2276"/>
      <c r="AR76" s="2442" t="s">
        <v>237</v>
      </c>
      <c r="AS76" s="2443"/>
      <c r="AT76" s="1905"/>
      <c r="AU76" s="1759" t="s">
        <v>245</v>
      </c>
      <c r="AV76" s="2439"/>
      <c r="AW76" s="1905"/>
      <c r="AX76" s="1905"/>
      <c r="AY76" s="2448"/>
      <c r="AZ76" s="2448"/>
      <c r="BA76" s="1905"/>
      <c r="BB76" s="1905"/>
      <c r="BC76" s="2439" t="s">
        <v>246</v>
      </c>
      <c r="BD76" s="1761"/>
      <c r="BE76" s="2507"/>
      <c r="BF76" s="2508"/>
      <c r="BG76" s="2509"/>
      <c r="BH76" s="2510"/>
      <c r="BI76" s="2510"/>
      <c r="BJ76" s="2510"/>
      <c r="BK76" s="2511"/>
      <c r="BL76" s="2512"/>
      <c r="BM76" s="2508"/>
      <c r="BN76" s="2509"/>
      <c r="BO76" s="2510"/>
      <c r="BP76" s="2510"/>
      <c r="BQ76" s="2510"/>
      <c r="BR76" s="2526"/>
    </row>
    <row r="77" customHeight="1" spans="2:70">
      <c r="B77" s="2272"/>
      <c r="C77" s="2272"/>
      <c r="D77" s="2272"/>
      <c r="E77" s="2272"/>
      <c r="F77" s="2272"/>
      <c r="G77" s="2272"/>
      <c r="H77" s="2272"/>
      <c r="I77" s="2272"/>
      <c r="J77" s="2272"/>
      <c r="K77" s="2272"/>
      <c r="L77" s="2324"/>
      <c r="M77" s="2324"/>
      <c r="N77" s="2324"/>
      <c r="O77" s="2324"/>
      <c r="P77" s="2324"/>
      <c r="Q77" s="2324"/>
      <c r="R77" s="2324"/>
      <c r="S77" s="2324"/>
      <c r="T77" s="2324"/>
      <c r="U77" s="2324"/>
      <c r="W77" s="2355" t="s">
        <v>247</v>
      </c>
      <c r="X77" s="2355"/>
      <c r="Y77" s="2355"/>
      <c r="Z77" s="2355"/>
      <c r="AA77" s="2278"/>
      <c r="AB77" s="2278"/>
      <c r="AC77" s="2278"/>
      <c r="AD77" s="2278"/>
      <c r="AE77" s="2278"/>
      <c r="AF77" s="2278"/>
      <c r="AG77" s="2278"/>
      <c r="AH77" s="2278"/>
      <c r="AI77" s="2278"/>
      <c r="AJ77" s="2278"/>
      <c r="AK77" s="2278"/>
      <c r="AL77" s="2278"/>
      <c r="AM77" s="2278"/>
      <c r="AN77" s="2278"/>
      <c r="AO77" s="2278"/>
      <c r="AP77" s="2278"/>
      <c r="AQ77" s="2278"/>
      <c r="AR77" s="2446" t="s">
        <v>58</v>
      </c>
      <c r="AS77" s="2447"/>
      <c r="AT77" s="1905"/>
      <c r="AU77" s="1732"/>
      <c r="AV77" s="1905"/>
      <c r="AW77" s="2448"/>
      <c r="AX77" s="2439" t="s">
        <v>248</v>
      </c>
      <c r="AY77" s="2439"/>
      <c r="AZ77" s="2439" t="s">
        <v>249</v>
      </c>
      <c r="BA77" s="2439"/>
      <c r="BB77" s="2448"/>
      <c r="BC77" s="1905"/>
      <c r="BD77" s="2491"/>
      <c r="BE77" s="2507"/>
      <c r="BF77" s="2508"/>
      <c r="BG77" s="2509"/>
      <c r="BH77" s="2510"/>
      <c r="BI77" s="2510"/>
      <c r="BJ77" s="2510"/>
      <c r="BK77" s="2511"/>
      <c r="BL77" s="2512"/>
      <c r="BM77" s="2508"/>
      <c r="BN77" s="2509"/>
      <c r="BO77" s="2510"/>
      <c r="BP77" s="2510"/>
      <c r="BQ77" s="2510"/>
      <c r="BR77" s="2526"/>
    </row>
    <row r="78" customHeight="1" spans="2:70">
      <c r="B78" s="2272"/>
      <c r="C78" s="2272"/>
      <c r="D78" s="2272"/>
      <c r="E78" s="2272"/>
      <c r="F78" s="2272"/>
      <c r="G78" s="2272"/>
      <c r="H78" s="2272"/>
      <c r="I78" s="2272"/>
      <c r="J78" s="2272"/>
      <c r="K78" s="2272"/>
      <c r="L78" s="2324"/>
      <c r="M78" s="2324"/>
      <c r="N78" s="2324"/>
      <c r="O78" s="2324"/>
      <c r="P78" s="2324"/>
      <c r="Q78" s="2324"/>
      <c r="R78" s="2324"/>
      <c r="S78" s="2324"/>
      <c r="T78" s="2324"/>
      <c r="U78" s="2324"/>
      <c r="W78" s="2355"/>
      <c r="X78" s="2355"/>
      <c r="Y78" s="2355"/>
      <c r="Z78" s="2355"/>
      <c r="AA78" s="2278"/>
      <c r="AB78" s="2278"/>
      <c r="AC78" s="2278"/>
      <c r="AD78" s="2278"/>
      <c r="AE78" s="2278"/>
      <c r="AF78" s="2278"/>
      <c r="AG78" s="2278"/>
      <c r="AH78" s="2278"/>
      <c r="AI78" s="2278"/>
      <c r="AJ78" s="2278"/>
      <c r="AK78" s="2278"/>
      <c r="AL78" s="2278"/>
      <c r="AM78" s="2278"/>
      <c r="AN78" s="2278"/>
      <c r="AO78" s="2278"/>
      <c r="AP78" s="2278"/>
      <c r="AQ78" s="2278"/>
      <c r="AR78" s="2442" t="s">
        <v>237</v>
      </c>
      <c r="AS78" s="2443"/>
      <c r="AT78" s="1905"/>
      <c r="AU78" s="1732"/>
      <c r="AV78" s="1905"/>
      <c r="AW78" s="2448"/>
      <c r="AX78" s="1905"/>
      <c r="AY78" s="2439" t="s">
        <v>250</v>
      </c>
      <c r="AZ78" s="2439"/>
      <c r="BA78" s="1905"/>
      <c r="BB78" s="2448"/>
      <c r="BC78" s="1905"/>
      <c r="BD78" s="2491"/>
      <c r="BE78" s="2507"/>
      <c r="BF78" s="2508"/>
      <c r="BG78" s="2509"/>
      <c r="BH78" s="2510"/>
      <c r="BI78" s="2510"/>
      <c r="BJ78" s="2510"/>
      <c r="BK78" s="2511"/>
      <c r="BL78" s="2512"/>
      <c r="BM78" s="2508"/>
      <c r="BN78" s="2509"/>
      <c r="BO78" s="2510"/>
      <c r="BP78" s="2510"/>
      <c r="BQ78" s="2510"/>
      <c r="BR78" s="2526"/>
    </row>
    <row r="79" customHeight="1" spans="2:70">
      <c r="B79" s="2273"/>
      <c r="C79" s="2273"/>
      <c r="D79" s="2273"/>
      <c r="E79" s="2273"/>
      <c r="F79" s="2273"/>
      <c r="G79" s="2273"/>
      <c r="H79" s="2273"/>
      <c r="I79" s="2273"/>
      <c r="J79" s="2273"/>
      <c r="K79" s="2273"/>
      <c r="L79" s="2325"/>
      <c r="M79" s="2325"/>
      <c r="N79" s="2325"/>
      <c r="O79" s="2325"/>
      <c r="P79" s="2325"/>
      <c r="Q79" s="2325"/>
      <c r="R79" s="2325"/>
      <c r="S79" s="2325"/>
      <c r="T79" s="2325"/>
      <c r="U79" s="2325"/>
      <c r="W79" s="2356" t="s">
        <v>251</v>
      </c>
      <c r="X79" s="2356"/>
      <c r="Y79" s="2356"/>
      <c r="Z79" s="2356"/>
      <c r="AA79" s="2276"/>
      <c r="AB79" s="2276"/>
      <c r="AC79" s="2276"/>
      <c r="AD79" s="2276"/>
      <c r="AE79" s="2276"/>
      <c r="AF79" s="2276"/>
      <c r="AG79" s="2276"/>
      <c r="AH79" s="2276"/>
      <c r="AI79" s="2276"/>
      <c r="AJ79" s="2276"/>
      <c r="AK79" s="2276"/>
      <c r="AL79" s="2276"/>
      <c r="AM79" s="2276"/>
      <c r="AN79" s="2276"/>
      <c r="AO79" s="2276"/>
      <c r="AP79" s="2276"/>
      <c r="AQ79" s="2276"/>
      <c r="AR79" s="2444" t="s">
        <v>58</v>
      </c>
      <c r="AS79" s="2445"/>
      <c r="AT79" s="1905"/>
      <c r="AU79" s="1732"/>
      <c r="AV79" s="2448"/>
      <c r="AW79" s="2439" t="s">
        <v>252</v>
      </c>
      <c r="AX79" s="2439"/>
      <c r="AY79" s="1905"/>
      <c r="AZ79" s="1905"/>
      <c r="BA79" s="2439" t="s">
        <v>253</v>
      </c>
      <c r="BB79" s="2439"/>
      <c r="BC79" s="2448"/>
      <c r="BD79" s="2491"/>
      <c r="BE79" s="2507"/>
      <c r="BF79" s="2508"/>
      <c r="BG79" s="2509"/>
      <c r="BH79" s="2510"/>
      <c r="BI79" s="2510"/>
      <c r="BJ79" s="2510"/>
      <c r="BK79" s="2511"/>
      <c r="BL79" s="2512"/>
      <c r="BM79" s="2508"/>
      <c r="BN79" s="2509"/>
      <c r="BO79" s="2510"/>
      <c r="BP79" s="2510"/>
      <c r="BQ79" s="2510"/>
      <c r="BR79" s="2526"/>
    </row>
    <row r="80" customHeight="1" spans="2:70">
      <c r="B80" s="2120" t="s">
        <v>254</v>
      </c>
      <c r="C80" s="2120"/>
      <c r="D80" s="2120"/>
      <c r="E80" s="2120"/>
      <c r="F80" s="2120"/>
      <c r="G80" s="2120"/>
      <c r="H80" s="2120"/>
      <c r="I80" s="2120"/>
      <c r="J80" s="2120"/>
      <c r="K80" s="2120"/>
      <c r="L80" s="2120"/>
      <c r="M80" s="2120"/>
      <c r="N80" s="2120"/>
      <c r="O80" s="2120"/>
      <c r="P80" s="2120"/>
      <c r="Q80" s="2120"/>
      <c r="R80" s="2357"/>
      <c r="S80" s="2357"/>
      <c r="T80" s="2357"/>
      <c r="U80" s="2357"/>
      <c r="W80" s="2356"/>
      <c r="X80" s="2356"/>
      <c r="Y80" s="2356"/>
      <c r="Z80" s="2356"/>
      <c r="AA80" s="2276"/>
      <c r="AB80" s="2276"/>
      <c r="AC80" s="2276"/>
      <c r="AD80" s="2276"/>
      <c r="AE80" s="2276"/>
      <c r="AF80" s="2276"/>
      <c r="AG80" s="2276"/>
      <c r="AH80" s="2276"/>
      <c r="AI80" s="2276"/>
      <c r="AJ80" s="2276"/>
      <c r="AK80" s="2276"/>
      <c r="AL80" s="2276"/>
      <c r="AM80" s="2276"/>
      <c r="AN80" s="2276"/>
      <c r="AO80" s="2276"/>
      <c r="AP80" s="2276"/>
      <c r="AQ80" s="2276"/>
      <c r="AR80" s="2442" t="s">
        <v>237</v>
      </c>
      <c r="AS80" s="2443"/>
      <c r="AT80" s="1905"/>
      <c r="AU80" s="1732"/>
      <c r="AV80" s="2439" t="s">
        <v>255</v>
      </c>
      <c r="AW80" s="2439"/>
      <c r="AX80" s="1846"/>
      <c r="AY80" s="1905"/>
      <c r="AZ80" s="1905"/>
      <c r="BA80" s="1846"/>
      <c r="BB80" s="2439" t="s">
        <v>256</v>
      </c>
      <c r="BC80" s="2439"/>
      <c r="BD80" s="2491"/>
      <c r="BE80" s="2507"/>
      <c r="BF80" s="2508"/>
      <c r="BG80" s="2509"/>
      <c r="BH80" s="2510"/>
      <c r="BI80" s="2510"/>
      <c r="BJ80" s="2510"/>
      <c r="BK80" s="2511"/>
      <c r="BL80" s="2512"/>
      <c r="BM80" s="2508"/>
      <c r="BN80" s="2509"/>
      <c r="BO80" s="2510"/>
      <c r="BP80" s="2510"/>
      <c r="BQ80" s="2510"/>
      <c r="BR80" s="2526"/>
    </row>
    <row r="81" customHeight="1" spans="2:70">
      <c r="B81" s="2274" t="s">
        <v>257</v>
      </c>
      <c r="C81" s="2274"/>
      <c r="D81" s="2274"/>
      <c r="E81" s="2274"/>
      <c r="F81" s="2275" t="s">
        <v>258</v>
      </c>
      <c r="G81" s="2274"/>
      <c r="H81" s="2274"/>
      <c r="I81" s="2274"/>
      <c r="J81" s="2274"/>
      <c r="K81" s="2274"/>
      <c r="L81" s="2274"/>
      <c r="M81" s="2274"/>
      <c r="N81" s="2274"/>
      <c r="O81" s="2274"/>
      <c r="P81" s="2274"/>
      <c r="Q81" s="2358"/>
      <c r="R81" s="2359" t="s">
        <v>259</v>
      </c>
      <c r="S81" s="2360"/>
      <c r="T81" s="2360"/>
      <c r="U81" s="2361"/>
      <c r="W81" s="2355" t="s">
        <v>260</v>
      </c>
      <c r="X81" s="2355"/>
      <c r="Y81" s="2355"/>
      <c r="Z81" s="2355"/>
      <c r="AA81" s="2278"/>
      <c r="AB81" s="2278"/>
      <c r="AC81" s="2278"/>
      <c r="AD81" s="2278"/>
      <c r="AE81" s="2278"/>
      <c r="AF81" s="2278"/>
      <c r="AG81" s="2278"/>
      <c r="AH81" s="2278"/>
      <c r="AI81" s="2278"/>
      <c r="AJ81" s="2278"/>
      <c r="AK81" s="2278"/>
      <c r="AL81" s="2278"/>
      <c r="AM81" s="2278"/>
      <c r="AN81" s="2278"/>
      <c r="AO81" s="2278"/>
      <c r="AP81" s="2278"/>
      <c r="AQ81" s="2278"/>
      <c r="AR81" s="2446" t="s">
        <v>58</v>
      </c>
      <c r="AS81" s="2447"/>
      <c r="AT81" s="1905"/>
      <c r="AU81" s="2434"/>
      <c r="AV81" s="2448"/>
      <c r="AW81" s="1905"/>
      <c r="AX81" s="1905"/>
      <c r="AY81" s="2439" t="s">
        <v>261</v>
      </c>
      <c r="AZ81" s="2439"/>
      <c r="BA81" s="1905"/>
      <c r="BB81" s="1905"/>
      <c r="BC81" s="2448"/>
      <c r="BD81" s="2489"/>
      <c r="BE81" s="2507"/>
      <c r="BF81" s="2508"/>
      <c r="BG81" s="2509"/>
      <c r="BH81" s="2510"/>
      <c r="BI81" s="2510"/>
      <c r="BJ81" s="2510"/>
      <c r="BK81" s="2511"/>
      <c r="BL81" s="2512"/>
      <c r="BM81" s="2508"/>
      <c r="BN81" s="2509"/>
      <c r="BO81" s="2510"/>
      <c r="BP81" s="2510"/>
      <c r="BQ81" s="2510"/>
      <c r="BR81" s="2526"/>
    </row>
    <row r="82" customHeight="1" spans="2:70">
      <c r="B82" s="2276"/>
      <c r="C82" s="2276"/>
      <c r="D82" s="2276"/>
      <c r="E82" s="2276"/>
      <c r="F82" s="2277"/>
      <c r="G82" s="2277"/>
      <c r="H82" s="2277"/>
      <c r="I82" s="2277"/>
      <c r="J82" s="2277"/>
      <c r="K82" s="2277"/>
      <c r="L82" s="2277"/>
      <c r="M82" s="2277"/>
      <c r="N82" s="2277"/>
      <c r="O82" s="2277"/>
      <c r="P82" s="2277"/>
      <c r="Q82" s="2362"/>
      <c r="R82" s="2363"/>
      <c r="S82" s="2364"/>
      <c r="T82" s="2364"/>
      <c r="U82" s="2365"/>
      <c r="W82" s="2355"/>
      <c r="X82" s="2355"/>
      <c r="Y82" s="2355"/>
      <c r="Z82" s="2355"/>
      <c r="AA82" s="2278"/>
      <c r="AB82" s="2278"/>
      <c r="AC82" s="2278"/>
      <c r="AD82" s="2278"/>
      <c r="AE82" s="2278"/>
      <c r="AF82" s="2278"/>
      <c r="AG82" s="2278"/>
      <c r="AH82" s="2278"/>
      <c r="AI82" s="2278"/>
      <c r="AJ82" s="2278"/>
      <c r="AK82" s="2278"/>
      <c r="AL82" s="2278"/>
      <c r="AM82" s="2278"/>
      <c r="AN82" s="2278"/>
      <c r="AO82" s="2278"/>
      <c r="AP82" s="2278"/>
      <c r="AQ82" s="2278"/>
      <c r="AR82" s="2442" t="s">
        <v>237</v>
      </c>
      <c r="AS82" s="2443"/>
      <c r="AT82" s="1846"/>
      <c r="AU82" s="1759" t="s">
        <v>262</v>
      </c>
      <c r="AV82" s="2439"/>
      <c r="AW82" s="2439" t="s">
        <v>263</v>
      </c>
      <c r="AX82" s="2439"/>
      <c r="AY82" s="2439" t="s">
        <v>264</v>
      </c>
      <c r="AZ82" s="2439"/>
      <c r="BA82" s="2439" t="s">
        <v>265</v>
      </c>
      <c r="BB82" s="2439"/>
      <c r="BC82" s="2439" t="s">
        <v>266</v>
      </c>
      <c r="BD82" s="1761"/>
      <c r="BE82" s="2507"/>
      <c r="BF82" s="2508"/>
      <c r="BG82" s="2509"/>
      <c r="BH82" s="2510"/>
      <c r="BI82" s="2510"/>
      <c r="BJ82" s="2510"/>
      <c r="BK82" s="2511"/>
      <c r="BL82" s="2512"/>
      <c r="BM82" s="2508"/>
      <c r="BN82" s="2509"/>
      <c r="BO82" s="2510"/>
      <c r="BP82" s="2510"/>
      <c r="BQ82" s="2510"/>
      <c r="BR82" s="2526"/>
    </row>
    <row r="83" customHeight="1" spans="1:70">
      <c r="A83" s="1905"/>
      <c r="B83" s="2278"/>
      <c r="C83" s="2278"/>
      <c r="D83" s="2278"/>
      <c r="E83" s="2278"/>
      <c r="F83" s="2279"/>
      <c r="G83" s="2279"/>
      <c r="H83" s="2279"/>
      <c r="I83" s="2279"/>
      <c r="J83" s="2279"/>
      <c r="K83" s="2279"/>
      <c r="L83" s="2279"/>
      <c r="M83" s="2279"/>
      <c r="N83" s="2279"/>
      <c r="O83" s="2279"/>
      <c r="P83" s="2279"/>
      <c r="Q83" s="2366"/>
      <c r="R83" s="2367"/>
      <c r="S83" s="2368"/>
      <c r="T83" s="2368"/>
      <c r="U83" s="2369"/>
      <c r="W83" s="2354" t="s">
        <v>267</v>
      </c>
      <c r="X83" s="2354"/>
      <c r="Y83" s="2354"/>
      <c r="Z83" s="2354"/>
      <c r="AA83" s="2276"/>
      <c r="AB83" s="2276"/>
      <c r="AC83" s="2276"/>
      <c r="AD83" s="2276"/>
      <c r="AE83" s="2276"/>
      <c r="AF83" s="2276"/>
      <c r="AG83" s="2276"/>
      <c r="AH83" s="2276"/>
      <c r="AI83" s="2276"/>
      <c r="AJ83" s="2276"/>
      <c r="AK83" s="2276"/>
      <c r="AL83" s="2276"/>
      <c r="AM83" s="2276"/>
      <c r="AN83" s="2276"/>
      <c r="AO83" s="2276"/>
      <c r="AP83" s="2276"/>
      <c r="AQ83" s="2276"/>
      <c r="AR83" s="2444" t="s">
        <v>58</v>
      </c>
      <c r="AS83" s="2445"/>
      <c r="AT83" s="1846"/>
      <c r="AU83" s="2449" t="s">
        <v>268</v>
      </c>
      <c r="AV83" s="2450"/>
      <c r="AW83" s="2450" t="s">
        <v>269</v>
      </c>
      <c r="AX83" s="2450"/>
      <c r="AY83" s="2450" t="s">
        <v>270</v>
      </c>
      <c r="AZ83" s="2450"/>
      <c r="BA83" s="2450" t="s">
        <v>271</v>
      </c>
      <c r="BB83" s="2450"/>
      <c r="BC83" s="2450" t="s">
        <v>272</v>
      </c>
      <c r="BD83" s="2492"/>
      <c r="BE83" s="2513"/>
      <c r="BF83" s="2514"/>
      <c r="BG83" s="2515"/>
      <c r="BH83" s="2516"/>
      <c r="BI83" s="2516"/>
      <c r="BJ83" s="2516"/>
      <c r="BK83" s="2517"/>
      <c r="BL83" s="2518"/>
      <c r="BM83" s="2514"/>
      <c r="BN83" s="2515"/>
      <c r="BO83" s="2516"/>
      <c r="BP83" s="2516"/>
      <c r="BQ83" s="2516"/>
      <c r="BR83" s="2527"/>
    </row>
    <row r="84" customHeight="1" spans="1:70">
      <c r="A84" s="1905"/>
      <c r="B84" s="2276"/>
      <c r="C84" s="2276"/>
      <c r="D84" s="2276"/>
      <c r="E84" s="2276"/>
      <c r="F84" s="2277"/>
      <c r="G84" s="2277"/>
      <c r="H84" s="2277"/>
      <c r="I84" s="2277"/>
      <c r="J84" s="2277"/>
      <c r="K84" s="2277"/>
      <c r="L84" s="2277"/>
      <c r="M84" s="2277"/>
      <c r="N84" s="2277"/>
      <c r="O84" s="2277"/>
      <c r="P84" s="2277"/>
      <c r="Q84" s="2362"/>
      <c r="R84" s="2363"/>
      <c r="S84" s="2364"/>
      <c r="T84" s="2364"/>
      <c r="U84" s="2365"/>
      <c r="W84" s="2354"/>
      <c r="X84" s="2354"/>
      <c r="Y84" s="2354"/>
      <c r="Z84" s="2354"/>
      <c r="AA84" s="2276"/>
      <c r="AB84" s="2276"/>
      <c r="AC84" s="2276"/>
      <c r="AD84" s="2276"/>
      <c r="AE84" s="2276"/>
      <c r="AF84" s="2276"/>
      <c r="AG84" s="2276"/>
      <c r="AH84" s="2276"/>
      <c r="AI84" s="2276"/>
      <c r="AJ84" s="2276"/>
      <c r="AK84" s="2276"/>
      <c r="AL84" s="2276"/>
      <c r="AM84" s="2276"/>
      <c r="AN84" s="2276"/>
      <c r="AO84" s="2276"/>
      <c r="AP84" s="2276"/>
      <c r="AQ84" s="2276"/>
      <c r="AR84" s="2442" t="s">
        <v>237</v>
      </c>
      <c r="AS84" s="2443"/>
      <c r="AT84" s="1846"/>
      <c r="AU84" s="2451" t="s">
        <v>273</v>
      </c>
      <c r="AV84" s="2452"/>
      <c r="AW84" s="2452"/>
      <c r="AX84" s="2452"/>
      <c r="AY84" s="2452"/>
      <c r="AZ84" s="2452"/>
      <c r="BA84" s="2452"/>
      <c r="BB84" s="2452"/>
      <c r="BC84" s="2452"/>
      <c r="BD84" s="2452"/>
      <c r="BE84" s="2452"/>
      <c r="BF84" s="2452"/>
      <c r="BG84" s="2452"/>
      <c r="BH84" s="2452"/>
      <c r="BI84" s="2452"/>
      <c r="BJ84" s="2452"/>
      <c r="BK84" s="2452"/>
      <c r="BL84" s="2452"/>
      <c r="BM84" s="2452"/>
      <c r="BN84" s="2452"/>
      <c r="BO84" s="2452"/>
      <c r="BP84" s="2452"/>
      <c r="BQ84" s="2452"/>
      <c r="BR84" s="2528"/>
    </row>
    <row r="85" customHeight="1" spans="1:70">
      <c r="A85" s="1905"/>
      <c r="B85" s="2278"/>
      <c r="C85" s="2278"/>
      <c r="D85" s="2278"/>
      <c r="E85" s="2278"/>
      <c r="F85" s="2279"/>
      <c r="G85" s="2279"/>
      <c r="H85" s="2279"/>
      <c r="I85" s="2279"/>
      <c r="J85" s="2279"/>
      <c r="K85" s="2279"/>
      <c r="L85" s="2279"/>
      <c r="M85" s="2279"/>
      <c r="N85" s="2279"/>
      <c r="O85" s="2279"/>
      <c r="P85" s="2279"/>
      <c r="Q85" s="2366"/>
      <c r="R85" s="2367"/>
      <c r="S85" s="2368"/>
      <c r="T85" s="2368"/>
      <c r="U85" s="2369"/>
      <c r="W85" s="2370" t="s">
        <v>274</v>
      </c>
      <c r="X85" s="2370"/>
      <c r="Y85" s="2370"/>
      <c r="Z85" s="2370"/>
      <c r="AA85" s="2398"/>
      <c r="AB85" s="2398"/>
      <c r="AC85" s="2398"/>
      <c r="AD85" s="2398"/>
      <c r="AE85" s="2398"/>
      <c r="AF85" s="2398"/>
      <c r="AG85" s="2398"/>
      <c r="AH85" s="2398"/>
      <c r="AI85" s="2398"/>
      <c r="AJ85" s="2398"/>
      <c r="AK85" s="2398"/>
      <c r="AL85" s="2398"/>
      <c r="AM85" s="2398"/>
      <c r="AN85" s="2398"/>
      <c r="AO85" s="2398"/>
      <c r="AP85" s="2398"/>
      <c r="AQ85" s="2398"/>
      <c r="AR85" s="2446" t="s">
        <v>58</v>
      </c>
      <c r="AS85" s="2447"/>
      <c r="AT85" s="1846"/>
      <c r="AU85" s="2453" t="s">
        <v>275</v>
      </c>
      <c r="AV85" s="2454"/>
      <c r="AW85" s="2454"/>
      <c r="AX85" s="2454"/>
      <c r="AY85" s="2454"/>
      <c r="AZ85" s="2454"/>
      <c r="BA85" s="2454"/>
      <c r="BB85" s="2493" t="s">
        <v>276</v>
      </c>
      <c r="BC85" s="2493"/>
      <c r="BD85" s="2493"/>
      <c r="BE85" s="2493"/>
      <c r="BF85" s="2493"/>
      <c r="BG85" s="2493" t="s">
        <v>171</v>
      </c>
      <c r="BH85" s="2493"/>
      <c r="BI85" s="2493" t="s">
        <v>277</v>
      </c>
      <c r="BJ85" s="2493"/>
      <c r="BK85" s="2493"/>
      <c r="BL85" s="2519" t="s">
        <v>278</v>
      </c>
      <c r="BM85" s="2529"/>
      <c r="BN85" s="2529"/>
      <c r="BO85" s="2529"/>
      <c r="BP85" s="2529"/>
      <c r="BQ85" s="2529"/>
      <c r="BR85" s="2530"/>
    </row>
    <row r="86" customHeight="1" spans="1:70">
      <c r="A86" s="1905"/>
      <c r="B86" s="2276"/>
      <c r="C86" s="2276"/>
      <c r="D86" s="2276"/>
      <c r="E86" s="2276"/>
      <c r="F86" s="2277"/>
      <c r="G86" s="2277"/>
      <c r="H86" s="2277"/>
      <c r="I86" s="2277"/>
      <c r="J86" s="2277"/>
      <c r="K86" s="2277"/>
      <c r="L86" s="2277"/>
      <c r="M86" s="2277"/>
      <c r="N86" s="2277"/>
      <c r="O86" s="2277"/>
      <c r="P86" s="2277"/>
      <c r="Q86" s="2362"/>
      <c r="R86" s="2363"/>
      <c r="S86" s="2364"/>
      <c r="T86" s="2364"/>
      <c r="U86" s="2365"/>
      <c r="W86" s="2370"/>
      <c r="X86" s="2370"/>
      <c r="Y86" s="2370"/>
      <c r="Z86" s="2370"/>
      <c r="AA86" s="2398"/>
      <c r="AB86" s="2398"/>
      <c r="AC86" s="2398"/>
      <c r="AD86" s="2398"/>
      <c r="AE86" s="2398"/>
      <c r="AF86" s="2398"/>
      <c r="AG86" s="2398"/>
      <c r="AH86" s="2398"/>
      <c r="AI86" s="2398"/>
      <c r="AJ86" s="2398"/>
      <c r="AK86" s="2398"/>
      <c r="AL86" s="2398"/>
      <c r="AM86" s="2398"/>
      <c r="AN86" s="2398"/>
      <c r="AO86" s="2398"/>
      <c r="AP86" s="2398"/>
      <c r="AQ86" s="2398"/>
      <c r="AR86" s="2442" t="s">
        <v>237</v>
      </c>
      <c r="AS86" s="2443"/>
      <c r="AT86" s="1846"/>
      <c r="AU86" s="2455"/>
      <c r="AV86" s="2456"/>
      <c r="AW86" s="2456"/>
      <c r="AX86" s="2456"/>
      <c r="AY86" s="2456"/>
      <c r="AZ86" s="2456"/>
      <c r="BA86" s="2456"/>
      <c r="BB86" s="2456"/>
      <c r="BC86" s="2456"/>
      <c r="BD86" s="2456"/>
      <c r="BE86" s="2456"/>
      <c r="BF86" s="2456"/>
      <c r="BG86" s="2456"/>
      <c r="BH86" s="2456"/>
      <c r="BI86" s="2456"/>
      <c r="BJ86" s="2456"/>
      <c r="BK86" s="2456"/>
      <c r="BL86" s="2456"/>
      <c r="BM86" s="2456"/>
      <c r="BN86" s="2456"/>
      <c r="BO86" s="2456"/>
      <c r="BP86" s="2456"/>
      <c r="BQ86" s="2456"/>
      <c r="BR86" s="2531"/>
    </row>
    <row r="87" customHeight="1" spans="1:70">
      <c r="A87" s="1905"/>
      <c r="B87" s="2278"/>
      <c r="C87" s="2278"/>
      <c r="D87" s="2278"/>
      <c r="E87" s="2278"/>
      <c r="F87" s="2279"/>
      <c r="G87" s="2279"/>
      <c r="H87" s="2279"/>
      <c r="I87" s="2279"/>
      <c r="J87" s="2279"/>
      <c r="K87" s="2279"/>
      <c r="L87" s="2279"/>
      <c r="M87" s="2279"/>
      <c r="N87" s="2326"/>
      <c r="O87" s="2326"/>
      <c r="P87" s="2326"/>
      <c r="Q87" s="2371"/>
      <c r="R87" s="2372"/>
      <c r="S87" s="2373"/>
      <c r="T87" s="2373"/>
      <c r="U87" s="2374"/>
      <c r="W87" s="2375" t="s">
        <v>279</v>
      </c>
      <c r="X87" s="2375"/>
      <c r="Y87" s="2375"/>
      <c r="Z87" s="2375"/>
      <c r="AA87" s="2399"/>
      <c r="AB87" s="2399"/>
      <c r="AC87" s="2399"/>
      <c r="AD87" s="2399"/>
      <c r="AE87" s="2399"/>
      <c r="AF87" s="2399"/>
      <c r="AG87" s="2399"/>
      <c r="AH87" s="2399"/>
      <c r="AI87" s="2399"/>
      <c r="AJ87" s="2399"/>
      <c r="AK87" s="2399"/>
      <c r="AL87" s="2399"/>
      <c r="AM87" s="2399"/>
      <c r="AN87" s="2399"/>
      <c r="AO87" s="2399"/>
      <c r="AP87" s="2399"/>
      <c r="AQ87" s="2399"/>
      <c r="AR87" s="2444" t="s">
        <v>58</v>
      </c>
      <c r="AS87" s="2445"/>
      <c r="AT87" s="1846"/>
      <c r="AU87" s="2455"/>
      <c r="AV87" s="2456"/>
      <c r="AW87" s="2456"/>
      <c r="AX87" s="2456"/>
      <c r="AY87" s="2456"/>
      <c r="AZ87" s="2456"/>
      <c r="BA87" s="2456"/>
      <c r="BB87" s="2456"/>
      <c r="BC87" s="2456"/>
      <c r="BD87" s="2456"/>
      <c r="BE87" s="2456"/>
      <c r="BF87" s="2456"/>
      <c r="BG87" s="2456"/>
      <c r="BH87" s="2456"/>
      <c r="BI87" s="2456"/>
      <c r="BJ87" s="2456"/>
      <c r="BK87" s="2456"/>
      <c r="BL87" s="2456"/>
      <c r="BM87" s="2456"/>
      <c r="BN87" s="2456"/>
      <c r="BO87" s="2456"/>
      <c r="BP87" s="2456"/>
      <c r="BQ87" s="2456"/>
      <c r="BR87" s="2531"/>
    </row>
    <row r="88" customHeight="1" spans="1:70">
      <c r="A88" s="1905"/>
      <c r="B88" s="2280" t="str">
        <f>"资产总和："&amp;SUM(R82:U87)</f>
        <v>资产总和：0</v>
      </c>
      <c r="C88" s="2280"/>
      <c r="D88" s="2280"/>
      <c r="E88" s="2280"/>
      <c r="F88" s="2280"/>
      <c r="G88" s="2280"/>
      <c r="H88" s="2280"/>
      <c r="I88" s="2280"/>
      <c r="J88" s="2327" t="s">
        <v>280</v>
      </c>
      <c r="K88" s="2327"/>
      <c r="L88" s="2327"/>
      <c r="M88" s="2328"/>
      <c r="N88" s="2329">
        <f>IF(附表!AG230="没有",0-SUM(R82:U87),附表!AG230-SUM(R82:U87))</f>
        <v>0</v>
      </c>
      <c r="O88" s="2330"/>
      <c r="P88" s="2330"/>
      <c r="Q88" s="2330"/>
      <c r="R88" s="2330"/>
      <c r="S88" s="2330"/>
      <c r="T88" s="2330"/>
      <c r="U88" s="2376"/>
      <c r="V88" s="1905"/>
      <c r="W88" s="2375"/>
      <c r="X88" s="2375"/>
      <c r="Y88" s="2375"/>
      <c r="Z88" s="2375"/>
      <c r="AA88" s="2399"/>
      <c r="AB88" s="2399"/>
      <c r="AC88" s="2399"/>
      <c r="AD88" s="2399"/>
      <c r="AE88" s="2399"/>
      <c r="AF88" s="2399"/>
      <c r="AG88" s="2399"/>
      <c r="AH88" s="2399"/>
      <c r="AI88" s="2399"/>
      <c r="AJ88" s="2399"/>
      <c r="AK88" s="2399"/>
      <c r="AL88" s="2399"/>
      <c r="AM88" s="2399"/>
      <c r="AN88" s="2399"/>
      <c r="AO88" s="2399"/>
      <c r="AP88" s="2399"/>
      <c r="AQ88" s="2399"/>
      <c r="AR88" s="2442" t="s">
        <v>237</v>
      </c>
      <c r="AS88" s="2443"/>
      <c r="AT88" s="1846"/>
      <c r="AU88" s="2455"/>
      <c r="AV88" s="2456"/>
      <c r="AW88" s="2456"/>
      <c r="AX88" s="2456"/>
      <c r="AY88" s="2456"/>
      <c r="AZ88" s="2456"/>
      <c r="BA88" s="2456"/>
      <c r="BB88" s="2456"/>
      <c r="BC88" s="2456"/>
      <c r="BD88" s="2456"/>
      <c r="BE88" s="2456"/>
      <c r="BF88" s="2456"/>
      <c r="BG88" s="2456"/>
      <c r="BH88" s="2456"/>
      <c r="BI88" s="2456"/>
      <c r="BJ88" s="2456"/>
      <c r="BK88" s="2456"/>
      <c r="BL88" s="2456"/>
      <c r="BM88" s="2456"/>
      <c r="BN88" s="2456"/>
      <c r="BO88" s="2456"/>
      <c r="BP88" s="2456"/>
      <c r="BQ88" s="2456"/>
      <c r="BR88" s="2531"/>
    </row>
    <row r="89" customHeight="1" spans="1:70">
      <c r="A89" s="1905"/>
      <c r="B89" s="2281" t="s">
        <v>281</v>
      </c>
      <c r="C89" s="2282"/>
      <c r="D89" s="2282"/>
      <c r="E89" s="2282"/>
      <c r="F89" s="2282"/>
      <c r="G89" s="2282"/>
      <c r="H89" s="2282"/>
      <c r="I89" s="2282"/>
      <c r="J89" s="2282"/>
      <c r="K89" s="2282"/>
      <c r="L89" s="2282"/>
      <c r="M89" s="2282"/>
      <c r="N89" s="2282"/>
      <c r="O89" s="2282"/>
      <c r="P89" s="2282"/>
      <c r="Q89" s="2282"/>
      <c r="R89" s="2282"/>
      <c r="S89" s="2282"/>
      <c r="T89" s="2282"/>
      <c r="U89" s="2377"/>
      <c r="V89" s="1905"/>
      <c r="W89" s="2378" t="s">
        <v>282</v>
      </c>
      <c r="X89" s="2378"/>
      <c r="Y89" s="2378"/>
      <c r="Z89" s="2378"/>
      <c r="AA89" s="2378"/>
      <c r="AB89" s="2378"/>
      <c r="AC89" s="2378"/>
      <c r="AD89" s="2378"/>
      <c r="AE89" s="2378"/>
      <c r="AF89" s="2378"/>
      <c r="AG89" s="2378"/>
      <c r="AH89" s="2378"/>
      <c r="AI89" s="2378"/>
      <c r="AJ89" s="2378"/>
      <c r="AK89" s="2378"/>
      <c r="AL89" s="2378"/>
      <c r="AM89" s="2378"/>
      <c r="AN89" s="2378"/>
      <c r="AO89" s="2378"/>
      <c r="AP89" s="2378"/>
      <c r="AQ89" s="2378"/>
      <c r="AR89" s="2378"/>
      <c r="AS89" s="2378"/>
      <c r="AT89" s="1846"/>
      <c r="AU89" s="2455"/>
      <c r="AV89" s="2456"/>
      <c r="AW89" s="2456"/>
      <c r="AX89" s="2456"/>
      <c r="AY89" s="2456"/>
      <c r="AZ89" s="2456"/>
      <c r="BA89" s="2456"/>
      <c r="BB89" s="2456"/>
      <c r="BC89" s="2456"/>
      <c r="BD89" s="2456"/>
      <c r="BE89" s="2456"/>
      <c r="BF89" s="2456"/>
      <c r="BG89" s="2456"/>
      <c r="BH89" s="2456"/>
      <c r="BI89" s="2456"/>
      <c r="BJ89" s="2456"/>
      <c r="BK89" s="2456"/>
      <c r="BL89" s="2456"/>
      <c r="BM89" s="2456"/>
      <c r="BN89" s="2456"/>
      <c r="BO89" s="2456"/>
      <c r="BP89" s="2456"/>
      <c r="BQ89" s="2456"/>
      <c r="BR89" s="2531"/>
    </row>
    <row r="90" customHeight="1" spans="1:70">
      <c r="A90" s="1905"/>
      <c r="B90" s="2283" t="s">
        <v>283</v>
      </c>
      <c r="C90" s="2284"/>
      <c r="D90" s="2284"/>
      <c r="E90" s="2284"/>
      <c r="F90" s="2285"/>
      <c r="G90" s="2283" t="s">
        <v>284</v>
      </c>
      <c r="H90" s="2284"/>
      <c r="I90" s="2284"/>
      <c r="J90" s="2285"/>
      <c r="K90" s="2283" t="s">
        <v>285</v>
      </c>
      <c r="L90" s="2284"/>
      <c r="M90" s="2331" t="s">
        <v>286</v>
      </c>
      <c r="N90" s="2331"/>
      <c r="O90" s="2331"/>
      <c r="P90" s="2331"/>
      <c r="Q90" s="2331"/>
      <c r="R90" s="2331" t="s">
        <v>287</v>
      </c>
      <c r="S90" s="2331"/>
      <c r="T90" s="2283" t="s">
        <v>288</v>
      </c>
      <c r="U90" s="2285"/>
      <c r="V90" s="1905"/>
      <c r="W90" s="2378"/>
      <c r="X90" s="2378"/>
      <c r="Y90" s="2378"/>
      <c r="Z90" s="2378"/>
      <c r="AA90" s="2378"/>
      <c r="AB90" s="2378"/>
      <c r="AC90" s="2378"/>
      <c r="AD90" s="2378"/>
      <c r="AE90" s="2378"/>
      <c r="AF90" s="2378"/>
      <c r="AG90" s="2378"/>
      <c r="AH90" s="2378"/>
      <c r="AI90" s="2378"/>
      <c r="AJ90" s="2378"/>
      <c r="AK90" s="2378"/>
      <c r="AL90" s="2378"/>
      <c r="AM90" s="2378"/>
      <c r="AN90" s="2378"/>
      <c r="AO90" s="2378"/>
      <c r="AP90" s="2378"/>
      <c r="AQ90" s="2378"/>
      <c r="AR90" s="2378"/>
      <c r="AS90" s="2378"/>
      <c r="AT90" s="1846"/>
      <c r="AU90" s="2455"/>
      <c r="AV90" s="2456"/>
      <c r="AW90" s="2456"/>
      <c r="AX90" s="2456"/>
      <c r="AY90" s="2456"/>
      <c r="AZ90" s="2456"/>
      <c r="BA90" s="2456"/>
      <c r="BB90" s="2456"/>
      <c r="BC90" s="2456"/>
      <c r="BD90" s="2456"/>
      <c r="BE90" s="2456"/>
      <c r="BF90" s="2456"/>
      <c r="BG90" s="2456"/>
      <c r="BH90" s="2456"/>
      <c r="BI90" s="2456"/>
      <c r="BJ90" s="2456"/>
      <c r="BK90" s="2456"/>
      <c r="BL90" s="2456"/>
      <c r="BM90" s="2456"/>
      <c r="BN90" s="2456"/>
      <c r="BO90" s="2456"/>
      <c r="BP90" s="2456"/>
      <c r="BQ90" s="2456"/>
      <c r="BR90" s="2531"/>
    </row>
    <row r="91" customHeight="1" spans="1:70">
      <c r="A91" s="1905"/>
      <c r="B91" s="2286"/>
      <c r="C91" s="2287"/>
      <c r="D91" s="2287"/>
      <c r="E91" s="2287"/>
      <c r="F91" s="2288"/>
      <c r="G91" s="2286"/>
      <c r="H91" s="2287"/>
      <c r="I91" s="2287"/>
      <c r="J91" s="2288"/>
      <c r="K91" s="2286"/>
      <c r="L91" s="2287"/>
      <c r="M91" s="2332"/>
      <c r="N91" s="2332"/>
      <c r="O91" s="2332"/>
      <c r="P91" s="2332"/>
      <c r="Q91" s="2332"/>
      <c r="R91" s="2286"/>
      <c r="S91" s="2288"/>
      <c r="T91" s="2286"/>
      <c r="U91" s="2288"/>
      <c r="V91" s="1905"/>
      <c r="W91" s="2378"/>
      <c r="X91" s="2378"/>
      <c r="Y91" s="2378"/>
      <c r="Z91" s="2378"/>
      <c r="AA91" s="2378"/>
      <c r="AB91" s="2378"/>
      <c r="AC91" s="2378"/>
      <c r="AD91" s="2378"/>
      <c r="AE91" s="2378"/>
      <c r="AF91" s="2378"/>
      <c r="AG91" s="2378"/>
      <c r="AH91" s="2378"/>
      <c r="AI91" s="2378"/>
      <c r="AJ91" s="2378"/>
      <c r="AK91" s="2378"/>
      <c r="AL91" s="2378"/>
      <c r="AM91" s="2378"/>
      <c r="AN91" s="2378"/>
      <c r="AO91" s="2378"/>
      <c r="AP91" s="2378"/>
      <c r="AQ91" s="2378"/>
      <c r="AR91" s="2378"/>
      <c r="AS91" s="2378"/>
      <c r="AT91" s="1846"/>
      <c r="AU91" s="2455"/>
      <c r="AV91" s="2456"/>
      <c r="AW91" s="2456"/>
      <c r="AX91" s="2456"/>
      <c r="AY91" s="2456"/>
      <c r="AZ91" s="2456"/>
      <c r="BA91" s="2456"/>
      <c r="BB91" s="2456"/>
      <c r="BC91" s="2456"/>
      <c r="BD91" s="2456"/>
      <c r="BE91" s="2456"/>
      <c r="BF91" s="2456"/>
      <c r="BG91" s="2456"/>
      <c r="BH91" s="2456"/>
      <c r="BI91" s="2456"/>
      <c r="BJ91" s="2456"/>
      <c r="BK91" s="2456"/>
      <c r="BL91" s="2456"/>
      <c r="BM91" s="2456"/>
      <c r="BN91" s="2456"/>
      <c r="BO91" s="2456"/>
      <c r="BP91" s="2456"/>
      <c r="BQ91" s="2456"/>
      <c r="BR91" s="2531"/>
    </row>
    <row r="92" customHeight="1" spans="1:70">
      <c r="A92" s="1905"/>
      <c r="B92" s="2289"/>
      <c r="C92" s="2290"/>
      <c r="D92" s="2290"/>
      <c r="E92" s="2290"/>
      <c r="F92" s="2291"/>
      <c r="G92" s="2289"/>
      <c r="H92" s="2290"/>
      <c r="I92" s="2290"/>
      <c r="J92" s="2291"/>
      <c r="K92" s="2289"/>
      <c r="L92" s="2290"/>
      <c r="M92" s="2333"/>
      <c r="N92" s="2333"/>
      <c r="O92" s="2333"/>
      <c r="P92" s="2333"/>
      <c r="Q92" s="2333"/>
      <c r="R92" s="2289"/>
      <c r="S92" s="2291"/>
      <c r="T92" s="2289"/>
      <c r="U92" s="2291"/>
      <c r="V92" s="1905"/>
      <c r="W92" s="2378"/>
      <c r="X92" s="2378"/>
      <c r="Y92" s="2378"/>
      <c r="Z92" s="2378"/>
      <c r="AA92" s="2378"/>
      <c r="AB92" s="2378"/>
      <c r="AC92" s="2378"/>
      <c r="AD92" s="2378"/>
      <c r="AE92" s="2378"/>
      <c r="AF92" s="2378"/>
      <c r="AG92" s="2378"/>
      <c r="AH92" s="2378"/>
      <c r="AI92" s="2378"/>
      <c r="AJ92" s="2378"/>
      <c r="AK92" s="2378"/>
      <c r="AL92" s="2378"/>
      <c r="AM92" s="2378"/>
      <c r="AN92" s="2378"/>
      <c r="AO92" s="2378"/>
      <c r="AP92" s="2378"/>
      <c r="AQ92" s="2378"/>
      <c r="AR92" s="2378"/>
      <c r="AS92" s="2378"/>
      <c r="AT92" s="1846"/>
      <c r="AU92" s="2455"/>
      <c r="AV92" s="2456"/>
      <c r="AW92" s="2456"/>
      <c r="AX92" s="2456"/>
      <c r="AY92" s="2456"/>
      <c r="AZ92" s="2456"/>
      <c r="BA92" s="2456"/>
      <c r="BB92" s="2456"/>
      <c r="BC92" s="2456"/>
      <c r="BD92" s="2456"/>
      <c r="BE92" s="2456"/>
      <c r="BF92" s="2456"/>
      <c r="BG92" s="2456"/>
      <c r="BH92" s="2456"/>
      <c r="BI92" s="2456"/>
      <c r="BJ92" s="2456"/>
      <c r="BK92" s="2456"/>
      <c r="BL92" s="2456"/>
      <c r="BM92" s="2456"/>
      <c r="BN92" s="2456"/>
      <c r="BO92" s="2456"/>
      <c r="BP92" s="2456"/>
      <c r="BQ92" s="2456"/>
      <c r="BR92" s="2531"/>
    </row>
    <row r="93" customHeight="1" spans="1:70">
      <c r="A93" s="1905"/>
      <c r="B93" s="2289"/>
      <c r="C93" s="2290"/>
      <c r="D93" s="2290"/>
      <c r="E93" s="2290"/>
      <c r="F93" s="2291"/>
      <c r="G93" s="2289"/>
      <c r="H93" s="2290"/>
      <c r="I93" s="2290"/>
      <c r="J93" s="2291"/>
      <c r="K93" s="2289"/>
      <c r="L93" s="2290"/>
      <c r="M93" s="2333"/>
      <c r="N93" s="2333"/>
      <c r="O93" s="2333"/>
      <c r="P93" s="2333"/>
      <c r="Q93" s="2333"/>
      <c r="R93" s="2289"/>
      <c r="S93" s="2291"/>
      <c r="T93" s="2289"/>
      <c r="U93" s="2291"/>
      <c r="V93" s="1905"/>
      <c r="W93" s="2378"/>
      <c r="X93" s="2378"/>
      <c r="Y93" s="2378"/>
      <c r="Z93" s="2378"/>
      <c r="AA93" s="2378"/>
      <c r="AB93" s="2378"/>
      <c r="AC93" s="2378"/>
      <c r="AD93" s="2378"/>
      <c r="AE93" s="2378"/>
      <c r="AF93" s="2378"/>
      <c r="AG93" s="2378"/>
      <c r="AH93" s="2378"/>
      <c r="AI93" s="2378"/>
      <c r="AJ93" s="2378"/>
      <c r="AK93" s="2378"/>
      <c r="AL93" s="2378"/>
      <c r="AM93" s="2378"/>
      <c r="AN93" s="2378"/>
      <c r="AO93" s="2378"/>
      <c r="AP93" s="2378"/>
      <c r="AQ93" s="2378"/>
      <c r="AR93" s="2378"/>
      <c r="AS93" s="2378"/>
      <c r="AT93" s="1846"/>
      <c r="AU93" s="2457"/>
      <c r="AV93" s="2458"/>
      <c r="AW93" s="2458"/>
      <c r="AX93" s="2458"/>
      <c r="AY93" s="2458"/>
      <c r="AZ93" s="2458"/>
      <c r="BA93" s="2458"/>
      <c r="BB93" s="2458"/>
      <c r="BC93" s="2458"/>
      <c r="BD93" s="2458"/>
      <c r="BE93" s="2458"/>
      <c r="BF93" s="2458"/>
      <c r="BG93" s="2458"/>
      <c r="BH93" s="2458"/>
      <c r="BI93" s="2458"/>
      <c r="BJ93" s="2458"/>
      <c r="BK93" s="2458"/>
      <c r="BL93" s="2458"/>
      <c r="BM93" s="2458"/>
      <c r="BN93" s="2458"/>
      <c r="BO93" s="2458"/>
      <c r="BP93" s="2458"/>
      <c r="BQ93" s="2458"/>
      <c r="BR93" s="2532"/>
    </row>
    <row r="94" customHeight="1" spans="1:70">
      <c r="A94" s="1905"/>
      <c r="B94" s="2289"/>
      <c r="C94" s="2290"/>
      <c r="D94" s="2290"/>
      <c r="E94" s="2290"/>
      <c r="F94" s="2291"/>
      <c r="G94" s="2289"/>
      <c r="H94" s="2290"/>
      <c r="I94" s="2290"/>
      <c r="J94" s="2291"/>
      <c r="K94" s="2289"/>
      <c r="L94" s="2290"/>
      <c r="M94" s="2333"/>
      <c r="N94" s="2333"/>
      <c r="O94" s="2333"/>
      <c r="P94" s="2333"/>
      <c r="Q94" s="2333"/>
      <c r="R94" s="2289"/>
      <c r="S94" s="2291"/>
      <c r="T94" s="2289"/>
      <c r="U94" s="2291"/>
      <c r="V94" s="1905"/>
      <c r="W94" s="2378"/>
      <c r="X94" s="2378"/>
      <c r="Y94" s="2378"/>
      <c r="Z94" s="2378"/>
      <c r="AA94" s="2378"/>
      <c r="AB94" s="2378"/>
      <c r="AC94" s="2378"/>
      <c r="AD94" s="2378"/>
      <c r="AE94" s="2378"/>
      <c r="AF94" s="2378"/>
      <c r="AG94" s="2378"/>
      <c r="AH94" s="2378"/>
      <c r="AI94" s="2378"/>
      <c r="AJ94" s="2378"/>
      <c r="AK94" s="2378"/>
      <c r="AL94" s="2378"/>
      <c r="AM94" s="2378"/>
      <c r="AN94" s="2378"/>
      <c r="AO94" s="2378"/>
      <c r="AP94" s="2378"/>
      <c r="AQ94" s="2378"/>
      <c r="AR94" s="2378"/>
      <c r="AS94" s="2378"/>
      <c r="AT94" s="1846"/>
      <c r="AU94" s="2459" t="s">
        <v>289</v>
      </c>
      <c r="AV94" s="2460"/>
      <c r="AW94" s="2460"/>
      <c r="AX94" s="2460"/>
      <c r="AY94" s="2460"/>
      <c r="AZ94" s="2460"/>
      <c r="BA94" s="2460"/>
      <c r="BB94" s="2460"/>
      <c r="BC94" s="2460"/>
      <c r="BD94" s="2460"/>
      <c r="BE94" s="2460"/>
      <c r="BF94" s="2460"/>
      <c r="BG94" s="2460"/>
      <c r="BH94" s="2460"/>
      <c r="BI94" s="2460"/>
      <c r="BJ94" s="2460"/>
      <c r="BK94" s="2460"/>
      <c r="BL94" s="2460"/>
      <c r="BM94" s="2460"/>
      <c r="BN94" s="2460"/>
      <c r="BO94" s="2460"/>
      <c r="BP94" s="2460"/>
      <c r="BQ94" s="2460"/>
      <c r="BR94" s="2528"/>
    </row>
    <row r="95" customHeight="1" spans="1:70">
      <c r="A95" s="1905"/>
      <c r="B95" s="2289"/>
      <c r="C95" s="2290"/>
      <c r="D95" s="2290"/>
      <c r="E95" s="2290"/>
      <c r="F95" s="2291"/>
      <c r="G95" s="2289"/>
      <c r="H95" s="2290"/>
      <c r="I95" s="2290"/>
      <c r="J95" s="2291"/>
      <c r="K95" s="2289"/>
      <c r="L95" s="2290"/>
      <c r="M95" s="2333"/>
      <c r="N95" s="2333"/>
      <c r="O95" s="2333"/>
      <c r="P95" s="2333"/>
      <c r="Q95" s="2333"/>
      <c r="R95" s="2289"/>
      <c r="S95" s="2291"/>
      <c r="T95" s="2289"/>
      <c r="U95" s="2291"/>
      <c r="V95" s="1905"/>
      <c r="W95" s="2378"/>
      <c r="X95" s="2378"/>
      <c r="Y95" s="2378"/>
      <c r="Z95" s="2378"/>
      <c r="AA95" s="2378"/>
      <c r="AB95" s="2378"/>
      <c r="AC95" s="2378"/>
      <c r="AD95" s="2378"/>
      <c r="AE95" s="2378"/>
      <c r="AF95" s="2378"/>
      <c r="AG95" s="2378"/>
      <c r="AH95" s="2378"/>
      <c r="AI95" s="2378"/>
      <c r="AJ95" s="2378"/>
      <c r="AK95" s="2378"/>
      <c r="AL95" s="2378"/>
      <c r="AM95" s="2378"/>
      <c r="AN95" s="2378"/>
      <c r="AO95" s="2378"/>
      <c r="AP95" s="2378"/>
      <c r="AQ95" s="2378"/>
      <c r="AR95" s="2378"/>
      <c r="AS95" s="2378"/>
      <c r="AT95" s="1846"/>
      <c r="AU95" s="2461" t="s">
        <v>290</v>
      </c>
      <c r="AV95" s="2461"/>
      <c r="AW95" s="2461"/>
      <c r="AX95" s="2461"/>
      <c r="AY95" s="2494" t="str">
        <f>VLOOKUP(BK95,特质Z!B:F,3,1)</f>
        <v>类型</v>
      </c>
      <c r="AZ95" s="2494"/>
      <c r="BA95" s="2494"/>
      <c r="BB95" s="2494"/>
      <c r="BC95" s="2494"/>
      <c r="BD95" s="2494"/>
      <c r="BE95" s="2494"/>
      <c r="BF95" s="2494"/>
      <c r="BG95" s="2520" t="s">
        <v>291</v>
      </c>
      <c r="BH95" s="2520"/>
      <c r="BI95" s="2520"/>
      <c r="BJ95" s="2520"/>
      <c r="BK95" s="2521">
        <v>0</v>
      </c>
      <c r="BL95" s="2521"/>
      <c r="BM95" s="2521"/>
      <c r="BN95" s="2521"/>
      <c r="BO95" s="2533" t="s">
        <v>292</v>
      </c>
      <c r="BP95" s="2534"/>
      <c r="BQ95" s="2534"/>
      <c r="BR95" s="2535"/>
    </row>
    <row r="96" customHeight="1" spans="1:70">
      <c r="A96" s="1905"/>
      <c r="B96" s="2289"/>
      <c r="C96" s="2290"/>
      <c r="D96" s="2290"/>
      <c r="E96" s="2290"/>
      <c r="F96" s="2291"/>
      <c r="G96" s="2289"/>
      <c r="H96" s="2290"/>
      <c r="I96" s="2290"/>
      <c r="J96" s="2291"/>
      <c r="K96" s="2289"/>
      <c r="L96" s="2290"/>
      <c r="M96" s="2333"/>
      <c r="N96" s="2333"/>
      <c r="O96" s="2333"/>
      <c r="P96" s="2333"/>
      <c r="Q96" s="2333"/>
      <c r="R96" s="2289"/>
      <c r="S96" s="2291"/>
      <c r="T96" s="2289"/>
      <c r="U96" s="2291"/>
      <c r="V96" s="1905"/>
      <c r="W96" s="2378"/>
      <c r="X96" s="2378"/>
      <c r="Y96" s="2378"/>
      <c r="Z96" s="2378"/>
      <c r="AA96" s="2378"/>
      <c r="AB96" s="2378"/>
      <c r="AC96" s="2378"/>
      <c r="AD96" s="2378"/>
      <c r="AE96" s="2378"/>
      <c r="AF96" s="2378"/>
      <c r="AG96" s="2378"/>
      <c r="AH96" s="2378"/>
      <c r="AI96" s="2378"/>
      <c r="AJ96" s="2378"/>
      <c r="AK96" s="2378"/>
      <c r="AL96" s="2378"/>
      <c r="AM96" s="2378"/>
      <c r="AN96" s="2378"/>
      <c r="AO96" s="2378"/>
      <c r="AP96" s="2378"/>
      <c r="AQ96" s="2378"/>
      <c r="AR96" s="2378"/>
      <c r="AS96" s="2378"/>
      <c r="AT96" s="1846"/>
      <c r="AU96" s="2462" t="s">
        <v>293</v>
      </c>
      <c r="AV96" s="2462"/>
      <c r="AW96" s="2462"/>
      <c r="AX96" s="2495"/>
      <c r="AY96" s="2496" t="str">
        <f>VLOOKUP(BK95,特质Z!B:F,2,1)</f>
        <v>【选择特质】</v>
      </c>
      <c r="AZ96" s="2496"/>
      <c r="BA96" s="2496"/>
      <c r="BB96" s="2496"/>
      <c r="BC96" s="2496"/>
      <c r="BD96" s="2496"/>
      <c r="BE96" s="2496"/>
      <c r="BF96" s="2496"/>
      <c r="BG96" s="2496"/>
      <c r="BH96" s="2496"/>
      <c r="BI96" s="2496"/>
      <c r="BJ96" s="2496"/>
      <c r="BK96" s="2496"/>
      <c r="BL96" s="2496"/>
      <c r="BM96" s="2496"/>
      <c r="BN96" s="2496"/>
      <c r="BO96" s="2496"/>
      <c r="BP96" s="2496"/>
      <c r="BQ96" s="2496"/>
      <c r="BR96" s="2496"/>
    </row>
    <row r="97" customHeight="1" spans="1:70">
      <c r="A97" s="1905"/>
      <c r="B97" s="2289"/>
      <c r="C97" s="2290"/>
      <c r="D97" s="2290"/>
      <c r="E97" s="2290"/>
      <c r="F97" s="2291"/>
      <c r="G97" s="2289"/>
      <c r="H97" s="2290"/>
      <c r="I97" s="2290"/>
      <c r="J97" s="2291"/>
      <c r="K97" s="2289"/>
      <c r="L97" s="2290"/>
      <c r="M97" s="2333"/>
      <c r="N97" s="2333"/>
      <c r="O97" s="2333"/>
      <c r="P97" s="2333"/>
      <c r="Q97" s="2333"/>
      <c r="R97" s="2289"/>
      <c r="S97" s="2291"/>
      <c r="T97" s="2289"/>
      <c r="U97" s="2291"/>
      <c r="V97" s="1905"/>
      <c r="W97" s="2378"/>
      <c r="X97" s="2378"/>
      <c r="Y97" s="2378"/>
      <c r="Z97" s="2378"/>
      <c r="AA97" s="2378"/>
      <c r="AB97" s="2378"/>
      <c r="AC97" s="2378"/>
      <c r="AD97" s="2378"/>
      <c r="AE97" s="2378"/>
      <c r="AF97" s="2378"/>
      <c r="AG97" s="2378"/>
      <c r="AH97" s="2378"/>
      <c r="AI97" s="2378"/>
      <c r="AJ97" s="2378"/>
      <c r="AK97" s="2378"/>
      <c r="AL97" s="2378"/>
      <c r="AM97" s="2378"/>
      <c r="AN97" s="2378"/>
      <c r="AO97" s="2378"/>
      <c r="AP97" s="2378"/>
      <c r="AQ97" s="2378"/>
      <c r="AR97" s="2378"/>
      <c r="AS97" s="2378"/>
      <c r="AT97" s="1846"/>
      <c r="AU97" s="2462" t="s">
        <v>294</v>
      </c>
      <c r="AV97" s="2462"/>
      <c r="AW97" s="2462"/>
      <c r="AX97" s="2495"/>
      <c r="AY97" s="2497" t="str">
        <f>VLOOKUP(BK95,特质Z!B:F,4,0)</f>
        <v>描述</v>
      </c>
      <c r="AZ97" s="2497"/>
      <c r="BA97" s="2497"/>
      <c r="BB97" s="2497"/>
      <c r="BC97" s="2497"/>
      <c r="BD97" s="2497"/>
      <c r="BE97" s="2497"/>
      <c r="BF97" s="2497"/>
      <c r="BG97" s="2497"/>
      <c r="BH97" s="2497"/>
      <c r="BI97" s="2497"/>
      <c r="BJ97" s="2497"/>
      <c r="BK97" s="2497"/>
      <c r="BL97" s="2497"/>
      <c r="BM97" s="2497"/>
      <c r="BN97" s="2497"/>
      <c r="BO97" s="2497"/>
      <c r="BP97" s="2497"/>
      <c r="BQ97" s="2497"/>
      <c r="BR97" s="2497"/>
    </row>
    <row r="98" customHeight="1" spans="1:70">
      <c r="A98" s="1905"/>
      <c r="B98" s="2281" t="s">
        <v>295</v>
      </c>
      <c r="C98" s="2282"/>
      <c r="D98" s="2282"/>
      <c r="E98" s="2282"/>
      <c r="F98" s="2282"/>
      <c r="G98" s="2282"/>
      <c r="H98" s="2282"/>
      <c r="I98" s="2282"/>
      <c r="J98" s="2282"/>
      <c r="K98" s="2282"/>
      <c r="L98" s="2282"/>
      <c r="M98" s="2282"/>
      <c r="N98" s="2282"/>
      <c r="O98" s="2282"/>
      <c r="P98" s="2282"/>
      <c r="Q98" s="2282"/>
      <c r="R98" s="2282"/>
      <c r="S98" s="2282"/>
      <c r="T98" s="2282"/>
      <c r="U98" s="2377"/>
      <c r="V98" s="1905"/>
      <c r="W98" s="2378"/>
      <c r="X98" s="2378"/>
      <c r="Y98" s="2378"/>
      <c r="Z98" s="2378"/>
      <c r="AA98" s="2378"/>
      <c r="AB98" s="2378"/>
      <c r="AC98" s="2378"/>
      <c r="AD98" s="2378"/>
      <c r="AE98" s="2378"/>
      <c r="AF98" s="2378"/>
      <c r="AG98" s="2378"/>
      <c r="AH98" s="2378"/>
      <c r="AI98" s="2378"/>
      <c r="AJ98" s="2378"/>
      <c r="AK98" s="2378"/>
      <c r="AL98" s="2378"/>
      <c r="AM98" s="2378"/>
      <c r="AN98" s="2378"/>
      <c r="AO98" s="2378"/>
      <c r="AP98" s="2378"/>
      <c r="AQ98" s="2378"/>
      <c r="AR98" s="2378"/>
      <c r="AS98" s="2378"/>
      <c r="AT98" s="1846"/>
      <c r="AU98" s="2462"/>
      <c r="AV98" s="2462"/>
      <c r="AW98" s="2462"/>
      <c r="AX98" s="2495"/>
      <c r="AY98" s="2497"/>
      <c r="AZ98" s="2497"/>
      <c r="BA98" s="2497"/>
      <c r="BB98" s="2497"/>
      <c r="BC98" s="2497"/>
      <c r="BD98" s="2497"/>
      <c r="BE98" s="2497"/>
      <c r="BF98" s="2497"/>
      <c r="BG98" s="2497"/>
      <c r="BH98" s="2497"/>
      <c r="BI98" s="2497"/>
      <c r="BJ98" s="2497"/>
      <c r="BK98" s="2497"/>
      <c r="BL98" s="2497"/>
      <c r="BM98" s="2497"/>
      <c r="BN98" s="2497"/>
      <c r="BO98" s="2497"/>
      <c r="BP98" s="2497"/>
      <c r="BQ98" s="2497"/>
      <c r="BR98" s="2497"/>
    </row>
    <row r="99" customHeight="1" spans="2:70">
      <c r="B99" s="2283" t="s">
        <v>296</v>
      </c>
      <c r="C99" s="2284"/>
      <c r="D99" s="2284"/>
      <c r="E99" s="2284"/>
      <c r="F99" s="2285"/>
      <c r="G99" s="2283" t="s">
        <v>197</v>
      </c>
      <c r="H99" s="2284"/>
      <c r="I99" s="2284"/>
      <c r="J99" s="2285"/>
      <c r="K99" s="2283" t="s">
        <v>297</v>
      </c>
      <c r="L99" s="2284"/>
      <c r="M99" s="2284"/>
      <c r="N99" s="2284"/>
      <c r="O99" s="2284"/>
      <c r="P99" s="2284"/>
      <c r="Q99" s="2284"/>
      <c r="R99" s="2284"/>
      <c r="S99" s="2284"/>
      <c r="T99" s="2284"/>
      <c r="U99" s="2285"/>
      <c r="V99" s="1905"/>
      <c r="W99" s="2378"/>
      <c r="X99" s="2378"/>
      <c r="Y99" s="2378"/>
      <c r="Z99" s="2378"/>
      <c r="AA99" s="2378"/>
      <c r="AB99" s="2378"/>
      <c r="AC99" s="2378"/>
      <c r="AD99" s="2378"/>
      <c r="AE99" s="2378"/>
      <c r="AF99" s="2378"/>
      <c r="AG99" s="2378"/>
      <c r="AH99" s="2378"/>
      <c r="AI99" s="2378"/>
      <c r="AJ99" s="2378"/>
      <c r="AK99" s="2378"/>
      <c r="AL99" s="2378"/>
      <c r="AM99" s="2378"/>
      <c r="AN99" s="2378"/>
      <c r="AO99" s="2378"/>
      <c r="AP99" s="2378"/>
      <c r="AQ99" s="2378"/>
      <c r="AR99" s="2378"/>
      <c r="AS99" s="2378"/>
      <c r="AT99" s="1846"/>
      <c r="AU99" s="2463" t="s">
        <v>298</v>
      </c>
      <c r="AV99" s="2464"/>
      <c r="AW99" s="2464"/>
      <c r="AX99" s="2464"/>
      <c r="AY99" s="2497" t="str">
        <f>VLOOKUP(BK95,特质Z!B:F,5,1)</f>
        <v>具体效果</v>
      </c>
      <c r="AZ99" s="2497"/>
      <c r="BA99" s="2497"/>
      <c r="BB99" s="2497"/>
      <c r="BC99" s="2497"/>
      <c r="BD99" s="2497"/>
      <c r="BE99" s="2497"/>
      <c r="BF99" s="2497"/>
      <c r="BG99" s="2497"/>
      <c r="BH99" s="2497"/>
      <c r="BI99" s="2497"/>
      <c r="BJ99" s="2497"/>
      <c r="BK99" s="2497"/>
      <c r="BL99" s="2497"/>
      <c r="BM99" s="2497"/>
      <c r="BN99" s="2497"/>
      <c r="BO99" s="2497"/>
      <c r="BP99" s="2497"/>
      <c r="BQ99" s="2497"/>
      <c r="BR99" s="2497"/>
    </row>
    <row r="100" customHeight="1" spans="2:70">
      <c r="B100" s="2292"/>
      <c r="C100" s="2293"/>
      <c r="D100" s="2293"/>
      <c r="E100" s="2293"/>
      <c r="F100" s="2294"/>
      <c r="G100" s="2292"/>
      <c r="H100" s="2293"/>
      <c r="I100" s="2293"/>
      <c r="J100" s="2294"/>
      <c r="K100" s="2334"/>
      <c r="L100" s="2335"/>
      <c r="M100" s="2335"/>
      <c r="N100" s="2335"/>
      <c r="O100" s="2335"/>
      <c r="P100" s="2335"/>
      <c r="Q100" s="2335"/>
      <c r="R100" s="2335"/>
      <c r="S100" s="2335"/>
      <c r="T100" s="2335"/>
      <c r="U100" s="2379"/>
      <c r="V100" s="1905"/>
      <c r="W100" s="2378"/>
      <c r="X100" s="2378"/>
      <c r="Y100" s="2378"/>
      <c r="Z100" s="2378"/>
      <c r="AA100" s="2378"/>
      <c r="AB100" s="2378"/>
      <c r="AC100" s="2378"/>
      <c r="AD100" s="2378"/>
      <c r="AE100" s="2378"/>
      <c r="AF100" s="2378"/>
      <c r="AG100" s="2378"/>
      <c r="AH100" s="2378"/>
      <c r="AI100" s="2378"/>
      <c r="AJ100" s="2378"/>
      <c r="AK100" s="2378"/>
      <c r="AL100" s="2378"/>
      <c r="AM100" s="2378"/>
      <c r="AN100" s="2378"/>
      <c r="AO100" s="2378"/>
      <c r="AP100" s="2378"/>
      <c r="AQ100" s="2378"/>
      <c r="AR100" s="2378"/>
      <c r="AS100" s="2378"/>
      <c r="AT100" s="1846"/>
      <c r="AU100" s="2465"/>
      <c r="AV100" s="2466"/>
      <c r="AW100" s="2466"/>
      <c r="AX100" s="2498"/>
      <c r="AY100" s="2497"/>
      <c r="AZ100" s="2497"/>
      <c r="BA100" s="2497"/>
      <c r="BB100" s="2497"/>
      <c r="BC100" s="2497"/>
      <c r="BD100" s="2497"/>
      <c r="BE100" s="2497"/>
      <c r="BF100" s="2497"/>
      <c r="BG100" s="2497"/>
      <c r="BH100" s="2497"/>
      <c r="BI100" s="2497"/>
      <c r="BJ100" s="2497"/>
      <c r="BK100" s="2497"/>
      <c r="BL100" s="2497"/>
      <c r="BM100" s="2497"/>
      <c r="BN100" s="2497"/>
      <c r="BO100" s="2497"/>
      <c r="BP100" s="2497"/>
      <c r="BQ100" s="2497"/>
      <c r="BR100" s="2497"/>
    </row>
    <row r="101" customHeight="1" spans="2:70">
      <c r="B101" s="2292"/>
      <c r="C101" s="2293"/>
      <c r="D101" s="2293"/>
      <c r="E101" s="2293"/>
      <c r="F101" s="2294"/>
      <c r="G101" s="2292"/>
      <c r="H101" s="2293"/>
      <c r="I101" s="2293"/>
      <c r="J101" s="2294"/>
      <c r="K101" s="2334"/>
      <c r="L101" s="2335"/>
      <c r="M101" s="2335"/>
      <c r="N101" s="2335"/>
      <c r="O101" s="2335"/>
      <c r="P101" s="2335"/>
      <c r="Q101" s="2335"/>
      <c r="R101" s="2335"/>
      <c r="S101" s="2335"/>
      <c r="T101" s="2335"/>
      <c r="U101" s="2379"/>
      <c r="V101" s="1905"/>
      <c r="W101" s="2378"/>
      <c r="X101" s="2378"/>
      <c r="Y101" s="2378"/>
      <c r="Z101" s="2378"/>
      <c r="AA101" s="2378"/>
      <c r="AB101" s="2378"/>
      <c r="AC101" s="2378"/>
      <c r="AD101" s="2378"/>
      <c r="AE101" s="2378"/>
      <c r="AF101" s="2378"/>
      <c r="AG101" s="2378"/>
      <c r="AH101" s="2378"/>
      <c r="AI101" s="2378"/>
      <c r="AJ101" s="2378"/>
      <c r="AK101" s="2378"/>
      <c r="AL101" s="2378"/>
      <c r="AM101" s="2378"/>
      <c r="AN101" s="2378"/>
      <c r="AO101" s="2378"/>
      <c r="AP101" s="2378"/>
      <c r="AQ101" s="2378"/>
      <c r="AR101" s="2378"/>
      <c r="AS101" s="2378"/>
      <c r="AT101" s="1846"/>
      <c r="AU101" s="2465"/>
      <c r="AV101" s="2466"/>
      <c r="AW101" s="2466"/>
      <c r="AX101" s="2498"/>
      <c r="AY101" s="2497"/>
      <c r="AZ101" s="2497"/>
      <c r="BA101" s="2497"/>
      <c r="BB101" s="2497"/>
      <c r="BC101" s="2497"/>
      <c r="BD101" s="2497"/>
      <c r="BE101" s="2497"/>
      <c r="BF101" s="2497"/>
      <c r="BG101" s="2497"/>
      <c r="BH101" s="2497"/>
      <c r="BI101" s="2497"/>
      <c r="BJ101" s="2497"/>
      <c r="BK101" s="2497"/>
      <c r="BL101" s="2497"/>
      <c r="BM101" s="2497"/>
      <c r="BN101" s="2497"/>
      <c r="BO101" s="2497"/>
      <c r="BP101" s="2497"/>
      <c r="BQ101" s="2497"/>
      <c r="BR101" s="2497"/>
    </row>
    <row r="102" customHeight="1" spans="2:70">
      <c r="B102" s="2292"/>
      <c r="C102" s="2293"/>
      <c r="D102" s="2293"/>
      <c r="E102" s="2293"/>
      <c r="F102" s="2294"/>
      <c r="G102" s="2292"/>
      <c r="H102" s="2293"/>
      <c r="I102" s="2293"/>
      <c r="J102" s="2294"/>
      <c r="K102" s="2334"/>
      <c r="L102" s="2335"/>
      <c r="M102" s="2335"/>
      <c r="N102" s="2335"/>
      <c r="O102" s="2335"/>
      <c r="P102" s="2335"/>
      <c r="Q102" s="2335"/>
      <c r="R102" s="2335"/>
      <c r="S102" s="2335"/>
      <c r="T102" s="2335"/>
      <c r="U102" s="2379"/>
      <c r="V102" s="1905"/>
      <c r="W102" s="2378"/>
      <c r="X102" s="2378"/>
      <c r="Y102" s="2378"/>
      <c r="Z102" s="2378"/>
      <c r="AA102" s="2378"/>
      <c r="AB102" s="2378"/>
      <c r="AC102" s="2378"/>
      <c r="AD102" s="2378"/>
      <c r="AE102" s="2378"/>
      <c r="AF102" s="2378"/>
      <c r="AG102" s="2378"/>
      <c r="AH102" s="2378"/>
      <c r="AI102" s="2378"/>
      <c r="AJ102" s="2378"/>
      <c r="AK102" s="2378"/>
      <c r="AL102" s="2378"/>
      <c r="AM102" s="2378"/>
      <c r="AN102" s="2378"/>
      <c r="AO102" s="2378"/>
      <c r="AP102" s="2378"/>
      <c r="AQ102" s="2378"/>
      <c r="AR102" s="2378"/>
      <c r="AS102" s="2378"/>
      <c r="AT102" s="1846"/>
      <c r="AU102" s="2465"/>
      <c r="AV102" s="2466"/>
      <c r="AW102" s="2466"/>
      <c r="AX102" s="2498"/>
      <c r="AY102" s="2497"/>
      <c r="AZ102" s="2497"/>
      <c r="BA102" s="2497"/>
      <c r="BB102" s="2497"/>
      <c r="BC102" s="2497"/>
      <c r="BD102" s="2497"/>
      <c r="BE102" s="2497"/>
      <c r="BF102" s="2497"/>
      <c r="BG102" s="2497"/>
      <c r="BH102" s="2497"/>
      <c r="BI102" s="2497"/>
      <c r="BJ102" s="2497"/>
      <c r="BK102" s="2497"/>
      <c r="BL102" s="2497"/>
      <c r="BM102" s="2497"/>
      <c r="BN102" s="2497"/>
      <c r="BO102" s="2497"/>
      <c r="BP102" s="2497"/>
      <c r="BQ102" s="2497"/>
      <c r="BR102" s="2497"/>
    </row>
    <row r="103" customHeight="1" spans="2:70">
      <c r="B103" s="2292"/>
      <c r="C103" s="2293"/>
      <c r="D103" s="2293"/>
      <c r="E103" s="2293"/>
      <c r="F103" s="2294"/>
      <c r="G103" s="2292"/>
      <c r="H103" s="2293"/>
      <c r="I103" s="2293"/>
      <c r="J103" s="2294"/>
      <c r="K103" s="2334"/>
      <c r="L103" s="2335"/>
      <c r="M103" s="2335"/>
      <c r="N103" s="2335"/>
      <c r="O103" s="2335"/>
      <c r="P103" s="2335"/>
      <c r="Q103" s="2335"/>
      <c r="R103" s="2335"/>
      <c r="S103" s="2335"/>
      <c r="T103" s="2335"/>
      <c r="U103" s="2379"/>
      <c r="V103" s="1905"/>
      <c r="W103" s="2378"/>
      <c r="X103" s="2378"/>
      <c r="Y103" s="2378"/>
      <c r="Z103" s="2378"/>
      <c r="AA103" s="2378"/>
      <c r="AB103" s="2378"/>
      <c r="AC103" s="2378"/>
      <c r="AD103" s="2378"/>
      <c r="AE103" s="2378"/>
      <c r="AF103" s="2378"/>
      <c r="AG103" s="2378"/>
      <c r="AH103" s="2378"/>
      <c r="AI103" s="2378"/>
      <c r="AJ103" s="2378"/>
      <c r="AK103" s="2378"/>
      <c r="AL103" s="2378"/>
      <c r="AM103" s="2378"/>
      <c r="AN103" s="2378"/>
      <c r="AO103" s="2378"/>
      <c r="AP103" s="2378"/>
      <c r="AQ103" s="2378"/>
      <c r="AR103" s="2378"/>
      <c r="AS103" s="2378"/>
      <c r="AT103" s="1846"/>
      <c r="AU103" s="2467"/>
      <c r="AV103" s="2468"/>
      <c r="AW103" s="2468"/>
      <c r="AX103" s="2468"/>
      <c r="AY103" s="2497"/>
      <c r="AZ103" s="2497"/>
      <c r="BA103" s="2497"/>
      <c r="BB103" s="2497"/>
      <c r="BC103" s="2497"/>
      <c r="BD103" s="2497"/>
      <c r="BE103" s="2497"/>
      <c r="BF103" s="2497"/>
      <c r="BG103" s="2497"/>
      <c r="BH103" s="2497"/>
      <c r="BI103" s="2497"/>
      <c r="BJ103" s="2497"/>
      <c r="BK103" s="2497"/>
      <c r="BL103" s="2497"/>
      <c r="BM103" s="2497"/>
      <c r="BN103" s="2497"/>
      <c r="BO103" s="2497"/>
      <c r="BP103" s="2497"/>
      <c r="BQ103" s="2497"/>
      <c r="BR103" s="2497"/>
    </row>
    <row r="104" customHeight="1" spans="2:70">
      <c r="B104" s="2292"/>
      <c r="C104" s="2293"/>
      <c r="D104" s="2293"/>
      <c r="E104" s="2293"/>
      <c r="F104" s="2294"/>
      <c r="G104" s="2292"/>
      <c r="H104" s="2293"/>
      <c r="I104" s="2293"/>
      <c r="J104" s="2294"/>
      <c r="K104" s="2334"/>
      <c r="L104" s="2335"/>
      <c r="M104" s="2335"/>
      <c r="N104" s="2335"/>
      <c r="O104" s="2335"/>
      <c r="P104" s="2335"/>
      <c r="Q104" s="2335"/>
      <c r="R104" s="2335"/>
      <c r="S104" s="2335"/>
      <c r="T104" s="2335"/>
      <c r="U104" s="2379"/>
      <c r="V104" s="1905"/>
      <c r="W104" s="2378"/>
      <c r="X104" s="2378"/>
      <c r="Y104" s="2378"/>
      <c r="Z104" s="2378"/>
      <c r="AA104" s="2378"/>
      <c r="AB104" s="2378"/>
      <c r="AC104" s="2378"/>
      <c r="AD104" s="2378"/>
      <c r="AE104" s="2378"/>
      <c r="AF104" s="2378"/>
      <c r="AG104" s="2378"/>
      <c r="AH104" s="2378"/>
      <c r="AI104" s="2378"/>
      <c r="AJ104" s="2378"/>
      <c r="AK104" s="2378"/>
      <c r="AL104" s="2378"/>
      <c r="AM104" s="2378"/>
      <c r="AN104" s="2378"/>
      <c r="AO104" s="2378"/>
      <c r="AP104" s="2378"/>
      <c r="AQ104" s="2378"/>
      <c r="AR104" s="2378"/>
      <c r="AS104" s="2378"/>
      <c r="AT104" s="1846"/>
      <c r="AU104" s="2469" t="s">
        <v>299</v>
      </c>
      <c r="AV104" s="2470"/>
      <c r="AW104" s="2470"/>
      <c r="AX104" s="2470"/>
      <c r="AY104" s="2470"/>
      <c r="AZ104" s="2470"/>
      <c r="BA104" s="2470"/>
      <c r="BB104" s="2470"/>
      <c r="BC104" s="2470"/>
      <c r="BD104" s="2470"/>
      <c r="BE104" s="2470"/>
      <c r="BF104" s="2470"/>
      <c r="BG104" s="2470"/>
      <c r="BH104" s="2470"/>
      <c r="BI104" s="2470"/>
      <c r="BJ104" s="2470"/>
      <c r="BK104" s="2470"/>
      <c r="BL104" s="2470"/>
      <c r="BM104" s="2470"/>
      <c r="BN104" s="2470"/>
      <c r="BO104" s="2470"/>
      <c r="BP104" s="2470"/>
      <c r="BQ104" s="2470"/>
      <c r="BR104" s="2536"/>
    </row>
    <row r="105" customHeight="1" spans="2:70">
      <c r="B105" s="2292"/>
      <c r="C105" s="2293"/>
      <c r="D105" s="2293"/>
      <c r="E105" s="2293"/>
      <c r="F105" s="2294"/>
      <c r="G105" s="2292"/>
      <c r="H105" s="2293"/>
      <c r="I105" s="2293"/>
      <c r="J105" s="2294"/>
      <c r="K105" s="2334"/>
      <c r="L105" s="2335"/>
      <c r="M105" s="2335"/>
      <c r="N105" s="2335"/>
      <c r="O105" s="2335"/>
      <c r="P105" s="2335"/>
      <c r="Q105" s="2335"/>
      <c r="R105" s="2335"/>
      <c r="S105" s="2335"/>
      <c r="T105" s="2335"/>
      <c r="U105" s="2379"/>
      <c r="V105" s="1855"/>
      <c r="W105" s="2378"/>
      <c r="X105" s="2378"/>
      <c r="Y105" s="2378"/>
      <c r="Z105" s="2378"/>
      <c r="AA105" s="2378"/>
      <c r="AB105" s="2378"/>
      <c r="AC105" s="2378"/>
      <c r="AD105" s="2378"/>
      <c r="AE105" s="2378"/>
      <c r="AF105" s="2378"/>
      <c r="AG105" s="2378"/>
      <c r="AH105" s="2378"/>
      <c r="AI105" s="2378"/>
      <c r="AJ105" s="2378"/>
      <c r="AK105" s="2378"/>
      <c r="AL105" s="2378"/>
      <c r="AM105" s="2378"/>
      <c r="AN105" s="2378"/>
      <c r="AO105" s="2378"/>
      <c r="AP105" s="2378"/>
      <c r="AQ105" s="2378"/>
      <c r="AR105" s="2378"/>
      <c r="AS105" s="2378"/>
      <c r="AT105" s="1846"/>
      <c r="AU105" s="2471" t="s">
        <v>300</v>
      </c>
      <c r="AV105" s="2471"/>
      <c r="AW105" s="2471"/>
      <c r="AX105" s="2471"/>
      <c r="AY105" s="2471"/>
      <c r="AZ105" s="2471"/>
      <c r="BA105" s="2471"/>
      <c r="BB105" s="2471"/>
      <c r="BC105" s="2471" t="s">
        <v>301</v>
      </c>
      <c r="BD105" s="2471"/>
      <c r="BE105" s="2471"/>
      <c r="BF105" s="2471"/>
      <c r="BG105" s="2471"/>
      <c r="BH105" s="2471"/>
      <c r="BI105" s="2471"/>
      <c r="BJ105" s="2471"/>
      <c r="BK105" s="2471"/>
      <c r="BL105" s="2471"/>
      <c r="BM105" s="2471"/>
      <c r="BN105" s="2471"/>
      <c r="BO105" s="2471"/>
      <c r="BP105" s="2471"/>
      <c r="BQ105" s="2471"/>
      <c r="BR105" s="2471"/>
    </row>
    <row r="106" customHeight="1" spans="2:70">
      <c r="B106" s="2292"/>
      <c r="C106" s="2293"/>
      <c r="D106" s="2293"/>
      <c r="E106" s="2293"/>
      <c r="F106" s="2294"/>
      <c r="G106" s="2292"/>
      <c r="H106" s="2293"/>
      <c r="I106" s="2293"/>
      <c r="J106" s="2294"/>
      <c r="K106" s="2334"/>
      <c r="L106" s="2335"/>
      <c r="M106" s="2335"/>
      <c r="N106" s="2335"/>
      <c r="O106" s="2335"/>
      <c r="P106" s="2335"/>
      <c r="Q106" s="2335"/>
      <c r="R106" s="2335"/>
      <c r="S106" s="2335"/>
      <c r="T106" s="2335"/>
      <c r="U106" s="2379"/>
      <c r="V106" s="2380"/>
      <c r="W106" s="2378"/>
      <c r="X106" s="2378"/>
      <c r="Y106" s="2378"/>
      <c r="Z106" s="2378"/>
      <c r="AA106" s="2378"/>
      <c r="AB106" s="2378"/>
      <c r="AC106" s="2378"/>
      <c r="AD106" s="2378"/>
      <c r="AE106" s="2378"/>
      <c r="AF106" s="2378"/>
      <c r="AG106" s="2378"/>
      <c r="AH106" s="2378"/>
      <c r="AI106" s="2378"/>
      <c r="AJ106" s="2378"/>
      <c r="AK106" s="2378"/>
      <c r="AL106" s="2378"/>
      <c r="AM106" s="2378"/>
      <c r="AN106" s="2378"/>
      <c r="AO106" s="2378"/>
      <c r="AP106" s="2378"/>
      <c r="AQ106" s="2378"/>
      <c r="AR106" s="2378"/>
      <c r="AS106" s="2378"/>
      <c r="AT106" s="1846"/>
      <c r="AU106" s="2472"/>
      <c r="AV106" s="2472"/>
      <c r="AW106" s="2472"/>
      <c r="AX106" s="2472"/>
      <c r="AY106" s="2472"/>
      <c r="AZ106" s="2472"/>
      <c r="BA106" s="2472"/>
      <c r="BB106" s="2472"/>
      <c r="BC106" s="2472"/>
      <c r="BD106" s="2472"/>
      <c r="BE106" s="2472"/>
      <c r="BF106" s="2472"/>
      <c r="BG106" s="2472"/>
      <c r="BH106" s="2472"/>
      <c r="BI106" s="2472"/>
      <c r="BJ106" s="2472"/>
      <c r="BK106" s="2472"/>
      <c r="BL106" s="2472"/>
      <c r="BM106" s="2472"/>
      <c r="BN106" s="2472"/>
      <c r="BO106" s="2472"/>
      <c r="BP106" s="2472"/>
      <c r="BQ106" s="2472"/>
      <c r="BR106" s="2472"/>
    </row>
    <row r="107" customHeight="1" spans="2:70">
      <c r="B107" s="2295" t="s">
        <v>302</v>
      </c>
      <c r="C107" s="2295"/>
      <c r="D107" s="2295"/>
      <c r="E107" s="2295"/>
      <c r="F107" s="2295"/>
      <c r="G107" s="2295"/>
      <c r="H107" s="2295"/>
      <c r="I107" s="2295"/>
      <c r="J107" s="2295"/>
      <c r="K107" s="2295"/>
      <c r="L107" s="2295"/>
      <c r="M107" s="2295"/>
      <c r="N107" s="2295"/>
      <c r="O107" s="2295"/>
      <c r="P107" s="2295"/>
      <c r="Q107" s="2295"/>
      <c r="R107" s="2295"/>
      <c r="S107" s="2295"/>
      <c r="T107" s="2295"/>
      <c r="U107" s="2295"/>
      <c r="W107" s="2120" t="s">
        <v>303</v>
      </c>
      <c r="X107" s="2120"/>
      <c r="Y107" s="2120"/>
      <c r="Z107" s="2120"/>
      <c r="AA107" s="2120"/>
      <c r="AB107" s="2120"/>
      <c r="AC107" s="2120"/>
      <c r="AD107" s="2120"/>
      <c r="AE107" s="2120"/>
      <c r="AF107" s="2120"/>
      <c r="AG107" s="2120"/>
      <c r="AH107" s="2120"/>
      <c r="AI107" s="2120"/>
      <c r="AJ107" s="2120"/>
      <c r="AK107" s="2120"/>
      <c r="AL107" s="2120"/>
      <c r="AM107" s="2120"/>
      <c r="AN107" s="2120"/>
      <c r="AO107" s="2120"/>
      <c r="AP107" s="2120"/>
      <c r="AQ107" s="2120"/>
      <c r="AR107" s="2120"/>
      <c r="AS107" s="2120"/>
      <c r="AT107" s="1846"/>
      <c r="AU107" s="2472"/>
      <c r="AV107" s="2472"/>
      <c r="AW107" s="2472"/>
      <c r="AX107" s="2472"/>
      <c r="AY107" s="2472"/>
      <c r="AZ107" s="2472"/>
      <c r="BA107" s="2472"/>
      <c r="BB107" s="2472"/>
      <c r="BC107" s="2472"/>
      <c r="BD107" s="2472"/>
      <c r="BE107" s="2472"/>
      <c r="BF107" s="2472"/>
      <c r="BG107" s="2472"/>
      <c r="BH107" s="2472"/>
      <c r="BI107" s="2472"/>
      <c r="BJ107" s="2472"/>
      <c r="BK107" s="2472"/>
      <c r="BL107" s="2472"/>
      <c r="BM107" s="2472"/>
      <c r="BN107" s="2472"/>
      <c r="BO107" s="2472"/>
      <c r="BP107" s="2472"/>
      <c r="BQ107" s="2472"/>
      <c r="BR107" s="2472"/>
    </row>
    <row r="108" customHeight="1" spans="2:70">
      <c r="B108" s="2296" t="s">
        <v>304</v>
      </c>
      <c r="C108" s="2297"/>
      <c r="D108" s="2297"/>
      <c r="E108" s="2297"/>
      <c r="F108" s="2297"/>
      <c r="G108" s="2297"/>
      <c r="H108" s="2297"/>
      <c r="I108" s="2297"/>
      <c r="J108" s="2336" t="s">
        <v>305</v>
      </c>
      <c r="K108" s="2337"/>
      <c r="L108" s="2337"/>
      <c r="M108" s="2337"/>
      <c r="N108" s="2337"/>
      <c r="O108" s="2337"/>
      <c r="P108" s="2337"/>
      <c r="Q108" s="2337"/>
      <c r="R108" s="2337"/>
      <c r="S108" s="2337"/>
      <c r="T108" s="2337"/>
      <c r="U108" s="2381"/>
      <c r="W108" s="2382" t="s">
        <v>306</v>
      </c>
      <c r="X108" s="2382"/>
      <c r="Y108" s="2382"/>
      <c r="Z108" s="2382"/>
      <c r="AA108" s="2382"/>
      <c r="AB108" s="2382"/>
      <c r="AC108" s="2382"/>
      <c r="AD108" s="2382"/>
      <c r="AE108" s="2382"/>
      <c r="AF108" s="2382"/>
      <c r="AG108" s="2382"/>
      <c r="AH108" s="2382"/>
      <c r="AI108" s="2382"/>
      <c r="AJ108" s="2382"/>
      <c r="AK108" s="2382"/>
      <c r="AL108" s="2382"/>
      <c r="AM108" s="2382"/>
      <c r="AN108" s="2382"/>
      <c r="AO108" s="2382"/>
      <c r="AP108" s="2382"/>
      <c r="AQ108" s="2382"/>
      <c r="AR108" s="2382"/>
      <c r="AS108" s="2382"/>
      <c r="AT108" s="1905"/>
      <c r="AU108" s="2472"/>
      <c r="AV108" s="2472"/>
      <c r="AW108" s="2472"/>
      <c r="AX108" s="2472"/>
      <c r="AY108" s="2472"/>
      <c r="AZ108" s="2472"/>
      <c r="BA108" s="2472"/>
      <c r="BB108" s="2472"/>
      <c r="BC108" s="2472"/>
      <c r="BD108" s="2472"/>
      <c r="BE108" s="2472"/>
      <c r="BF108" s="2472"/>
      <c r="BG108" s="2472"/>
      <c r="BH108" s="2472"/>
      <c r="BI108" s="2472"/>
      <c r="BJ108" s="2472"/>
      <c r="BK108" s="2472"/>
      <c r="BL108" s="2472"/>
      <c r="BM108" s="2472"/>
      <c r="BN108" s="2472"/>
      <c r="BO108" s="2472"/>
      <c r="BP108" s="2472"/>
      <c r="BQ108" s="2472"/>
      <c r="BR108" s="2472"/>
    </row>
    <row r="109" customHeight="1" spans="2:70">
      <c r="B109" s="2298"/>
      <c r="C109" s="2299"/>
      <c r="D109" s="2299"/>
      <c r="E109" s="2299"/>
      <c r="F109" s="2299"/>
      <c r="G109" s="2299"/>
      <c r="H109" s="2299"/>
      <c r="I109" s="2338"/>
      <c r="J109" s="2299"/>
      <c r="K109" s="2299"/>
      <c r="L109" s="2299"/>
      <c r="M109" s="2299"/>
      <c r="N109" s="2299"/>
      <c r="O109" s="2299"/>
      <c r="P109" s="2299"/>
      <c r="Q109" s="2299"/>
      <c r="R109" s="2299"/>
      <c r="S109" s="2299"/>
      <c r="T109" s="2299"/>
      <c r="U109" s="2383"/>
      <c r="W109" s="2384" t="s">
        <v>307</v>
      </c>
      <c r="X109" s="2384"/>
      <c r="Y109" s="2384"/>
      <c r="Z109" s="2384"/>
      <c r="AA109" s="2384" t="s">
        <v>308</v>
      </c>
      <c r="AB109" s="2384"/>
      <c r="AC109" s="2384"/>
      <c r="AD109" s="2384"/>
      <c r="AE109" s="2384"/>
      <c r="AF109" s="2384"/>
      <c r="AG109" s="2384"/>
      <c r="AH109" s="2384"/>
      <c r="AI109" s="2384"/>
      <c r="AJ109" s="2419"/>
      <c r="AK109" s="2420" t="s">
        <v>309</v>
      </c>
      <c r="AL109" s="2420"/>
      <c r="AM109" s="2420"/>
      <c r="AN109" s="2420"/>
      <c r="AO109" s="2420"/>
      <c r="AP109" s="2420"/>
      <c r="AQ109" s="2420"/>
      <c r="AR109" s="2420" t="s">
        <v>310</v>
      </c>
      <c r="AS109" s="2420"/>
      <c r="AT109" s="1905"/>
      <c r="AU109" s="2472"/>
      <c r="AV109" s="2472"/>
      <c r="AW109" s="2472"/>
      <c r="AX109" s="2472"/>
      <c r="AY109" s="2472"/>
      <c r="AZ109" s="2472"/>
      <c r="BA109" s="2472"/>
      <c r="BB109" s="2472"/>
      <c r="BC109" s="2472"/>
      <c r="BD109" s="2472"/>
      <c r="BE109" s="2472"/>
      <c r="BF109" s="2472"/>
      <c r="BG109" s="2472"/>
      <c r="BH109" s="2472"/>
      <c r="BI109" s="2472"/>
      <c r="BJ109" s="2472"/>
      <c r="BK109" s="2472"/>
      <c r="BL109" s="2472"/>
      <c r="BM109" s="2472"/>
      <c r="BN109" s="2472"/>
      <c r="BO109" s="2472"/>
      <c r="BP109" s="2472"/>
      <c r="BQ109" s="2472"/>
      <c r="BR109" s="2472"/>
    </row>
    <row r="110" customHeight="1" spans="2:70">
      <c r="B110" s="2300"/>
      <c r="C110" s="2301"/>
      <c r="D110" s="2301"/>
      <c r="E110" s="2301"/>
      <c r="F110" s="2301"/>
      <c r="G110" s="2301"/>
      <c r="H110" s="2301"/>
      <c r="I110" s="2339"/>
      <c r="J110" s="2301"/>
      <c r="K110" s="2301"/>
      <c r="L110" s="2301"/>
      <c r="M110" s="2301"/>
      <c r="N110" s="2301"/>
      <c r="O110" s="2301"/>
      <c r="P110" s="2301"/>
      <c r="Q110" s="2301"/>
      <c r="R110" s="2301"/>
      <c r="S110" s="2301"/>
      <c r="T110" s="2301"/>
      <c r="U110" s="2385"/>
      <c r="W110" s="2386" t="s">
        <v>311</v>
      </c>
      <c r="X110" s="2386"/>
      <c r="Y110" s="2386"/>
      <c r="Z110" s="2386"/>
      <c r="AA110" s="2400" t="s">
        <v>312</v>
      </c>
      <c r="AB110" s="2400"/>
      <c r="AC110" s="2400"/>
      <c r="AD110" s="2400"/>
      <c r="AE110" s="2400"/>
      <c r="AF110" s="2400"/>
      <c r="AG110" s="2400"/>
      <c r="AH110" s="2400"/>
      <c r="AI110" s="2400"/>
      <c r="AJ110" s="2421"/>
      <c r="AK110" s="2400" t="s">
        <v>313</v>
      </c>
      <c r="AL110" s="2400"/>
      <c r="AM110" s="2400"/>
      <c r="AN110" s="2400"/>
      <c r="AO110" s="2400"/>
      <c r="AP110" s="2400"/>
      <c r="AQ110" s="2400"/>
      <c r="AR110" s="2386" t="s">
        <v>314</v>
      </c>
      <c r="AS110" s="2386"/>
      <c r="AT110" s="1905"/>
      <c r="AU110" s="2472"/>
      <c r="AV110" s="2472"/>
      <c r="AW110" s="2472"/>
      <c r="AX110" s="2472"/>
      <c r="AY110" s="2472"/>
      <c r="AZ110" s="2472"/>
      <c r="BA110" s="2472"/>
      <c r="BB110" s="2472"/>
      <c r="BC110" s="2472"/>
      <c r="BD110" s="2472"/>
      <c r="BE110" s="2472"/>
      <c r="BF110" s="2472"/>
      <c r="BG110" s="2472"/>
      <c r="BH110" s="2472"/>
      <c r="BI110" s="2472"/>
      <c r="BJ110" s="2472"/>
      <c r="BK110" s="2472"/>
      <c r="BL110" s="2472"/>
      <c r="BM110" s="2472"/>
      <c r="BN110" s="2472"/>
      <c r="BO110" s="2472"/>
      <c r="BP110" s="2472"/>
      <c r="BQ110" s="2472"/>
      <c r="BR110" s="2472"/>
    </row>
    <row r="111" customHeight="1" spans="2:70">
      <c r="B111" s="2298"/>
      <c r="C111" s="2299"/>
      <c r="D111" s="2299"/>
      <c r="E111" s="2299"/>
      <c r="F111" s="2299"/>
      <c r="G111" s="2299"/>
      <c r="H111" s="2299"/>
      <c r="I111" s="2338"/>
      <c r="J111" s="2299"/>
      <c r="K111" s="2299"/>
      <c r="L111" s="2299"/>
      <c r="M111" s="2299"/>
      <c r="N111" s="2299"/>
      <c r="O111" s="2299"/>
      <c r="P111" s="2299"/>
      <c r="Q111" s="2299"/>
      <c r="R111" s="2299"/>
      <c r="S111" s="2299"/>
      <c r="T111" s="2299"/>
      <c r="U111" s="2383"/>
      <c r="W111" s="2387"/>
      <c r="X111" s="2387"/>
      <c r="Y111" s="2387"/>
      <c r="Z111" s="2387"/>
      <c r="AA111" s="2401"/>
      <c r="AB111" s="2401"/>
      <c r="AC111" s="2401"/>
      <c r="AD111" s="2401"/>
      <c r="AE111" s="2401"/>
      <c r="AF111" s="2401"/>
      <c r="AG111" s="2401"/>
      <c r="AH111" s="2401"/>
      <c r="AI111" s="2401"/>
      <c r="AJ111" s="2422"/>
      <c r="AK111" s="2401"/>
      <c r="AL111" s="2401"/>
      <c r="AM111" s="2401"/>
      <c r="AN111" s="2401"/>
      <c r="AO111" s="2401"/>
      <c r="AP111" s="2401"/>
      <c r="AQ111" s="2401"/>
      <c r="AR111" s="2387"/>
      <c r="AS111" s="2387"/>
      <c r="AT111" s="1905"/>
      <c r="AU111" s="2472"/>
      <c r="AV111" s="2472"/>
      <c r="AW111" s="2472"/>
      <c r="AX111" s="2472"/>
      <c r="AY111" s="2472"/>
      <c r="AZ111" s="2472"/>
      <c r="BA111" s="2472"/>
      <c r="BB111" s="2472"/>
      <c r="BC111" s="2472"/>
      <c r="BD111" s="2472"/>
      <c r="BE111" s="2472"/>
      <c r="BF111" s="2472"/>
      <c r="BG111" s="2472"/>
      <c r="BH111" s="2472"/>
      <c r="BI111" s="2472"/>
      <c r="BJ111" s="2472"/>
      <c r="BK111" s="2472"/>
      <c r="BL111" s="2472"/>
      <c r="BM111" s="2472"/>
      <c r="BN111" s="2472"/>
      <c r="BO111" s="2472"/>
      <c r="BP111" s="2472"/>
      <c r="BQ111" s="2472"/>
      <c r="BR111" s="2472"/>
    </row>
    <row r="112" customHeight="1" spans="2:70">
      <c r="B112" s="2300"/>
      <c r="C112" s="2301"/>
      <c r="D112" s="2301"/>
      <c r="E112" s="2301"/>
      <c r="F112" s="2301"/>
      <c r="G112" s="2301"/>
      <c r="H112" s="2301"/>
      <c r="I112" s="2339"/>
      <c r="J112" s="2301"/>
      <c r="K112" s="2301"/>
      <c r="L112" s="2301"/>
      <c r="M112" s="2301"/>
      <c r="N112" s="2301"/>
      <c r="O112" s="2301"/>
      <c r="P112" s="2301"/>
      <c r="Q112" s="2301"/>
      <c r="R112" s="2301"/>
      <c r="S112" s="2301"/>
      <c r="T112" s="2301"/>
      <c r="U112" s="2385"/>
      <c r="W112" s="2388"/>
      <c r="X112" s="2388"/>
      <c r="Y112" s="2388"/>
      <c r="Z112" s="2388"/>
      <c r="AA112" s="2402"/>
      <c r="AB112" s="2402"/>
      <c r="AC112" s="2402"/>
      <c r="AD112" s="2402"/>
      <c r="AE112" s="2402"/>
      <c r="AF112" s="2402"/>
      <c r="AG112" s="2402"/>
      <c r="AH112" s="2402"/>
      <c r="AI112" s="2402"/>
      <c r="AJ112" s="2423"/>
      <c r="AK112" s="2402"/>
      <c r="AL112" s="2402"/>
      <c r="AM112" s="2402"/>
      <c r="AN112" s="2402"/>
      <c r="AO112" s="2402"/>
      <c r="AP112" s="2402"/>
      <c r="AQ112" s="2402"/>
      <c r="AR112" s="2388"/>
      <c r="AS112" s="2388"/>
      <c r="AT112" s="1846"/>
      <c r="AU112" s="2472"/>
      <c r="AV112" s="2472"/>
      <c r="AW112" s="2472"/>
      <c r="AX112" s="2472"/>
      <c r="AY112" s="2472"/>
      <c r="AZ112" s="2472"/>
      <c r="BA112" s="2472"/>
      <c r="BB112" s="2472"/>
      <c r="BC112" s="2472"/>
      <c r="BD112" s="2472"/>
      <c r="BE112" s="2472"/>
      <c r="BF112" s="2472"/>
      <c r="BG112" s="2472"/>
      <c r="BH112" s="2472"/>
      <c r="BI112" s="2472"/>
      <c r="BJ112" s="2472"/>
      <c r="BK112" s="2472"/>
      <c r="BL112" s="2472"/>
      <c r="BM112" s="2472"/>
      <c r="BN112" s="2472"/>
      <c r="BO112" s="2472"/>
      <c r="BP112" s="2472"/>
      <c r="BQ112" s="2472"/>
      <c r="BR112" s="2472"/>
    </row>
    <row r="113" customHeight="1" spans="2:70">
      <c r="B113" s="2298"/>
      <c r="C113" s="2299"/>
      <c r="D113" s="2299"/>
      <c r="E113" s="2299"/>
      <c r="F113" s="2299"/>
      <c r="G113" s="2299"/>
      <c r="H113" s="2299"/>
      <c r="I113" s="2338"/>
      <c r="J113" s="2299"/>
      <c r="K113" s="2299"/>
      <c r="L113" s="2299"/>
      <c r="M113" s="2299"/>
      <c r="N113" s="2299"/>
      <c r="O113" s="2299"/>
      <c r="P113" s="2299"/>
      <c r="Q113" s="2299"/>
      <c r="R113" s="2299"/>
      <c r="S113" s="2299"/>
      <c r="T113" s="2299"/>
      <c r="U113" s="2383"/>
      <c r="W113" s="2387"/>
      <c r="X113" s="2387"/>
      <c r="Y113" s="2387"/>
      <c r="Z113" s="2387"/>
      <c r="AA113" s="2401"/>
      <c r="AB113" s="2401"/>
      <c r="AC113" s="2401"/>
      <c r="AD113" s="2401"/>
      <c r="AE113" s="2401"/>
      <c r="AF113" s="2401"/>
      <c r="AG113" s="2401"/>
      <c r="AH113" s="2401"/>
      <c r="AI113" s="2401"/>
      <c r="AJ113" s="2422"/>
      <c r="AK113" s="2401"/>
      <c r="AL113" s="2401"/>
      <c r="AM113" s="2401"/>
      <c r="AN113" s="2401"/>
      <c r="AO113" s="2401"/>
      <c r="AP113" s="2401"/>
      <c r="AQ113" s="2401"/>
      <c r="AR113" s="2387"/>
      <c r="AS113" s="2387"/>
      <c r="AT113" s="1846"/>
      <c r="AU113" s="2472"/>
      <c r="AV113" s="2472"/>
      <c r="AW113" s="2472"/>
      <c r="AX113" s="2472"/>
      <c r="AY113" s="2472"/>
      <c r="AZ113" s="2472"/>
      <c r="BA113" s="2472"/>
      <c r="BB113" s="2472"/>
      <c r="BC113" s="2472"/>
      <c r="BD113" s="2472"/>
      <c r="BE113" s="2472"/>
      <c r="BF113" s="2472"/>
      <c r="BG113" s="2472"/>
      <c r="BH113" s="2472"/>
      <c r="BI113" s="2472"/>
      <c r="BJ113" s="2472"/>
      <c r="BK113" s="2472"/>
      <c r="BL113" s="2472"/>
      <c r="BM113" s="2472"/>
      <c r="BN113" s="2472"/>
      <c r="BO113" s="2472"/>
      <c r="BP113" s="2472"/>
      <c r="BQ113" s="2472"/>
      <c r="BR113" s="2472"/>
    </row>
    <row r="114" customHeight="1" spans="2:70">
      <c r="B114" s="2300"/>
      <c r="C114" s="2301"/>
      <c r="D114" s="2301"/>
      <c r="E114" s="2301"/>
      <c r="F114" s="2301"/>
      <c r="G114" s="2301"/>
      <c r="H114" s="2301"/>
      <c r="I114" s="2339"/>
      <c r="J114" s="2301"/>
      <c r="K114" s="2301"/>
      <c r="L114" s="2301"/>
      <c r="M114" s="2301"/>
      <c r="N114" s="2301"/>
      <c r="O114" s="2301"/>
      <c r="P114" s="2301"/>
      <c r="Q114" s="2301"/>
      <c r="R114" s="2301"/>
      <c r="S114" s="2301"/>
      <c r="T114" s="2301"/>
      <c r="U114" s="2385"/>
      <c r="W114" s="2388"/>
      <c r="X114" s="2388"/>
      <c r="Y114" s="2388"/>
      <c r="Z114" s="2388"/>
      <c r="AA114" s="2402"/>
      <c r="AB114" s="2402"/>
      <c r="AC114" s="2402"/>
      <c r="AD114" s="2402"/>
      <c r="AE114" s="2402"/>
      <c r="AF114" s="2402"/>
      <c r="AG114" s="2402"/>
      <c r="AH114" s="2402"/>
      <c r="AI114" s="2402"/>
      <c r="AJ114" s="2423"/>
      <c r="AK114" s="2402"/>
      <c r="AL114" s="2402"/>
      <c r="AM114" s="2402"/>
      <c r="AN114" s="2402"/>
      <c r="AO114" s="2402"/>
      <c r="AP114" s="2402"/>
      <c r="AQ114" s="2402"/>
      <c r="AR114" s="2388"/>
      <c r="AS114" s="2388"/>
      <c r="AT114" s="1905"/>
      <c r="AU114" s="2472"/>
      <c r="AV114" s="2472"/>
      <c r="AW114" s="2472"/>
      <c r="AX114" s="2472"/>
      <c r="AY114" s="2472"/>
      <c r="AZ114" s="2472"/>
      <c r="BA114" s="2472"/>
      <c r="BB114" s="2472"/>
      <c r="BC114" s="2472"/>
      <c r="BD114" s="2472"/>
      <c r="BE114" s="2472"/>
      <c r="BF114" s="2472"/>
      <c r="BG114" s="2472"/>
      <c r="BH114" s="2472"/>
      <c r="BI114" s="2472"/>
      <c r="BJ114" s="2472"/>
      <c r="BK114" s="2472"/>
      <c r="BL114" s="2472"/>
      <c r="BM114" s="2472"/>
      <c r="BN114" s="2472"/>
      <c r="BO114" s="2472"/>
      <c r="BP114" s="2472"/>
      <c r="BQ114" s="2472"/>
      <c r="BR114" s="2472"/>
    </row>
    <row r="115" customHeight="1" spans="2:70">
      <c r="B115" s="2298"/>
      <c r="C115" s="2299"/>
      <c r="D115" s="2299"/>
      <c r="E115" s="2299"/>
      <c r="F115" s="2299"/>
      <c r="G115" s="2299"/>
      <c r="H115" s="2299"/>
      <c r="I115" s="2338"/>
      <c r="J115" s="2299"/>
      <c r="K115" s="2299"/>
      <c r="L115" s="2299"/>
      <c r="M115" s="2299"/>
      <c r="N115" s="2299"/>
      <c r="O115" s="2299"/>
      <c r="P115" s="2299"/>
      <c r="Q115" s="2299"/>
      <c r="R115" s="2299"/>
      <c r="S115" s="2299"/>
      <c r="T115" s="2299"/>
      <c r="U115" s="2383"/>
      <c r="W115" s="2387"/>
      <c r="X115" s="2387"/>
      <c r="Y115" s="2387"/>
      <c r="Z115" s="2387"/>
      <c r="AA115" s="2401"/>
      <c r="AB115" s="2401"/>
      <c r="AC115" s="2401"/>
      <c r="AD115" s="2401"/>
      <c r="AE115" s="2401"/>
      <c r="AF115" s="2401"/>
      <c r="AG115" s="2401"/>
      <c r="AH115" s="2401"/>
      <c r="AI115" s="2401"/>
      <c r="AJ115" s="2422"/>
      <c r="AK115" s="2401"/>
      <c r="AL115" s="2401"/>
      <c r="AM115" s="2401"/>
      <c r="AN115" s="2401"/>
      <c r="AO115" s="2401"/>
      <c r="AP115" s="2401"/>
      <c r="AQ115" s="2401"/>
      <c r="AR115" s="2387"/>
      <c r="AS115" s="2387"/>
      <c r="AT115" s="1905"/>
      <c r="AU115" s="2472"/>
      <c r="AV115" s="2472"/>
      <c r="AW115" s="2472"/>
      <c r="AX115" s="2472"/>
      <c r="AY115" s="2472"/>
      <c r="AZ115" s="2472"/>
      <c r="BA115" s="2472"/>
      <c r="BB115" s="2472"/>
      <c r="BC115" s="2472"/>
      <c r="BD115" s="2472"/>
      <c r="BE115" s="2472"/>
      <c r="BF115" s="2472"/>
      <c r="BG115" s="2472"/>
      <c r="BH115" s="2472"/>
      <c r="BI115" s="2472"/>
      <c r="BJ115" s="2472"/>
      <c r="BK115" s="2472"/>
      <c r="BL115" s="2472"/>
      <c r="BM115" s="2472"/>
      <c r="BN115" s="2472"/>
      <c r="BO115" s="2472"/>
      <c r="BP115" s="2472"/>
      <c r="BQ115" s="2472"/>
      <c r="BR115" s="2472"/>
    </row>
    <row r="116" customHeight="1" spans="2:70">
      <c r="B116" s="2300"/>
      <c r="C116" s="2301"/>
      <c r="D116" s="2301"/>
      <c r="E116" s="2301"/>
      <c r="F116" s="2301"/>
      <c r="G116" s="2301"/>
      <c r="H116" s="2301"/>
      <c r="I116" s="2339"/>
      <c r="J116" s="2301"/>
      <c r="K116" s="2301"/>
      <c r="L116" s="2301"/>
      <c r="M116" s="2301"/>
      <c r="N116" s="2301"/>
      <c r="O116" s="2301"/>
      <c r="P116" s="2301"/>
      <c r="Q116" s="2301"/>
      <c r="R116" s="2301"/>
      <c r="S116" s="2301"/>
      <c r="T116" s="2301"/>
      <c r="U116" s="2385"/>
      <c r="W116" s="2388"/>
      <c r="X116" s="2388"/>
      <c r="Y116" s="2388"/>
      <c r="Z116" s="2388"/>
      <c r="AA116" s="2402"/>
      <c r="AB116" s="2402"/>
      <c r="AC116" s="2402"/>
      <c r="AD116" s="2402"/>
      <c r="AE116" s="2402"/>
      <c r="AF116" s="2402"/>
      <c r="AG116" s="2402"/>
      <c r="AH116" s="2402"/>
      <c r="AI116" s="2402"/>
      <c r="AJ116" s="2423"/>
      <c r="AK116" s="2402"/>
      <c r="AL116" s="2402"/>
      <c r="AM116" s="2402"/>
      <c r="AN116" s="2402"/>
      <c r="AO116" s="2402"/>
      <c r="AP116" s="2402"/>
      <c r="AQ116" s="2402"/>
      <c r="AR116" s="2388"/>
      <c r="AS116" s="2388"/>
      <c r="AU116" s="2472"/>
      <c r="AV116" s="2472"/>
      <c r="AW116" s="2472"/>
      <c r="AX116" s="2472"/>
      <c r="AY116" s="2472"/>
      <c r="AZ116" s="2472"/>
      <c r="BA116" s="2472"/>
      <c r="BB116" s="2472"/>
      <c r="BC116" s="2472"/>
      <c r="BD116" s="2472"/>
      <c r="BE116" s="2472"/>
      <c r="BF116" s="2472"/>
      <c r="BG116" s="2472"/>
      <c r="BH116" s="2472"/>
      <c r="BI116" s="2472"/>
      <c r="BJ116" s="2472"/>
      <c r="BK116" s="2472"/>
      <c r="BL116" s="2472"/>
      <c r="BM116" s="2472"/>
      <c r="BN116" s="2472"/>
      <c r="BO116" s="2472"/>
      <c r="BP116" s="2472"/>
      <c r="BQ116" s="2472"/>
      <c r="BR116" s="2472"/>
    </row>
    <row r="117" customHeight="1" spans="2:70">
      <c r="B117" s="2298"/>
      <c r="C117" s="2299"/>
      <c r="D117" s="2299"/>
      <c r="E117" s="2299"/>
      <c r="F117" s="2299"/>
      <c r="G117" s="2299"/>
      <c r="H117" s="2299"/>
      <c r="I117" s="2338"/>
      <c r="J117" s="2299"/>
      <c r="K117" s="2299"/>
      <c r="L117" s="2299"/>
      <c r="M117" s="2299"/>
      <c r="N117" s="2299"/>
      <c r="O117" s="2299"/>
      <c r="P117" s="2299"/>
      <c r="Q117" s="2299"/>
      <c r="R117" s="2299"/>
      <c r="S117" s="2299"/>
      <c r="T117" s="2299"/>
      <c r="U117" s="2383"/>
      <c r="W117" s="2387"/>
      <c r="X117" s="2387"/>
      <c r="Y117" s="2387"/>
      <c r="Z117" s="2387"/>
      <c r="AA117" s="2401"/>
      <c r="AB117" s="2401"/>
      <c r="AC117" s="2401"/>
      <c r="AD117" s="2401"/>
      <c r="AE117" s="2401"/>
      <c r="AF117" s="2401"/>
      <c r="AG117" s="2401"/>
      <c r="AH117" s="2401"/>
      <c r="AI117" s="2401"/>
      <c r="AJ117" s="2422"/>
      <c r="AK117" s="2401"/>
      <c r="AL117" s="2401"/>
      <c r="AM117" s="2401"/>
      <c r="AN117" s="2401"/>
      <c r="AO117" s="2401"/>
      <c r="AP117" s="2401"/>
      <c r="AQ117" s="2401"/>
      <c r="AR117" s="2387"/>
      <c r="AS117" s="2387"/>
      <c r="AU117" s="2472"/>
      <c r="AV117" s="2472"/>
      <c r="AW117" s="2472"/>
      <c r="AX117" s="2472"/>
      <c r="AY117" s="2472"/>
      <c r="AZ117" s="2472"/>
      <c r="BA117" s="2472"/>
      <c r="BB117" s="2472"/>
      <c r="BC117" s="2472"/>
      <c r="BD117" s="2472"/>
      <c r="BE117" s="2472"/>
      <c r="BF117" s="2472"/>
      <c r="BG117" s="2472"/>
      <c r="BH117" s="2472"/>
      <c r="BI117" s="2472"/>
      <c r="BJ117" s="2472"/>
      <c r="BK117" s="2472"/>
      <c r="BL117" s="2472"/>
      <c r="BM117" s="2472"/>
      <c r="BN117" s="2472"/>
      <c r="BO117" s="2472"/>
      <c r="BP117" s="2472"/>
      <c r="BQ117" s="2472"/>
      <c r="BR117" s="2472"/>
    </row>
    <row r="118" customHeight="1" spans="2:70">
      <c r="B118" s="2300"/>
      <c r="C118" s="2301"/>
      <c r="D118" s="2301"/>
      <c r="E118" s="2301"/>
      <c r="F118" s="2301"/>
      <c r="G118" s="2301"/>
      <c r="H118" s="2301"/>
      <c r="I118" s="2339"/>
      <c r="J118" s="2301"/>
      <c r="K118" s="2301"/>
      <c r="L118" s="2301"/>
      <c r="M118" s="2301"/>
      <c r="N118" s="2301"/>
      <c r="O118" s="2301"/>
      <c r="P118" s="2301"/>
      <c r="Q118" s="2301"/>
      <c r="R118" s="2301"/>
      <c r="S118" s="2301"/>
      <c r="T118" s="2301"/>
      <c r="U118" s="2385"/>
      <c r="W118" s="2388"/>
      <c r="X118" s="2388"/>
      <c r="Y118" s="2388"/>
      <c r="Z118" s="2388"/>
      <c r="AA118" s="2402"/>
      <c r="AB118" s="2402"/>
      <c r="AC118" s="2402"/>
      <c r="AD118" s="2402"/>
      <c r="AE118" s="2402"/>
      <c r="AF118" s="2402"/>
      <c r="AG118" s="2402"/>
      <c r="AH118" s="2402"/>
      <c r="AI118" s="2402"/>
      <c r="AJ118" s="2423"/>
      <c r="AK118" s="2402"/>
      <c r="AL118" s="2402"/>
      <c r="AM118" s="2402"/>
      <c r="AN118" s="2402"/>
      <c r="AO118" s="2402"/>
      <c r="AP118" s="2402"/>
      <c r="AQ118" s="2402"/>
      <c r="AR118" s="2388"/>
      <c r="AS118" s="2388"/>
      <c r="AT118" s="1905"/>
      <c r="AU118" s="2472"/>
      <c r="AV118" s="2472"/>
      <c r="AW118" s="2472"/>
      <c r="AX118" s="2472"/>
      <c r="AY118" s="2472"/>
      <c r="AZ118" s="2472"/>
      <c r="BA118" s="2472"/>
      <c r="BB118" s="2472"/>
      <c r="BC118" s="2472"/>
      <c r="BD118" s="2472"/>
      <c r="BE118" s="2472"/>
      <c r="BF118" s="2472"/>
      <c r="BG118" s="2472"/>
      <c r="BH118" s="2472"/>
      <c r="BI118" s="2472"/>
      <c r="BJ118" s="2472"/>
      <c r="BK118" s="2472"/>
      <c r="BL118" s="2472"/>
      <c r="BM118" s="2472"/>
      <c r="BN118" s="2472"/>
      <c r="BO118" s="2472"/>
      <c r="BP118" s="2472"/>
      <c r="BQ118" s="2472"/>
      <c r="BR118" s="2472"/>
    </row>
    <row r="119" customHeight="1" spans="2:70">
      <c r="B119" s="2298"/>
      <c r="C119" s="2299"/>
      <c r="D119" s="2299"/>
      <c r="E119" s="2299"/>
      <c r="F119" s="2299"/>
      <c r="G119" s="2299"/>
      <c r="H119" s="2299"/>
      <c r="I119" s="2338"/>
      <c r="J119" s="2299"/>
      <c r="K119" s="2299"/>
      <c r="L119" s="2299"/>
      <c r="M119" s="2299"/>
      <c r="N119" s="2299"/>
      <c r="O119" s="2299"/>
      <c r="P119" s="2299"/>
      <c r="Q119" s="2299"/>
      <c r="R119" s="2299"/>
      <c r="S119" s="2299"/>
      <c r="T119" s="2299"/>
      <c r="U119" s="2383"/>
      <c r="W119" s="2387"/>
      <c r="X119" s="2387"/>
      <c r="Y119" s="2387"/>
      <c r="Z119" s="2387"/>
      <c r="AA119" s="2401"/>
      <c r="AB119" s="2401"/>
      <c r="AC119" s="2401"/>
      <c r="AD119" s="2401"/>
      <c r="AE119" s="2401"/>
      <c r="AF119" s="2401"/>
      <c r="AG119" s="2401"/>
      <c r="AH119" s="2401"/>
      <c r="AI119" s="2401"/>
      <c r="AJ119" s="2422"/>
      <c r="AK119" s="2401"/>
      <c r="AL119" s="2401"/>
      <c r="AM119" s="2401"/>
      <c r="AN119" s="2401"/>
      <c r="AO119" s="2401"/>
      <c r="AP119" s="2401"/>
      <c r="AQ119" s="2401"/>
      <c r="AR119" s="2387"/>
      <c r="AS119" s="2387"/>
      <c r="AT119" s="1905"/>
      <c r="AU119" s="2472"/>
      <c r="AV119" s="2472"/>
      <c r="AW119" s="2472"/>
      <c r="AX119" s="2472"/>
      <c r="AY119" s="2472"/>
      <c r="AZ119" s="2472"/>
      <c r="BA119" s="2472"/>
      <c r="BB119" s="2472"/>
      <c r="BC119" s="2472"/>
      <c r="BD119" s="2472"/>
      <c r="BE119" s="2472"/>
      <c r="BF119" s="2472"/>
      <c r="BG119" s="2472"/>
      <c r="BH119" s="2472"/>
      <c r="BI119" s="2472"/>
      <c r="BJ119" s="2472"/>
      <c r="BK119" s="2472"/>
      <c r="BL119" s="2472"/>
      <c r="BM119" s="2472"/>
      <c r="BN119" s="2472"/>
      <c r="BO119" s="2472"/>
      <c r="BP119" s="2472"/>
      <c r="BQ119" s="2472"/>
      <c r="BR119" s="2472"/>
    </row>
    <row r="120" customHeight="1" spans="2:70">
      <c r="B120" s="2300"/>
      <c r="C120" s="2301"/>
      <c r="D120" s="2301"/>
      <c r="E120" s="2301"/>
      <c r="F120" s="2301"/>
      <c r="G120" s="2301"/>
      <c r="H120" s="2301"/>
      <c r="I120" s="2339"/>
      <c r="J120" s="2301"/>
      <c r="K120" s="2301"/>
      <c r="L120" s="2301"/>
      <c r="M120" s="2301"/>
      <c r="N120" s="2301"/>
      <c r="O120" s="2301"/>
      <c r="P120" s="2301"/>
      <c r="Q120" s="2301"/>
      <c r="R120" s="2301"/>
      <c r="S120" s="2301"/>
      <c r="T120" s="2301"/>
      <c r="U120" s="2385"/>
      <c r="W120" s="2388"/>
      <c r="X120" s="2388"/>
      <c r="Y120" s="2388"/>
      <c r="Z120" s="2388"/>
      <c r="AA120" s="2402"/>
      <c r="AB120" s="2402"/>
      <c r="AC120" s="2402"/>
      <c r="AD120" s="2402"/>
      <c r="AE120" s="2402"/>
      <c r="AF120" s="2402"/>
      <c r="AG120" s="2402"/>
      <c r="AH120" s="2402"/>
      <c r="AI120" s="2402"/>
      <c r="AJ120" s="2423"/>
      <c r="AK120" s="2402"/>
      <c r="AL120" s="2402"/>
      <c r="AM120" s="2402"/>
      <c r="AN120" s="2402"/>
      <c r="AO120" s="2402"/>
      <c r="AP120" s="2402"/>
      <c r="AQ120" s="2402"/>
      <c r="AR120" s="2388"/>
      <c r="AS120" s="2388"/>
      <c r="AT120" s="1905"/>
      <c r="AU120" s="2472"/>
      <c r="AV120" s="2472"/>
      <c r="AW120" s="2472"/>
      <c r="AX120" s="2472"/>
      <c r="AY120" s="2472"/>
      <c r="AZ120" s="2472"/>
      <c r="BA120" s="2472"/>
      <c r="BB120" s="2472"/>
      <c r="BC120" s="2472"/>
      <c r="BD120" s="2472"/>
      <c r="BE120" s="2472"/>
      <c r="BF120" s="2472"/>
      <c r="BG120" s="2472"/>
      <c r="BH120" s="2472"/>
      <c r="BI120" s="2472"/>
      <c r="BJ120" s="2472"/>
      <c r="BK120" s="2472"/>
      <c r="BL120" s="2472"/>
      <c r="BM120" s="2472"/>
      <c r="BN120" s="2472"/>
      <c r="BO120" s="2472"/>
      <c r="BP120" s="2472"/>
      <c r="BQ120" s="2472"/>
      <c r="BR120" s="2472"/>
    </row>
    <row r="121" customHeight="1" spans="2:70">
      <c r="B121" s="2298"/>
      <c r="C121" s="2299"/>
      <c r="D121" s="2299"/>
      <c r="E121" s="2299"/>
      <c r="F121" s="2299"/>
      <c r="G121" s="2299"/>
      <c r="H121" s="2299"/>
      <c r="I121" s="2338"/>
      <c r="J121" s="2299"/>
      <c r="K121" s="2299"/>
      <c r="L121" s="2299"/>
      <c r="M121" s="2299"/>
      <c r="N121" s="2299"/>
      <c r="O121" s="2299"/>
      <c r="P121" s="2299"/>
      <c r="Q121" s="2299"/>
      <c r="R121" s="2299"/>
      <c r="S121" s="2299"/>
      <c r="T121" s="2299"/>
      <c r="U121" s="2383"/>
      <c r="W121" s="2387"/>
      <c r="X121" s="2387"/>
      <c r="Y121" s="2387"/>
      <c r="Z121" s="2387"/>
      <c r="AA121" s="2401"/>
      <c r="AB121" s="2401"/>
      <c r="AC121" s="2401"/>
      <c r="AD121" s="2401"/>
      <c r="AE121" s="2401"/>
      <c r="AF121" s="2401"/>
      <c r="AG121" s="2401"/>
      <c r="AH121" s="2401"/>
      <c r="AI121" s="2401"/>
      <c r="AJ121" s="2422"/>
      <c r="AK121" s="2401"/>
      <c r="AL121" s="2401"/>
      <c r="AM121" s="2401"/>
      <c r="AN121" s="2401"/>
      <c r="AO121" s="2401"/>
      <c r="AP121" s="2401"/>
      <c r="AQ121" s="2401"/>
      <c r="AR121" s="2387"/>
      <c r="AS121" s="2387"/>
      <c r="AT121" s="1905"/>
      <c r="AU121" s="2472"/>
      <c r="AV121" s="2472"/>
      <c r="AW121" s="2472"/>
      <c r="AX121" s="2472"/>
      <c r="AY121" s="2472"/>
      <c r="AZ121" s="2472"/>
      <c r="BA121" s="2472"/>
      <c r="BB121" s="2472"/>
      <c r="BC121" s="2472"/>
      <c r="BD121" s="2472"/>
      <c r="BE121" s="2472"/>
      <c r="BF121" s="2472"/>
      <c r="BG121" s="2472"/>
      <c r="BH121" s="2472"/>
      <c r="BI121" s="2472"/>
      <c r="BJ121" s="2472"/>
      <c r="BK121" s="2472"/>
      <c r="BL121" s="2472"/>
      <c r="BM121" s="2472"/>
      <c r="BN121" s="2472"/>
      <c r="BO121" s="2472"/>
      <c r="BP121" s="2472"/>
      <c r="BQ121" s="2472"/>
      <c r="BR121" s="2472"/>
    </row>
    <row r="122" customHeight="1" spans="2:70">
      <c r="B122" s="2300"/>
      <c r="C122" s="2301"/>
      <c r="D122" s="2301"/>
      <c r="E122" s="2301"/>
      <c r="F122" s="2301"/>
      <c r="G122" s="2301"/>
      <c r="H122" s="2301"/>
      <c r="I122" s="2339"/>
      <c r="J122" s="2301"/>
      <c r="K122" s="2301"/>
      <c r="L122" s="2301"/>
      <c r="M122" s="2301"/>
      <c r="N122" s="2301"/>
      <c r="O122" s="2301"/>
      <c r="P122" s="2301"/>
      <c r="Q122" s="2301"/>
      <c r="R122" s="2301"/>
      <c r="S122" s="2301"/>
      <c r="T122" s="2301"/>
      <c r="U122" s="2385"/>
      <c r="W122" s="2388"/>
      <c r="X122" s="2388"/>
      <c r="Y122" s="2388"/>
      <c r="Z122" s="2388"/>
      <c r="AA122" s="2402"/>
      <c r="AB122" s="2402"/>
      <c r="AC122" s="2402"/>
      <c r="AD122" s="2402"/>
      <c r="AE122" s="2402"/>
      <c r="AF122" s="2402"/>
      <c r="AG122" s="2402"/>
      <c r="AH122" s="2402"/>
      <c r="AI122" s="2402"/>
      <c r="AJ122" s="2402"/>
      <c r="AK122" s="2402"/>
      <c r="AL122" s="2402"/>
      <c r="AM122" s="2402"/>
      <c r="AN122" s="2402"/>
      <c r="AO122" s="2402"/>
      <c r="AP122" s="2402"/>
      <c r="AQ122" s="2402"/>
      <c r="AR122" s="2388"/>
      <c r="AS122" s="2388"/>
      <c r="AT122" s="1905"/>
      <c r="AU122" s="2472"/>
      <c r="AV122" s="2472"/>
      <c r="AW122" s="2472"/>
      <c r="AX122" s="2472"/>
      <c r="AY122" s="2472"/>
      <c r="AZ122" s="2472"/>
      <c r="BA122" s="2472"/>
      <c r="BB122" s="2472"/>
      <c r="BC122" s="2472"/>
      <c r="BD122" s="2472"/>
      <c r="BE122" s="2472"/>
      <c r="BF122" s="2472"/>
      <c r="BG122" s="2472"/>
      <c r="BH122" s="2472"/>
      <c r="BI122" s="2472"/>
      <c r="BJ122" s="2472"/>
      <c r="BK122" s="2472"/>
      <c r="BL122" s="2472"/>
      <c r="BM122" s="2472"/>
      <c r="BN122" s="2472"/>
      <c r="BO122" s="2472"/>
      <c r="BP122" s="2472"/>
      <c r="BQ122" s="2472"/>
      <c r="BR122" s="2472"/>
    </row>
    <row r="123" customHeight="1" spans="2:70">
      <c r="B123" s="2298"/>
      <c r="C123" s="2299"/>
      <c r="D123" s="2299"/>
      <c r="E123" s="2299"/>
      <c r="F123" s="2299"/>
      <c r="G123" s="2299"/>
      <c r="H123" s="2299"/>
      <c r="I123" s="2338"/>
      <c r="J123" s="2299"/>
      <c r="K123" s="2299"/>
      <c r="L123" s="2299"/>
      <c r="M123" s="2299"/>
      <c r="N123" s="2299"/>
      <c r="O123" s="2299"/>
      <c r="P123" s="2299"/>
      <c r="Q123" s="2299"/>
      <c r="R123" s="2299"/>
      <c r="S123" s="2299"/>
      <c r="T123" s="2299"/>
      <c r="U123" s="2383"/>
      <c r="W123" s="2387"/>
      <c r="X123" s="2387"/>
      <c r="Y123" s="2387"/>
      <c r="Z123" s="2387"/>
      <c r="AA123" s="2401"/>
      <c r="AB123" s="2401"/>
      <c r="AC123" s="2401"/>
      <c r="AD123" s="2401"/>
      <c r="AE123" s="2401"/>
      <c r="AF123" s="2401"/>
      <c r="AG123" s="2401"/>
      <c r="AH123" s="2401"/>
      <c r="AI123" s="2401"/>
      <c r="AJ123" s="2422"/>
      <c r="AK123" s="2401"/>
      <c r="AL123" s="2401"/>
      <c r="AM123" s="2401"/>
      <c r="AN123" s="2401"/>
      <c r="AO123" s="2401"/>
      <c r="AP123" s="2401"/>
      <c r="AQ123" s="2401"/>
      <c r="AR123" s="2387"/>
      <c r="AS123" s="2387"/>
      <c r="AT123" s="1905"/>
      <c r="AU123" s="2472"/>
      <c r="AV123" s="2472"/>
      <c r="AW123" s="2472"/>
      <c r="AX123" s="2472"/>
      <c r="AY123" s="2472"/>
      <c r="AZ123" s="2472"/>
      <c r="BA123" s="2472"/>
      <c r="BB123" s="2472"/>
      <c r="BC123" s="2472"/>
      <c r="BD123" s="2472"/>
      <c r="BE123" s="2472"/>
      <c r="BF123" s="2472"/>
      <c r="BG123" s="2472"/>
      <c r="BH123" s="2472"/>
      <c r="BI123" s="2472"/>
      <c r="BJ123" s="2472"/>
      <c r="BK123" s="2472"/>
      <c r="BL123" s="2472"/>
      <c r="BM123" s="2472"/>
      <c r="BN123" s="2472"/>
      <c r="BO123" s="2472"/>
      <c r="BP123" s="2472"/>
      <c r="BQ123" s="2472"/>
      <c r="BR123" s="2472"/>
    </row>
    <row r="124" customHeight="1" spans="2:70">
      <c r="B124" s="2300"/>
      <c r="C124" s="2301"/>
      <c r="D124" s="2301"/>
      <c r="E124" s="2301"/>
      <c r="F124" s="2301"/>
      <c r="G124" s="2301"/>
      <c r="H124" s="2301"/>
      <c r="I124" s="2339"/>
      <c r="J124" s="2301"/>
      <c r="K124" s="2301"/>
      <c r="L124" s="2301"/>
      <c r="M124" s="2301"/>
      <c r="N124" s="2301"/>
      <c r="O124" s="2301"/>
      <c r="P124" s="2301"/>
      <c r="Q124" s="2301"/>
      <c r="R124" s="2301"/>
      <c r="S124" s="2301"/>
      <c r="T124" s="2301"/>
      <c r="U124" s="2385"/>
      <c r="W124" s="2389" t="s">
        <v>315</v>
      </c>
      <c r="X124" s="2390"/>
      <c r="Y124" s="2390"/>
      <c r="Z124" s="2390"/>
      <c r="AA124" s="2390"/>
      <c r="AB124" s="2390"/>
      <c r="AC124" s="2390"/>
      <c r="AD124" s="2390"/>
      <c r="AE124" s="2390"/>
      <c r="AF124" s="2390"/>
      <c r="AG124" s="2390"/>
      <c r="AH124" s="2390"/>
      <c r="AI124" s="2390"/>
      <c r="AJ124" s="2390"/>
      <c r="AK124" s="2390"/>
      <c r="AL124" s="2390"/>
      <c r="AM124" s="2390"/>
      <c r="AN124" s="2390"/>
      <c r="AO124" s="2390"/>
      <c r="AP124" s="2390"/>
      <c r="AQ124" s="2390"/>
      <c r="AR124" s="2390"/>
      <c r="AS124" s="2473"/>
      <c r="AT124" s="1905"/>
      <c r="AU124" s="2120" t="s">
        <v>316</v>
      </c>
      <c r="AV124" s="2120"/>
      <c r="AW124" s="2120"/>
      <c r="AX124" s="2120"/>
      <c r="AY124" s="2120"/>
      <c r="AZ124" s="2120"/>
      <c r="BA124" s="2120"/>
      <c r="BB124" s="2120"/>
      <c r="BC124" s="2120"/>
      <c r="BD124" s="2120"/>
      <c r="BE124" s="2120"/>
      <c r="BF124" s="2120"/>
      <c r="BG124" s="2120"/>
      <c r="BH124" s="2120"/>
      <c r="BI124" s="2120"/>
      <c r="BJ124" s="2120"/>
      <c r="BK124" s="2120"/>
      <c r="BL124" s="2120"/>
      <c r="BM124" s="2120"/>
      <c r="BN124" s="2120"/>
      <c r="BO124" s="2120"/>
      <c r="BP124" s="2120"/>
      <c r="BQ124" s="2120"/>
      <c r="BR124" s="2120"/>
    </row>
    <row r="125" customHeight="1" spans="2:70">
      <c r="B125" s="2302" t="s">
        <v>317</v>
      </c>
      <c r="C125" s="2303"/>
      <c r="D125" s="2303"/>
      <c r="E125" s="2304"/>
      <c r="F125" s="2305" t="s">
        <v>207</v>
      </c>
      <c r="G125" s="2306"/>
      <c r="H125" s="2306"/>
      <c r="I125" s="2340"/>
      <c r="J125" s="2341" t="str">
        <f>"SAN值减少"&amp;附表!C34&amp;"        备注："&amp;附表!E34</f>
        <v>SAN值减少        备注：</v>
      </c>
      <c r="K125" s="2342"/>
      <c r="L125" s="2342"/>
      <c r="M125" s="2342"/>
      <c r="N125" s="2342"/>
      <c r="O125" s="2342"/>
      <c r="P125" s="2342"/>
      <c r="Q125" s="2342"/>
      <c r="R125" s="2342"/>
      <c r="S125" s="2342"/>
      <c r="T125" s="2342"/>
      <c r="U125" s="2391"/>
      <c r="W125" s="2392" t="s">
        <v>318</v>
      </c>
      <c r="X125" s="2393"/>
      <c r="Y125" s="2403" t="s">
        <v>319</v>
      </c>
      <c r="Z125" s="2404"/>
      <c r="AA125" s="2404"/>
      <c r="AB125" s="2405"/>
      <c r="AC125" s="2404" t="s">
        <v>320</v>
      </c>
      <c r="AD125" s="2404"/>
      <c r="AE125" s="2404"/>
      <c r="AF125" s="2404"/>
      <c r="AG125" s="2404"/>
      <c r="AH125" s="2424" t="s">
        <v>301</v>
      </c>
      <c r="AI125" s="2425"/>
      <c r="AJ125" s="2425"/>
      <c r="AK125" s="2425"/>
      <c r="AL125" s="2425"/>
      <c r="AM125" s="2425"/>
      <c r="AN125" s="2425"/>
      <c r="AO125" s="2425"/>
      <c r="AP125" s="2425"/>
      <c r="AQ125" s="2425"/>
      <c r="AR125" s="2425"/>
      <c r="AS125" s="2474"/>
      <c r="AT125" s="1905"/>
      <c r="AU125" s="2475" t="str">
        <f>VLOOKUP(AY126,神话书籍!A1:H46,5,0)</f>
        <v>克苏鲁神话：+3/+8%</v>
      </c>
      <c r="AV125" s="2476"/>
      <c r="AW125" s="2476"/>
      <c r="AX125" s="2476"/>
      <c r="AY125" s="2476"/>
      <c r="AZ125" s="2476"/>
      <c r="BA125" s="2476"/>
      <c r="BB125" s="2476"/>
      <c r="BC125" s="2476"/>
      <c r="BD125" s="2476"/>
      <c r="BE125" s="2476"/>
      <c r="BF125" s="2522"/>
      <c r="BG125" s="2523" t="str">
        <f>VLOOKUP(AY126,神话书籍!A1:H46,4,0)</f>
        <v>理智损失2d4=[2d4]</v>
      </c>
      <c r="BH125" s="2524"/>
      <c r="BI125" s="2524"/>
      <c r="BJ125" s="2524"/>
      <c r="BK125" s="2524"/>
      <c r="BL125" s="2524"/>
      <c r="BM125" s="2524"/>
      <c r="BN125" s="2537"/>
      <c r="BO125" s="2538"/>
      <c r="BP125" s="2539"/>
      <c r="BQ125" s="2539"/>
      <c r="BR125" s="2539"/>
    </row>
    <row r="126" customHeight="1" spans="2:70">
      <c r="B126" s="2307"/>
      <c r="C126" s="2308"/>
      <c r="D126" s="2308"/>
      <c r="E126" s="2309"/>
      <c r="F126" s="2310"/>
      <c r="G126" s="2311"/>
      <c r="H126" s="2311"/>
      <c r="I126" s="2343"/>
      <c r="J126" s="2344"/>
      <c r="K126" s="2345"/>
      <c r="L126" s="2345"/>
      <c r="M126" s="2345"/>
      <c r="N126" s="2345"/>
      <c r="O126" s="2345"/>
      <c r="P126" s="2345"/>
      <c r="Q126" s="2345"/>
      <c r="R126" s="2345"/>
      <c r="S126" s="2345"/>
      <c r="T126" s="2345"/>
      <c r="U126" s="2394"/>
      <c r="W126" s="2395" t="s">
        <v>58</v>
      </c>
      <c r="X126" s="2396"/>
      <c r="Y126" s="2406"/>
      <c r="Z126" s="2406"/>
      <c r="AA126" s="2406"/>
      <c r="AB126" s="2406"/>
      <c r="AC126" s="2406"/>
      <c r="AD126" s="2406"/>
      <c r="AE126" s="2406"/>
      <c r="AF126" s="2406"/>
      <c r="AG126" s="2406"/>
      <c r="AH126" s="2406"/>
      <c r="AI126" s="2406"/>
      <c r="AJ126" s="2406"/>
      <c r="AK126" s="2406"/>
      <c r="AL126" s="2406"/>
      <c r="AM126" s="2406"/>
      <c r="AN126" s="2406"/>
      <c r="AO126" s="2406"/>
      <c r="AP126" s="2406"/>
      <c r="AQ126" s="2406"/>
      <c r="AR126" s="2406"/>
      <c r="AS126" s="2477"/>
      <c r="AT126" s="2478"/>
      <c r="AU126" s="2479" t="s">
        <v>321</v>
      </c>
      <c r="AV126" s="2479"/>
      <c r="AW126" s="2479"/>
      <c r="AX126" s="2479"/>
      <c r="AY126" s="2499" t="s">
        <v>322</v>
      </c>
      <c r="AZ126" s="2499"/>
      <c r="BA126" s="2499"/>
      <c r="BB126" s="2499"/>
      <c r="BC126" s="2499"/>
      <c r="BD126" s="2499"/>
      <c r="BE126" s="2499"/>
      <c r="BF126" s="2499"/>
      <c r="BG126" s="2499"/>
      <c r="BH126" s="2499"/>
      <c r="BI126" s="2499"/>
      <c r="BJ126" s="2499"/>
      <c r="BK126" s="2499"/>
      <c r="BL126" s="2499"/>
      <c r="BM126" s="2499"/>
      <c r="BN126" s="2499"/>
      <c r="BO126" s="2539"/>
      <c r="BP126" s="2539"/>
      <c r="BQ126" s="2539"/>
      <c r="BR126" s="2539"/>
    </row>
    <row r="127" customHeight="1" spans="2:70">
      <c r="B127" s="2307"/>
      <c r="C127" s="2308"/>
      <c r="D127" s="2308"/>
      <c r="E127" s="2309"/>
      <c r="F127" s="2310"/>
      <c r="G127" s="2311"/>
      <c r="H127" s="2311"/>
      <c r="I127" s="2343"/>
      <c r="J127" s="2344"/>
      <c r="K127" s="2345"/>
      <c r="L127" s="2345"/>
      <c r="M127" s="2345"/>
      <c r="N127" s="2345"/>
      <c r="O127" s="2345"/>
      <c r="P127" s="2345"/>
      <c r="Q127" s="2345"/>
      <c r="R127" s="2345"/>
      <c r="S127" s="2345"/>
      <c r="T127" s="2345"/>
      <c r="U127" s="2394"/>
      <c r="W127" s="2395" t="s">
        <v>58</v>
      </c>
      <c r="X127" s="2396"/>
      <c r="Y127" s="2407"/>
      <c r="Z127" s="2407"/>
      <c r="AA127" s="2407"/>
      <c r="AB127" s="2407"/>
      <c r="AC127" s="2407"/>
      <c r="AD127" s="2407"/>
      <c r="AE127" s="2407"/>
      <c r="AF127" s="2407"/>
      <c r="AG127" s="2407"/>
      <c r="AH127" s="2407"/>
      <c r="AI127" s="2407"/>
      <c r="AJ127" s="2407"/>
      <c r="AK127" s="2407"/>
      <c r="AL127" s="2407"/>
      <c r="AM127" s="2407"/>
      <c r="AN127" s="2407"/>
      <c r="AO127" s="2407"/>
      <c r="AP127" s="2407"/>
      <c r="AQ127" s="2407"/>
      <c r="AR127" s="2407"/>
      <c r="AS127" s="2480"/>
      <c r="AT127" s="2478"/>
      <c r="AU127" s="2481" t="str">
        <f>VLOOKUP(AY126,神话书籍!A1:H46,6,0)</f>
        <v>神话等级：33</v>
      </c>
      <c r="AV127" s="2482"/>
      <c r="AW127" s="2482"/>
      <c r="AX127" s="2482"/>
      <c r="AY127" s="2482"/>
      <c r="AZ127" s="2482"/>
      <c r="BA127" s="2482"/>
      <c r="BB127" s="2500"/>
      <c r="BC127" s="2501" t="str">
        <f>VLOOKUP(AY126,神话书籍!A1:H46,2,0)</f>
        <v>英文，译者不详，约15世纪</v>
      </c>
      <c r="BD127" s="2501"/>
      <c r="BE127" s="2501"/>
      <c r="BF127" s="2501"/>
      <c r="BG127" s="2501"/>
      <c r="BH127" s="2501"/>
      <c r="BI127" s="2501"/>
      <c r="BJ127" s="2501"/>
      <c r="BK127" s="2501"/>
      <c r="BL127" s="2501"/>
      <c r="BM127" s="2501"/>
      <c r="BN127" s="2501"/>
      <c r="BO127" s="2539"/>
      <c r="BP127" s="2539"/>
      <c r="BQ127" s="2539"/>
      <c r="BR127" s="2539"/>
    </row>
    <row r="128" customHeight="1" spans="2:70">
      <c r="B128" s="2312"/>
      <c r="C128" s="2313"/>
      <c r="D128" s="2313"/>
      <c r="E128" s="2314"/>
      <c r="F128" s="2315"/>
      <c r="G128" s="2316"/>
      <c r="H128" s="2316"/>
      <c r="I128" s="2346"/>
      <c r="J128" s="2347"/>
      <c r="K128" s="2348"/>
      <c r="L128" s="2348"/>
      <c r="M128" s="2348"/>
      <c r="N128" s="2348"/>
      <c r="O128" s="2348"/>
      <c r="P128" s="2348"/>
      <c r="Q128" s="2348"/>
      <c r="R128" s="2348"/>
      <c r="S128" s="2348"/>
      <c r="T128" s="2348"/>
      <c r="U128" s="2397"/>
      <c r="W128" s="2395" t="s">
        <v>58</v>
      </c>
      <c r="X128" s="2396"/>
      <c r="Y128" s="2406"/>
      <c r="Z128" s="2406"/>
      <c r="AA128" s="2406"/>
      <c r="AB128" s="2406"/>
      <c r="AC128" s="2406"/>
      <c r="AD128" s="2406"/>
      <c r="AE128" s="2406"/>
      <c r="AF128" s="2406"/>
      <c r="AG128" s="2406"/>
      <c r="AH128" s="2406"/>
      <c r="AI128" s="2406"/>
      <c r="AJ128" s="2406"/>
      <c r="AK128" s="2406"/>
      <c r="AL128" s="2406"/>
      <c r="AM128" s="2406"/>
      <c r="AN128" s="2406"/>
      <c r="AO128" s="2406"/>
      <c r="AP128" s="2406"/>
      <c r="AQ128" s="2406"/>
      <c r="AR128" s="2406"/>
      <c r="AS128" s="2477"/>
      <c r="AT128" s="1905"/>
      <c r="AU128" s="2481" t="str">
        <f>VLOOKUP(AY126,神话书籍!A1:H46,7,0)</f>
        <v>学时：32周</v>
      </c>
      <c r="AV128" s="2482"/>
      <c r="AW128" s="2482"/>
      <c r="AX128" s="2482"/>
      <c r="AY128" s="2482"/>
      <c r="AZ128" s="2482"/>
      <c r="BA128" s="2482"/>
      <c r="BB128" s="2500"/>
      <c r="BC128" s="2501"/>
      <c r="BD128" s="2501"/>
      <c r="BE128" s="2501"/>
      <c r="BF128" s="2501"/>
      <c r="BG128" s="2501"/>
      <c r="BH128" s="2501"/>
      <c r="BI128" s="2501"/>
      <c r="BJ128" s="2501"/>
      <c r="BK128" s="2501"/>
      <c r="BL128" s="2501"/>
      <c r="BM128" s="2501"/>
      <c r="BN128" s="2501"/>
      <c r="BO128" s="2539"/>
      <c r="BP128" s="2539"/>
      <c r="BQ128" s="2539"/>
      <c r="BR128" s="2539"/>
    </row>
    <row r="129" customHeight="1" spans="12:70">
      <c r="L129" s="1772"/>
      <c r="W129" s="2395" t="s">
        <v>58</v>
      </c>
      <c r="X129" s="2396"/>
      <c r="Y129" s="2407"/>
      <c r="Z129" s="2407"/>
      <c r="AA129" s="2407"/>
      <c r="AB129" s="2407"/>
      <c r="AC129" s="2407"/>
      <c r="AD129" s="2407"/>
      <c r="AE129" s="2407"/>
      <c r="AF129" s="2407"/>
      <c r="AG129" s="2407"/>
      <c r="AH129" s="2407"/>
      <c r="AI129" s="2407"/>
      <c r="AJ129" s="2407"/>
      <c r="AK129" s="2407"/>
      <c r="AL129" s="2407"/>
      <c r="AM129" s="2407"/>
      <c r="AN129" s="2407"/>
      <c r="AO129" s="2407"/>
      <c r="AP129" s="2407"/>
      <c r="AQ129" s="2407"/>
      <c r="AR129" s="2407"/>
      <c r="AS129" s="2480"/>
      <c r="AT129" s="1905"/>
      <c r="AU129" s="2710" t="s">
        <v>323</v>
      </c>
      <c r="AV129" s="2710"/>
      <c r="AW129" s="2710"/>
      <c r="AX129" s="2710"/>
      <c r="AY129" s="2740" t="str">
        <f>VLOOKUP(AY126,神话书籍!A1:H46,3,0)</f>
        <v>讹误残缺的译本。有十八册抄本传世，每本的字迹皆不同。</v>
      </c>
      <c r="AZ129" s="2740"/>
      <c r="BA129" s="2740"/>
      <c r="BB129" s="2740"/>
      <c r="BC129" s="2740"/>
      <c r="BD129" s="2740"/>
      <c r="BE129" s="2740"/>
      <c r="BF129" s="2740"/>
      <c r="BG129" s="2740"/>
      <c r="BH129" s="2740"/>
      <c r="BI129" s="2740"/>
      <c r="BJ129" s="2740"/>
      <c r="BK129" s="2740"/>
      <c r="BL129" s="2740"/>
      <c r="BM129" s="2740"/>
      <c r="BN129" s="2740"/>
      <c r="BO129" s="2740"/>
      <c r="BP129" s="2740"/>
      <c r="BQ129" s="2740"/>
      <c r="BR129" s="2740"/>
    </row>
    <row r="130" customHeight="1" spans="2:70">
      <c r="B130" s="2540" t="s">
        <v>324</v>
      </c>
      <c r="C130" s="2541"/>
      <c r="D130" s="2541"/>
      <c r="E130" s="2541"/>
      <c r="F130" s="2541"/>
      <c r="G130" s="2541"/>
      <c r="H130" s="2541"/>
      <c r="I130" s="2541"/>
      <c r="J130" s="2541"/>
      <c r="K130" s="2541"/>
      <c r="L130" s="2541"/>
      <c r="M130" s="2541"/>
      <c r="N130" s="2541"/>
      <c r="O130" s="2541"/>
      <c r="P130" s="2541"/>
      <c r="Q130" s="2541"/>
      <c r="R130" s="2541"/>
      <c r="S130" s="2054"/>
      <c r="T130" s="2622" t="s">
        <v>58</v>
      </c>
      <c r="U130" s="2623"/>
      <c r="W130" s="2395" t="s">
        <v>58</v>
      </c>
      <c r="X130" s="2396"/>
      <c r="Y130" s="2406"/>
      <c r="Z130" s="2406"/>
      <c r="AA130" s="2406"/>
      <c r="AB130" s="2406"/>
      <c r="AC130" s="2406"/>
      <c r="AD130" s="2406"/>
      <c r="AE130" s="2406"/>
      <c r="AF130" s="2406"/>
      <c r="AG130" s="2406"/>
      <c r="AH130" s="2406"/>
      <c r="AI130" s="2406"/>
      <c r="AJ130" s="2406"/>
      <c r="AK130" s="2406"/>
      <c r="AL130" s="2406"/>
      <c r="AM130" s="2406"/>
      <c r="AN130" s="2406"/>
      <c r="AO130" s="2406"/>
      <c r="AP130" s="2406"/>
      <c r="AQ130" s="2406"/>
      <c r="AR130" s="2406"/>
      <c r="AS130" s="2477"/>
      <c r="AT130" s="1905"/>
      <c r="AU130" s="2710"/>
      <c r="AV130" s="2710"/>
      <c r="AW130" s="2710"/>
      <c r="AX130" s="2710"/>
      <c r="AY130" s="2740"/>
      <c r="AZ130" s="2740"/>
      <c r="BA130" s="2740"/>
      <c r="BB130" s="2740"/>
      <c r="BC130" s="2740"/>
      <c r="BD130" s="2740"/>
      <c r="BE130" s="2740"/>
      <c r="BF130" s="2740"/>
      <c r="BG130" s="2740"/>
      <c r="BH130" s="2740"/>
      <c r="BI130" s="2740"/>
      <c r="BJ130" s="2740"/>
      <c r="BK130" s="2740"/>
      <c r="BL130" s="2740"/>
      <c r="BM130" s="2740"/>
      <c r="BN130" s="2740"/>
      <c r="BO130" s="2740"/>
      <c r="BP130" s="2740"/>
      <c r="BQ130" s="2740"/>
      <c r="BR130" s="2740"/>
    </row>
    <row r="131" customHeight="1" spans="2:70">
      <c r="B131" s="2542" t="s">
        <v>325</v>
      </c>
      <c r="C131" s="2543"/>
      <c r="D131" s="2543"/>
      <c r="E131" s="2543"/>
      <c r="F131" s="2543" t="s">
        <v>326</v>
      </c>
      <c r="G131" s="2543"/>
      <c r="H131" s="2543"/>
      <c r="I131" s="2543" t="s">
        <v>197</v>
      </c>
      <c r="J131" s="2543"/>
      <c r="K131" s="2543"/>
      <c r="L131" s="2543"/>
      <c r="M131" s="2543" t="s">
        <v>327</v>
      </c>
      <c r="N131" s="2543"/>
      <c r="O131" s="2543"/>
      <c r="P131" s="2543"/>
      <c r="Q131" s="2543"/>
      <c r="R131" s="2543"/>
      <c r="S131" s="2543"/>
      <c r="T131" s="2624" t="s">
        <v>328</v>
      </c>
      <c r="U131" s="2625"/>
      <c r="W131" s="2395" t="s">
        <v>58</v>
      </c>
      <c r="X131" s="2396"/>
      <c r="Y131" s="2407"/>
      <c r="Z131" s="2407"/>
      <c r="AA131" s="2407"/>
      <c r="AB131" s="2407"/>
      <c r="AC131" s="2407"/>
      <c r="AD131" s="2407"/>
      <c r="AE131" s="2407"/>
      <c r="AF131" s="2407"/>
      <c r="AG131" s="2407"/>
      <c r="AH131" s="2407"/>
      <c r="AI131" s="2407"/>
      <c r="AJ131" s="2407"/>
      <c r="AK131" s="2407"/>
      <c r="AL131" s="2407"/>
      <c r="AM131" s="2407"/>
      <c r="AN131" s="2407"/>
      <c r="AO131" s="2407"/>
      <c r="AP131" s="2407"/>
      <c r="AQ131" s="2407"/>
      <c r="AR131" s="2407"/>
      <c r="AS131" s="2480"/>
      <c r="AT131" s="1905"/>
      <c r="AU131" s="2710"/>
      <c r="AV131" s="2710"/>
      <c r="AW131" s="2710"/>
      <c r="AX131" s="2710"/>
      <c r="AY131" s="2740"/>
      <c r="AZ131" s="2740"/>
      <c r="BA131" s="2740"/>
      <c r="BB131" s="2740"/>
      <c r="BC131" s="2740"/>
      <c r="BD131" s="2740"/>
      <c r="BE131" s="2740"/>
      <c r="BF131" s="2740"/>
      <c r="BG131" s="2740"/>
      <c r="BH131" s="2740"/>
      <c r="BI131" s="2740"/>
      <c r="BJ131" s="2740"/>
      <c r="BK131" s="2740"/>
      <c r="BL131" s="2740"/>
      <c r="BM131" s="2740"/>
      <c r="BN131" s="2740"/>
      <c r="BO131" s="2740"/>
      <c r="BP131" s="2740"/>
      <c r="BQ131" s="2740"/>
      <c r="BR131" s="2740"/>
    </row>
    <row r="132" customHeight="1" spans="2:70">
      <c r="B132" s="2544" t="s">
        <v>329</v>
      </c>
      <c r="C132" s="2545"/>
      <c r="D132" s="2545"/>
      <c r="E132" s="2545"/>
      <c r="F132" s="2545" t="s">
        <v>330</v>
      </c>
      <c r="G132" s="2545"/>
      <c r="H132" s="2545"/>
      <c r="I132" s="2545" t="s">
        <v>331</v>
      </c>
      <c r="J132" s="2545"/>
      <c r="K132" s="2545"/>
      <c r="L132" s="2545"/>
      <c r="M132" s="2545" t="s">
        <v>332</v>
      </c>
      <c r="N132" s="2545"/>
      <c r="O132" s="2545"/>
      <c r="P132" s="2545"/>
      <c r="Q132" s="2545"/>
      <c r="R132" s="2545"/>
      <c r="S132" s="2545"/>
      <c r="T132" s="2626" t="s">
        <v>120</v>
      </c>
      <c r="U132" s="2627"/>
      <c r="W132" s="2395" t="s">
        <v>58</v>
      </c>
      <c r="X132" s="2396"/>
      <c r="Y132" s="2406"/>
      <c r="Z132" s="2406"/>
      <c r="AA132" s="2406"/>
      <c r="AB132" s="2406"/>
      <c r="AC132" s="2406"/>
      <c r="AD132" s="2406"/>
      <c r="AE132" s="2406"/>
      <c r="AF132" s="2406"/>
      <c r="AG132" s="2406"/>
      <c r="AH132" s="2406"/>
      <c r="AI132" s="2406"/>
      <c r="AJ132" s="2406"/>
      <c r="AK132" s="2406"/>
      <c r="AL132" s="2406"/>
      <c r="AM132" s="2406"/>
      <c r="AN132" s="2406"/>
      <c r="AO132" s="2406"/>
      <c r="AP132" s="2406"/>
      <c r="AQ132" s="2406"/>
      <c r="AR132" s="2406"/>
      <c r="AS132" s="2477"/>
      <c r="AT132" s="1905"/>
      <c r="AU132" s="2710"/>
      <c r="AV132" s="2710"/>
      <c r="AW132" s="2710"/>
      <c r="AX132" s="2710"/>
      <c r="AY132" s="2740"/>
      <c r="AZ132" s="2740"/>
      <c r="BA132" s="2740"/>
      <c r="BB132" s="2740"/>
      <c r="BC132" s="2740"/>
      <c r="BD132" s="2740"/>
      <c r="BE132" s="2740"/>
      <c r="BF132" s="2740"/>
      <c r="BG132" s="2740"/>
      <c r="BH132" s="2740"/>
      <c r="BI132" s="2740"/>
      <c r="BJ132" s="2740"/>
      <c r="BK132" s="2740"/>
      <c r="BL132" s="2740"/>
      <c r="BM132" s="2740"/>
      <c r="BN132" s="2740"/>
      <c r="BO132" s="2740"/>
      <c r="BP132" s="2740"/>
      <c r="BQ132" s="2740"/>
      <c r="BR132" s="2740"/>
    </row>
    <row r="133" customHeight="1" spans="2:70">
      <c r="B133" s="2546">
        <f>_xlfn.IFNA(VLOOKUP(B132,附表!AA270:AB284,2,0),"")</f>
        <v>0</v>
      </c>
      <c r="C133" s="2547"/>
      <c r="D133" s="2547"/>
      <c r="E133" s="2547"/>
      <c r="F133" s="2548" t="s">
        <v>333</v>
      </c>
      <c r="G133" s="2548"/>
      <c r="H133" s="2548"/>
      <c r="I133" s="2549" t="s">
        <v>334</v>
      </c>
      <c r="J133" s="2549"/>
      <c r="K133" s="2549"/>
      <c r="L133" s="2549"/>
      <c r="M133" s="2549"/>
      <c r="N133" s="2549"/>
      <c r="O133" s="2549" t="s">
        <v>335</v>
      </c>
      <c r="P133" s="2549"/>
      <c r="Q133" s="2549" t="s">
        <v>202</v>
      </c>
      <c r="R133" s="2549"/>
      <c r="S133" s="2549" t="s">
        <v>336</v>
      </c>
      <c r="T133" s="2549"/>
      <c r="U133" s="2628"/>
      <c r="W133" s="2395" t="s">
        <v>58</v>
      </c>
      <c r="X133" s="2396"/>
      <c r="Y133" s="2407"/>
      <c r="Z133" s="2407"/>
      <c r="AA133" s="2407"/>
      <c r="AB133" s="2407"/>
      <c r="AC133" s="2407"/>
      <c r="AD133" s="2407"/>
      <c r="AE133" s="2407"/>
      <c r="AF133" s="2407"/>
      <c r="AG133" s="2407"/>
      <c r="AH133" s="2407"/>
      <c r="AI133" s="2407"/>
      <c r="AJ133" s="2407"/>
      <c r="AK133" s="2407"/>
      <c r="AL133" s="2407"/>
      <c r="AM133" s="2407"/>
      <c r="AN133" s="2407"/>
      <c r="AO133" s="2407"/>
      <c r="AP133" s="2407"/>
      <c r="AQ133" s="2407"/>
      <c r="AR133" s="2407"/>
      <c r="AS133" s="2480"/>
      <c r="AT133" s="1905"/>
      <c r="AU133" s="2710"/>
      <c r="AV133" s="2710"/>
      <c r="AW133" s="2710"/>
      <c r="AX133" s="2710"/>
      <c r="AY133" s="2740"/>
      <c r="AZ133" s="2740"/>
      <c r="BA133" s="2740"/>
      <c r="BB133" s="2740"/>
      <c r="BC133" s="2740"/>
      <c r="BD133" s="2740"/>
      <c r="BE133" s="2740"/>
      <c r="BF133" s="2740"/>
      <c r="BG133" s="2740"/>
      <c r="BH133" s="2740"/>
      <c r="BI133" s="2740"/>
      <c r="BJ133" s="2740"/>
      <c r="BK133" s="2740"/>
      <c r="BL133" s="2740"/>
      <c r="BM133" s="2740"/>
      <c r="BN133" s="2740"/>
      <c r="BO133" s="2740"/>
      <c r="BP133" s="2740"/>
      <c r="BQ133" s="2740"/>
      <c r="BR133" s="2740"/>
    </row>
    <row r="134" customHeight="1" spans="2:70">
      <c r="B134" s="2546" t="s">
        <v>207</v>
      </c>
      <c r="C134" s="2547"/>
      <c r="D134" s="2547"/>
      <c r="E134" s="2547"/>
      <c r="F134" s="2547" t="s">
        <v>207</v>
      </c>
      <c r="G134" s="2549"/>
      <c r="H134" s="2549"/>
      <c r="I134" s="2600" t="s">
        <v>205</v>
      </c>
      <c r="J134" s="2600"/>
      <c r="K134" s="2600"/>
      <c r="L134" s="2601">
        <v>100</v>
      </c>
      <c r="M134" s="2602"/>
      <c r="N134" s="2602"/>
      <c r="O134" s="2549" t="s">
        <v>337</v>
      </c>
      <c r="P134" s="2549"/>
      <c r="Q134" s="2549" t="s">
        <v>338</v>
      </c>
      <c r="R134" s="2549"/>
      <c r="S134" s="2549" t="s">
        <v>339</v>
      </c>
      <c r="T134" s="2549"/>
      <c r="U134" s="2628"/>
      <c r="W134" s="2395" t="s">
        <v>58</v>
      </c>
      <c r="X134" s="2396"/>
      <c r="Y134" s="2406"/>
      <c r="Z134" s="2406"/>
      <c r="AA134" s="2406"/>
      <c r="AB134" s="2406"/>
      <c r="AC134" s="2406"/>
      <c r="AD134" s="2406"/>
      <c r="AE134" s="2406"/>
      <c r="AF134" s="2406"/>
      <c r="AG134" s="2406"/>
      <c r="AH134" s="2406"/>
      <c r="AI134" s="2406"/>
      <c r="AJ134" s="2406"/>
      <c r="AK134" s="2406"/>
      <c r="AL134" s="2406"/>
      <c r="AM134" s="2406"/>
      <c r="AN134" s="2406"/>
      <c r="AO134" s="2406"/>
      <c r="AP134" s="2406"/>
      <c r="AQ134" s="2406"/>
      <c r="AR134" s="2406"/>
      <c r="AS134" s="2477"/>
      <c r="AT134" s="1905"/>
      <c r="AU134" s="2710"/>
      <c r="AV134" s="2710"/>
      <c r="AW134" s="2710"/>
      <c r="AX134" s="2710"/>
      <c r="AY134" s="2740"/>
      <c r="AZ134" s="2740"/>
      <c r="BA134" s="2740"/>
      <c r="BB134" s="2740"/>
      <c r="BC134" s="2740"/>
      <c r="BD134" s="2740"/>
      <c r="BE134" s="2740"/>
      <c r="BF134" s="2740"/>
      <c r="BG134" s="2740"/>
      <c r="BH134" s="2740"/>
      <c r="BI134" s="2740"/>
      <c r="BJ134" s="2740"/>
      <c r="BK134" s="2740"/>
      <c r="BL134" s="2740"/>
      <c r="BM134" s="2740"/>
      <c r="BN134" s="2740"/>
      <c r="BO134" s="2740"/>
      <c r="BP134" s="2740"/>
      <c r="BQ134" s="2740"/>
      <c r="BR134" s="2740"/>
    </row>
    <row r="135" customHeight="1" spans="1:70">
      <c r="A135" s="1846"/>
      <c r="B135" s="2550" t="s">
        <v>326</v>
      </c>
      <c r="C135" s="2551"/>
      <c r="D135" s="2551"/>
      <c r="E135" s="2551"/>
      <c r="F135" s="2552" t="str">
        <f>Q133</f>
        <v>贯穿</v>
      </c>
      <c r="G135" s="2552"/>
      <c r="H135" s="2552"/>
      <c r="I135" s="2552"/>
      <c r="J135" s="2552"/>
      <c r="K135" s="2552"/>
      <c r="L135" s="2552"/>
      <c r="M135" s="2552"/>
      <c r="N135" s="2552"/>
      <c r="O135" s="2552"/>
      <c r="P135" s="2552"/>
      <c r="Q135" s="2552"/>
      <c r="R135" s="2552"/>
      <c r="S135" s="2552"/>
      <c r="T135" s="2552"/>
      <c r="U135" s="2629"/>
      <c r="W135" s="2395" t="s">
        <v>58</v>
      </c>
      <c r="X135" s="2396"/>
      <c r="Y135" s="2407"/>
      <c r="Z135" s="2407"/>
      <c r="AA135" s="2407"/>
      <c r="AB135" s="2407"/>
      <c r="AC135" s="2407"/>
      <c r="AD135" s="2407"/>
      <c r="AE135" s="2407"/>
      <c r="AF135" s="2407"/>
      <c r="AG135" s="2407"/>
      <c r="AH135" s="2407"/>
      <c r="AI135" s="2407"/>
      <c r="AJ135" s="2407"/>
      <c r="AK135" s="2407"/>
      <c r="AL135" s="2407"/>
      <c r="AM135" s="2407"/>
      <c r="AN135" s="2407"/>
      <c r="AO135" s="2407"/>
      <c r="AP135" s="2407"/>
      <c r="AQ135" s="2407"/>
      <c r="AR135" s="2407"/>
      <c r="AS135" s="2480"/>
      <c r="AT135" s="1905"/>
      <c r="AU135" s="2711" t="str">
        <f>VLOOKUP(AY126,神话书籍!A1:H46,8,0)</f>
        <v>建议法术：阿撒托斯请/送神术、Zhothaqquah的无形眷族联络术、Kthulhut（克苏鲁）通神术、Yok Zothoth（犹格-索托斯）通神术、Zhothaqquah（撒托古亚）联络术，时空门创建术，拉莱耶造雾术，刀具附魔术，绿腐术，肢体凋萎术。"</v>
      </c>
      <c r="AV135" s="2711"/>
      <c r="AW135" s="2711"/>
      <c r="AX135" s="2711"/>
      <c r="AY135" s="2711"/>
      <c r="AZ135" s="2711"/>
      <c r="BA135" s="2711"/>
      <c r="BB135" s="2711"/>
      <c r="BC135" s="2711"/>
      <c r="BD135" s="2711"/>
      <c r="BE135" s="2711"/>
      <c r="BF135" s="2711"/>
      <c r="BG135" s="2711"/>
      <c r="BH135" s="2711"/>
      <c r="BI135" s="2711"/>
      <c r="BJ135" s="2711"/>
      <c r="BK135" s="2711"/>
      <c r="BL135" s="2711"/>
      <c r="BM135" s="2711"/>
      <c r="BN135" s="2711"/>
      <c r="BO135" s="2711"/>
      <c r="BP135" s="2711"/>
      <c r="BQ135" s="2711"/>
      <c r="BR135" s="2711"/>
    </row>
    <row r="136" customHeight="1" spans="1:70">
      <c r="A136" s="1846"/>
      <c r="B136" s="2553" t="s">
        <v>326</v>
      </c>
      <c r="C136" s="2554"/>
      <c r="D136" s="2554"/>
      <c r="E136" s="2554"/>
      <c r="F136" s="2555" t="str">
        <f>O133</f>
        <v>普通</v>
      </c>
      <c r="G136" s="2555"/>
      <c r="H136" s="2555"/>
      <c r="I136" s="2555"/>
      <c r="J136" s="2555"/>
      <c r="K136" s="2555"/>
      <c r="L136" s="2555"/>
      <c r="M136" s="2555"/>
      <c r="N136" s="2555"/>
      <c r="O136" s="2555"/>
      <c r="P136" s="2555"/>
      <c r="Q136" s="2555"/>
      <c r="R136" s="2555"/>
      <c r="S136" s="2555"/>
      <c r="T136" s="2555"/>
      <c r="U136" s="2630"/>
      <c r="W136" s="2395" t="s">
        <v>58</v>
      </c>
      <c r="X136" s="2396"/>
      <c r="Y136" s="2406"/>
      <c r="Z136" s="2406"/>
      <c r="AA136" s="2406"/>
      <c r="AB136" s="2406"/>
      <c r="AC136" s="2406"/>
      <c r="AD136" s="2406"/>
      <c r="AE136" s="2406"/>
      <c r="AF136" s="2406"/>
      <c r="AG136" s="2406"/>
      <c r="AH136" s="2406"/>
      <c r="AI136" s="2406"/>
      <c r="AJ136" s="2406"/>
      <c r="AK136" s="2406"/>
      <c r="AL136" s="2406"/>
      <c r="AM136" s="2406"/>
      <c r="AN136" s="2406"/>
      <c r="AO136" s="2406"/>
      <c r="AP136" s="2406"/>
      <c r="AQ136" s="2406"/>
      <c r="AR136" s="2406"/>
      <c r="AS136" s="2477"/>
      <c r="AT136" s="1905"/>
      <c r="AU136" s="2711"/>
      <c r="AV136" s="2711"/>
      <c r="AW136" s="2711"/>
      <c r="AX136" s="2711"/>
      <c r="AY136" s="2711"/>
      <c r="AZ136" s="2711"/>
      <c r="BA136" s="2711"/>
      <c r="BB136" s="2711"/>
      <c r="BC136" s="2711"/>
      <c r="BD136" s="2711"/>
      <c r="BE136" s="2711"/>
      <c r="BF136" s="2711"/>
      <c r="BG136" s="2711"/>
      <c r="BH136" s="2711"/>
      <c r="BI136" s="2711"/>
      <c r="BJ136" s="2711"/>
      <c r="BK136" s="2711"/>
      <c r="BL136" s="2711"/>
      <c r="BM136" s="2711"/>
      <c r="BN136" s="2711"/>
      <c r="BO136" s="2711"/>
      <c r="BP136" s="2711"/>
      <c r="BQ136" s="2711"/>
      <c r="BR136" s="2711"/>
    </row>
    <row r="137" customHeight="1" spans="1:70">
      <c r="A137" s="1846"/>
      <c r="B137" s="2553" t="s">
        <v>326</v>
      </c>
      <c r="C137" s="2554"/>
      <c r="D137" s="2554"/>
      <c r="E137" s="2554"/>
      <c r="F137" s="2555" t="str">
        <f>IF(F132=0,"",F132)</f>
        <v>锻造</v>
      </c>
      <c r="G137" s="2555"/>
      <c r="H137" s="2555"/>
      <c r="I137" s="2555"/>
      <c r="J137" s="2555"/>
      <c r="K137" s="2555"/>
      <c r="L137" s="2555"/>
      <c r="M137" s="2555"/>
      <c r="N137" s="2555"/>
      <c r="O137" s="2555"/>
      <c r="P137" s="2555"/>
      <c r="Q137" s="2555"/>
      <c r="R137" s="2555"/>
      <c r="S137" s="2555"/>
      <c r="T137" s="2555"/>
      <c r="U137" s="2630"/>
      <c r="W137" s="2395" t="s">
        <v>58</v>
      </c>
      <c r="X137" s="2396"/>
      <c r="Y137" s="2407"/>
      <c r="Z137" s="2407"/>
      <c r="AA137" s="2407"/>
      <c r="AB137" s="2407"/>
      <c r="AC137" s="2407"/>
      <c r="AD137" s="2407"/>
      <c r="AE137" s="2407"/>
      <c r="AF137" s="2407"/>
      <c r="AG137" s="2407"/>
      <c r="AH137" s="2407"/>
      <c r="AI137" s="2407"/>
      <c r="AJ137" s="2407"/>
      <c r="AK137" s="2407"/>
      <c r="AL137" s="2407"/>
      <c r="AM137" s="2407"/>
      <c r="AN137" s="2407"/>
      <c r="AO137" s="2407"/>
      <c r="AP137" s="2407"/>
      <c r="AQ137" s="2407"/>
      <c r="AR137" s="2407"/>
      <c r="AS137" s="2480"/>
      <c r="AT137" s="1905"/>
      <c r="AU137" s="2711"/>
      <c r="AV137" s="2711"/>
      <c r="AW137" s="2711"/>
      <c r="AX137" s="2711"/>
      <c r="AY137" s="2711"/>
      <c r="AZ137" s="2711"/>
      <c r="BA137" s="2711"/>
      <c r="BB137" s="2711"/>
      <c r="BC137" s="2711"/>
      <c r="BD137" s="2711"/>
      <c r="BE137" s="2711"/>
      <c r="BF137" s="2711"/>
      <c r="BG137" s="2711"/>
      <c r="BH137" s="2711"/>
      <c r="BI137" s="2711"/>
      <c r="BJ137" s="2711"/>
      <c r="BK137" s="2711"/>
      <c r="BL137" s="2711"/>
      <c r="BM137" s="2711"/>
      <c r="BN137" s="2711"/>
      <c r="BO137" s="2711"/>
      <c r="BP137" s="2711"/>
      <c r="BQ137" s="2711"/>
      <c r="BR137" s="2711"/>
    </row>
    <row r="138" customHeight="1" spans="1:70">
      <c r="A138" s="1846"/>
      <c r="B138" s="2553" t="s">
        <v>326</v>
      </c>
      <c r="C138" s="2554"/>
      <c r="D138" s="2554"/>
      <c r="E138" s="2554"/>
      <c r="F138" s="2555" t="str">
        <f>S133</f>
        <v>双手武器</v>
      </c>
      <c r="G138" s="2555"/>
      <c r="H138" s="2555"/>
      <c r="I138" s="2555"/>
      <c r="J138" s="2555"/>
      <c r="K138" s="2555"/>
      <c r="L138" s="2555"/>
      <c r="M138" s="2555"/>
      <c r="N138" s="2555"/>
      <c r="O138" s="2555"/>
      <c r="P138" s="2555"/>
      <c r="Q138" s="2555"/>
      <c r="R138" s="2555"/>
      <c r="S138" s="2555"/>
      <c r="T138" s="2555"/>
      <c r="U138" s="2630"/>
      <c r="W138" s="2395" t="s">
        <v>58</v>
      </c>
      <c r="X138" s="2396"/>
      <c r="Y138" s="2666"/>
      <c r="Z138" s="2666"/>
      <c r="AA138" s="2666"/>
      <c r="AB138" s="2666"/>
      <c r="AC138" s="2666"/>
      <c r="AD138" s="2666"/>
      <c r="AE138" s="2666"/>
      <c r="AF138" s="2666"/>
      <c r="AG138" s="2666"/>
      <c r="AH138" s="2666"/>
      <c r="AI138" s="2666"/>
      <c r="AJ138" s="2666"/>
      <c r="AK138" s="2666"/>
      <c r="AL138" s="2666"/>
      <c r="AM138" s="2666"/>
      <c r="AN138" s="2666"/>
      <c r="AO138" s="2666"/>
      <c r="AP138" s="2666"/>
      <c r="AQ138" s="2666"/>
      <c r="AR138" s="2666"/>
      <c r="AS138" s="2712"/>
      <c r="AT138" s="1905"/>
      <c r="AU138" s="2711"/>
      <c r="AV138" s="2711"/>
      <c r="AW138" s="2711"/>
      <c r="AX138" s="2711"/>
      <c r="AY138" s="2711"/>
      <c r="AZ138" s="2711"/>
      <c r="BA138" s="2711"/>
      <c r="BB138" s="2711"/>
      <c r="BC138" s="2711"/>
      <c r="BD138" s="2711"/>
      <c r="BE138" s="2711"/>
      <c r="BF138" s="2711"/>
      <c r="BG138" s="2711"/>
      <c r="BH138" s="2711"/>
      <c r="BI138" s="2711"/>
      <c r="BJ138" s="2711"/>
      <c r="BK138" s="2711"/>
      <c r="BL138" s="2711"/>
      <c r="BM138" s="2711"/>
      <c r="BN138" s="2711"/>
      <c r="BO138" s="2711"/>
      <c r="BP138" s="2711"/>
      <c r="BQ138" s="2711"/>
      <c r="BR138" s="2711"/>
    </row>
    <row r="139" customHeight="1" spans="1:70">
      <c r="A139" s="1846"/>
      <c r="B139" s="2553" t="s">
        <v>326</v>
      </c>
      <c r="C139" s="2554"/>
      <c r="D139" s="2554"/>
      <c r="E139" s="2554"/>
      <c r="F139" s="2555" t="str">
        <f>B134</f>
        <v>无</v>
      </c>
      <c r="G139" s="2555"/>
      <c r="H139" s="2555"/>
      <c r="I139" s="2555"/>
      <c r="J139" s="2555"/>
      <c r="K139" s="2555"/>
      <c r="L139" s="2555"/>
      <c r="M139" s="2555"/>
      <c r="N139" s="2555"/>
      <c r="O139" s="2555"/>
      <c r="P139" s="2555"/>
      <c r="Q139" s="2555"/>
      <c r="R139" s="2555"/>
      <c r="S139" s="2555"/>
      <c r="T139" s="2555"/>
      <c r="U139" s="2630"/>
      <c r="Y139" s="1772"/>
      <c r="AM139" s="1846"/>
      <c r="AN139" s="1846"/>
      <c r="AO139" s="1846"/>
      <c r="AP139" s="1846"/>
      <c r="AQ139" s="1846"/>
      <c r="AR139" s="1846"/>
      <c r="AS139" s="1846"/>
      <c r="AT139" s="1905"/>
      <c r="AU139" s="2711"/>
      <c r="AV139" s="2711"/>
      <c r="AW139" s="2711"/>
      <c r="AX139" s="2711"/>
      <c r="AY139" s="2711"/>
      <c r="AZ139" s="2711"/>
      <c r="BA139" s="2711"/>
      <c r="BB139" s="2711"/>
      <c r="BC139" s="2711"/>
      <c r="BD139" s="2711"/>
      <c r="BE139" s="2711"/>
      <c r="BF139" s="2711"/>
      <c r="BG139" s="2711"/>
      <c r="BH139" s="2711"/>
      <c r="BI139" s="2711"/>
      <c r="BJ139" s="2711"/>
      <c r="BK139" s="2711"/>
      <c r="BL139" s="2711"/>
      <c r="BM139" s="2711"/>
      <c r="BN139" s="2711"/>
      <c r="BO139" s="2711"/>
      <c r="BP139" s="2711"/>
      <c r="BQ139" s="2711"/>
      <c r="BR139" s="2711"/>
    </row>
    <row r="140" customHeight="1" spans="1:70">
      <c r="A140" s="1846"/>
      <c r="B140" s="2556" t="s">
        <v>326</v>
      </c>
      <c r="C140" s="2557"/>
      <c r="D140" s="2557"/>
      <c r="E140" s="2557"/>
      <c r="F140" s="2558" t="str">
        <f>F134</f>
        <v>无</v>
      </c>
      <c r="G140" s="2558"/>
      <c r="H140" s="2558"/>
      <c r="I140" s="2558"/>
      <c r="J140" s="2558"/>
      <c r="K140" s="2558"/>
      <c r="L140" s="2558"/>
      <c r="M140" s="2558"/>
      <c r="N140" s="2558"/>
      <c r="O140" s="2558"/>
      <c r="P140" s="2558"/>
      <c r="Q140" s="2558"/>
      <c r="R140" s="2558"/>
      <c r="S140" s="2558"/>
      <c r="T140" s="2558"/>
      <c r="U140" s="2631"/>
      <c r="W140" s="1862" t="s">
        <v>340</v>
      </c>
      <c r="X140" s="2632"/>
      <c r="Y140" s="2632"/>
      <c r="Z140" s="2632"/>
      <c r="AA140" s="2632"/>
      <c r="AB140" s="2632"/>
      <c r="AC140" s="2632"/>
      <c r="AD140" s="2632"/>
      <c r="AE140" s="2632"/>
      <c r="AF140" s="2632"/>
      <c r="AG140" s="2632"/>
      <c r="AH140" s="2632"/>
      <c r="AI140" s="2632"/>
      <c r="AJ140" s="2632"/>
      <c r="AK140" s="2632"/>
      <c r="AL140" s="2632"/>
      <c r="AM140" s="2632"/>
      <c r="AN140" s="2632"/>
      <c r="AO140" s="2632"/>
      <c r="AP140" s="2632"/>
      <c r="AQ140" s="2632"/>
      <c r="AR140" s="2632"/>
      <c r="AS140" s="2713"/>
      <c r="AT140" s="1905"/>
      <c r="AU140" s="2711"/>
      <c r="AV140" s="2711"/>
      <c r="AW140" s="2711"/>
      <c r="AX140" s="2711"/>
      <c r="AY140" s="2711"/>
      <c r="AZ140" s="2711"/>
      <c r="BA140" s="2711"/>
      <c r="BB140" s="2711"/>
      <c r="BC140" s="2711"/>
      <c r="BD140" s="2711"/>
      <c r="BE140" s="2711"/>
      <c r="BF140" s="2711"/>
      <c r="BG140" s="2711"/>
      <c r="BH140" s="2711"/>
      <c r="BI140" s="2711"/>
      <c r="BJ140" s="2711"/>
      <c r="BK140" s="2711"/>
      <c r="BL140" s="2711"/>
      <c r="BM140" s="2711"/>
      <c r="BN140" s="2711"/>
      <c r="BO140" s="2711"/>
      <c r="BP140" s="2711"/>
      <c r="BQ140" s="2711"/>
      <c r="BR140" s="2711"/>
    </row>
    <row r="141" customHeight="1" spans="1:70">
      <c r="A141" s="1846"/>
      <c r="B141" s="2559" t="s">
        <v>341</v>
      </c>
      <c r="C141" s="2560"/>
      <c r="D141" s="2560"/>
      <c r="E141" s="2560"/>
      <c r="F141" s="2560"/>
      <c r="G141" s="2560"/>
      <c r="H141" s="2560"/>
      <c r="I141" s="2560"/>
      <c r="J141" s="2560"/>
      <c r="K141" s="2560"/>
      <c r="L141" s="2560"/>
      <c r="M141" s="2560"/>
      <c r="N141" s="2560"/>
      <c r="O141" s="2560"/>
      <c r="P141" s="2560"/>
      <c r="Q141" s="2560"/>
      <c r="R141" s="2560"/>
      <c r="S141" s="2560"/>
      <c r="T141" s="2560"/>
      <c r="U141" s="2633"/>
      <c r="V141" s="1905"/>
      <c r="W141" s="2634" t="s">
        <v>6</v>
      </c>
      <c r="X141" s="2635"/>
      <c r="Y141" s="2635"/>
      <c r="Z141" s="2635"/>
      <c r="AA141" s="2667" t="s">
        <v>197</v>
      </c>
      <c r="AB141" s="2667"/>
      <c r="AC141" s="2667"/>
      <c r="AD141" s="2635" t="s">
        <v>342</v>
      </c>
      <c r="AE141" s="2635"/>
      <c r="AF141" s="2635"/>
      <c r="AG141" s="2635"/>
      <c r="AH141" s="2635"/>
      <c r="AI141" s="2635"/>
      <c r="AJ141" s="2635"/>
      <c r="AK141" s="2635"/>
      <c r="AL141" s="2667" t="s">
        <v>343</v>
      </c>
      <c r="AM141" s="2667"/>
      <c r="AN141" s="2667"/>
      <c r="AO141" s="2667"/>
      <c r="AP141" s="2667" t="s">
        <v>344</v>
      </c>
      <c r="AQ141" s="2667"/>
      <c r="AR141" s="2667"/>
      <c r="AS141" s="2714"/>
      <c r="AT141" s="1905"/>
      <c r="AU141" s="2711"/>
      <c r="AV141" s="2711"/>
      <c r="AW141" s="2711"/>
      <c r="AX141" s="2711"/>
      <c r="AY141" s="2711"/>
      <c r="AZ141" s="2711"/>
      <c r="BA141" s="2711"/>
      <c r="BB141" s="2711"/>
      <c r="BC141" s="2711"/>
      <c r="BD141" s="2711"/>
      <c r="BE141" s="2711"/>
      <c r="BF141" s="2711"/>
      <c r="BG141" s="2711"/>
      <c r="BH141" s="2711"/>
      <c r="BI141" s="2711"/>
      <c r="BJ141" s="2711"/>
      <c r="BK141" s="2711"/>
      <c r="BL141" s="2711"/>
      <c r="BM141" s="2711"/>
      <c r="BN141" s="2711"/>
      <c r="BO141" s="2711"/>
      <c r="BP141" s="2711"/>
      <c r="BQ141" s="2711"/>
      <c r="BR141" s="2711"/>
    </row>
    <row r="142" customHeight="1" spans="1:70">
      <c r="A142" s="1846"/>
      <c r="B142" s="2561" t="s">
        <v>345</v>
      </c>
      <c r="C142" s="2562"/>
      <c r="D142" s="2563"/>
      <c r="E142" s="2564"/>
      <c r="F142" s="2564"/>
      <c r="G142" s="2564"/>
      <c r="H142" s="2564"/>
      <c r="I142" s="2564"/>
      <c r="J142" s="2603"/>
      <c r="K142" s="2604"/>
      <c r="L142" s="2604"/>
      <c r="M142" s="2604"/>
      <c r="N142" s="2604"/>
      <c r="O142" s="2604"/>
      <c r="P142" s="2604"/>
      <c r="Q142" s="2604"/>
      <c r="R142" s="2604"/>
      <c r="S142" s="2604"/>
      <c r="T142" s="2604"/>
      <c r="U142" s="2636"/>
      <c r="V142" s="1905"/>
      <c r="W142" s="2637" t="s">
        <v>346</v>
      </c>
      <c r="X142" s="2638"/>
      <c r="Y142" s="2638"/>
      <c r="Z142" s="2668"/>
      <c r="AA142" s="2638" t="s">
        <v>10</v>
      </c>
      <c r="AB142" s="2638"/>
      <c r="AC142" s="2638"/>
      <c r="AD142" s="2669" t="s">
        <v>347</v>
      </c>
      <c r="AE142" s="2638"/>
      <c r="AF142" s="2638"/>
      <c r="AG142" s="2638"/>
      <c r="AH142" s="2638"/>
      <c r="AI142" s="2638"/>
      <c r="AJ142" s="2638"/>
      <c r="AK142" s="2668"/>
      <c r="AL142" s="2638" t="s">
        <v>348</v>
      </c>
      <c r="AM142" s="2638"/>
      <c r="AN142" s="2638"/>
      <c r="AO142" s="2638"/>
      <c r="AP142" s="2669" t="s">
        <v>349</v>
      </c>
      <c r="AQ142" s="2638"/>
      <c r="AR142" s="2638"/>
      <c r="AS142" s="2715"/>
      <c r="AT142" s="1905"/>
      <c r="AU142" s="2711"/>
      <c r="AV142" s="2711"/>
      <c r="AW142" s="2711"/>
      <c r="AX142" s="2711"/>
      <c r="AY142" s="2711"/>
      <c r="AZ142" s="2711"/>
      <c r="BA142" s="2711"/>
      <c r="BB142" s="2711"/>
      <c r="BC142" s="2711"/>
      <c r="BD142" s="2711"/>
      <c r="BE142" s="2711"/>
      <c r="BF142" s="2711"/>
      <c r="BG142" s="2711"/>
      <c r="BH142" s="2711"/>
      <c r="BI142" s="2711"/>
      <c r="BJ142" s="2711"/>
      <c r="BK142" s="2711"/>
      <c r="BL142" s="2711"/>
      <c r="BM142" s="2711"/>
      <c r="BN142" s="2711"/>
      <c r="BO142" s="2711"/>
      <c r="BP142" s="2711"/>
      <c r="BQ142" s="2711"/>
      <c r="BR142" s="2711"/>
    </row>
    <row r="143" customHeight="1" spans="1:70">
      <c r="A143" s="1846"/>
      <c r="B143" s="2565" t="str">
        <f>_xlfn.IFNA(VLOOKUP(D142,附表!$P$84:$Q$209,2,0),"")</f>
        <v/>
      </c>
      <c r="C143" s="2566"/>
      <c r="D143" s="2567"/>
      <c r="E143" s="2567"/>
      <c r="F143" s="2567"/>
      <c r="G143" s="2567"/>
      <c r="H143" s="2567"/>
      <c r="I143" s="2567"/>
      <c r="J143" s="2567"/>
      <c r="K143" s="2567"/>
      <c r="L143" s="2567"/>
      <c r="M143" s="2567"/>
      <c r="N143" s="2567"/>
      <c r="O143" s="2567"/>
      <c r="P143" s="2567"/>
      <c r="Q143" s="2567"/>
      <c r="R143" s="2567"/>
      <c r="S143" s="2567"/>
      <c r="T143" s="2567"/>
      <c r="U143" s="2639"/>
      <c r="V143" s="1905"/>
      <c r="W143" s="2640"/>
      <c r="X143" s="2641"/>
      <c r="Y143" s="2641"/>
      <c r="Z143" s="2670"/>
      <c r="AA143" s="2641"/>
      <c r="AB143" s="2641"/>
      <c r="AC143" s="2641"/>
      <c r="AD143" s="2339"/>
      <c r="AE143" s="2641"/>
      <c r="AF143" s="2641"/>
      <c r="AG143" s="2641"/>
      <c r="AH143" s="2641"/>
      <c r="AI143" s="2641"/>
      <c r="AJ143" s="2641"/>
      <c r="AK143" s="2670"/>
      <c r="AL143" s="2641"/>
      <c r="AM143" s="2641"/>
      <c r="AN143" s="2641"/>
      <c r="AO143" s="2641"/>
      <c r="AP143" s="2339"/>
      <c r="AQ143" s="2641"/>
      <c r="AR143" s="2641"/>
      <c r="AS143" s="2716"/>
      <c r="AT143" s="1905"/>
      <c r="AU143" s="2711"/>
      <c r="AV143" s="2711"/>
      <c r="AW143" s="2711"/>
      <c r="AX143" s="2711"/>
      <c r="AY143" s="2711"/>
      <c r="AZ143" s="2711"/>
      <c r="BA143" s="2711"/>
      <c r="BB143" s="2711"/>
      <c r="BC143" s="2711"/>
      <c r="BD143" s="2711"/>
      <c r="BE143" s="2711"/>
      <c r="BF143" s="2711"/>
      <c r="BG143" s="2711"/>
      <c r="BH143" s="2711"/>
      <c r="BI143" s="2711"/>
      <c r="BJ143" s="2711"/>
      <c r="BK143" s="2711"/>
      <c r="BL143" s="2711"/>
      <c r="BM143" s="2711"/>
      <c r="BN143" s="2711"/>
      <c r="BO143" s="2711"/>
      <c r="BP143" s="2711"/>
      <c r="BQ143" s="2711"/>
      <c r="BR143" s="2711"/>
    </row>
    <row r="144" customHeight="1" spans="1:70">
      <c r="A144" s="1846"/>
      <c r="B144" s="2568"/>
      <c r="C144" s="2569"/>
      <c r="D144" s="2569"/>
      <c r="E144" s="2569"/>
      <c r="F144" s="2569"/>
      <c r="G144" s="2569"/>
      <c r="H144" s="2569"/>
      <c r="I144" s="2569"/>
      <c r="J144" s="2569"/>
      <c r="K144" s="2569"/>
      <c r="L144" s="2569"/>
      <c r="M144" s="2569"/>
      <c r="N144" s="2569"/>
      <c r="O144" s="2569"/>
      <c r="P144" s="2569"/>
      <c r="Q144" s="2569"/>
      <c r="R144" s="2569"/>
      <c r="S144" s="2569"/>
      <c r="T144" s="2569"/>
      <c r="U144" s="2642"/>
      <c r="V144" s="1905"/>
      <c r="W144" s="2643"/>
      <c r="X144" s="2644"/>
      <c r="Y144" s="2644"/>
      <c r="Z144" s="2671"/>
      <c r="AA144" s="2644"/>
      <c r="AB144" s="2644"/>
      <c r="AC144" s="2644"/>
      <c r="AD144" s="2338"/>
      <c r="AE144" s="2644"/>
      <c r="AF144" s="2644"/>
      <c r="AG144" s="2644"/>
      <c r="AH144" s="2644"/>
      <c r="AI144" s="2644"/>
      <c r="AJ144" s="2644"/>
      <c r="AK144" s="2671"/>
      <c r="AL144" s="2644"/>
      <c r="AM144" s="2644"/>
      <c r="AN144" s="2644"/>
      <c r="AO144" s="2644"/>
      <c r="AP144" s="2338"/>
      <c r="AQ144" s="2644"/>
      <c r="AR144" s="2644"/>
      <c r="AS144" s="2717"/>
      <c r="AT144" s="1905"/>
      <c r="AU144" s="2711"/>
      <c r="AV144" s="2711"/>
      <c r="AW144" s="2711"/>
      <c r="AX144" s="2711"/>
      <c r="AY144" s="2711"/>
      <c r="AZ144" s="2711"/>
      <c r="BA144" s="2711"/>
      <c r="BB144" s="2711"/>
      <c r="BC144" s="2711"/>
      <c r="BD144" s="2711"/>
      <c r="BE144" s="2711"/>
      <c r="BF144" s="2711"/>
      <c r="BG144" s="2711"/>
      <c r="BH144" s="2711"/>
      <c r="BI144" s="2711"/>
      <c r="BJ144" s="2711"/>
      <c r="BK144" s="2711"/>
      <c r="BL144" s="2711"/>
      <c r="BM144" s="2711"/>
      <c r="BN144" s="2711"/>
      <c r="BO144" s="2711"/>
      <c r="BP144" s="2711"/>
      <c r="BQ144" s="2711"/>
      <c r="BR144" s="2711"/>
    </row>
    <row r="145" customHeight="1" spans="1:70">
      <c r="A145" s="1846"/>
      <c r="B145" s="2561" t="s">
        <v>350</v>
      </c>
      <c r="C145" s="2562"/>
      <c r="D145" s="2563"/>
      <c r="E145" s="2564"/>
      <c r="F145" s="2564"/>
      <c r="G145" s="2564"/>
      <c r="H145" s="2564"/>
      <c r="I145" s="2564"/>
      <c r="J145" s="2603"/>
      <c r="K145" s="2604"/>
      <c r="L145" s="2604"/>
      <c r="M145" s="2604"/>
      <c r="N145" s="2604"/>
      <c r="O145" s="2604"/>
      <c r="P145" s="2604"/>
      <c r="Q145" s="2604"/>
      <c r="R145" s="2604"/>
      <c r="S145" s="2604"/>
      <c r="T145" s="2604"/>
      <c r="U145" s="2636"/>
      <c r="V145" s="1905"/>
      <c r="W145" s="2640"/>
      <c r="X145" s="2641"/>
      <c r="Y145" s="2641"/>
      <c r="Z145" s="2670"/>
      <c r="AA145" s="2641"/>
      <c r="AB145" s="2641"/>
      <c r="AC145" s="2641"/>
      <c r="AD145" s="2339"/>
      <c r="AE145" s="2641"/>
      <c r="AF145" s="2641"/>
      <c r="AG145" s="2641"/>
      <c r="AH145" s="2641"/>
      <c r="AI145" s="2641"/>
      <c r="AJ145" s="2641"/>
      <c r="AK145" s="2670"/>
      <c r="AL145" s="2641"/>
      <c r="AM145" s="2641"/>
      <c r="AN145" s="2641"/>
      <c r="AO145" s="2641"/>
      <c r="AP145" s="2339"/>
      <c r="AQ145" s="2641"/>
      <c r="AR145" s="2641"/>
      <c r="AS145" s="2716"/>
      <c r="AT145" s="1905"/>
      <c r="AU145" s="2711"/>
      <c r="AV145" s="2711"/>
      <c r="AW145" s="2711"/>
      <c r="AX145" s="2711"/>
      <c r="AY145" s="2711"/>
      <c r="AZ145" s="2711"/>
      <c r="BA145" s="2711"/>
      <c r="BB145" s="2711"/>
      <c r="BC145" s="2711"/>
      <c r="BD145" s="2711"/>
      <c r="BE145" s="2711"/>
      <c r="BF145" s="2711"/>
      <c r="BG145" s="2711"/>
      <c r="BH145" s="2711"/>
      <c r="BI145" s="2711"/>
      <c r="BJ145" s="2711"/>
      <c r="BK145" s="2711"/>
      <c r="BL145" s="2711"/>
      <c r="BM145" s="2711"/>
      <c r="BN145" s="2711"/>
      <c r="BO145" s="2711"/>
      <c r="BP145" s="2711"/>
      <c r="BQ145" s="2711"/>
      <c r="BR145" s="2711"/>
    </row>
    <row r="146" customHeight="1" spans="1:70">
      <c r="A146" s="1846"/>
      <c r="B146" s="2565" t="str">
        <f>_xlfn.IFNA(VLOOKUP(D145,附表!$P$84:$Q$209,2,0),"")</f>
        <v/>
      </c>
      <c r="C146" s="2566"/>
      <c r="D146" s="2567"/>
      <c r="E146" s="2567"/>
      <c r="F146" s="2567"/>
      <c r="G146" s="2567"/>
      <c r="H146" s="2567"/>
      <c r="I146" s="2567"/>
      <c r="J146" s="2567"/>
      <c r="K146" s="2567"/>
      <c r="L146" s="2567"/>
      <c r="M146" s="2567"/>
      <c r="N146" s="2567"/>
      <c r="O146" s="2567"/>
      <c r="P146" s="2567"/>
      <c r="Q146" s="2567"/>
      <c r="R146" s="2567"/>
      <c r="S146" s="2567"/>
      <c r="T146" s="2567"/>
      <c r="U146" s="2639"/>
      <c r="V146" s="1905"/>
      <c r="W146" s="2643"/>
      <c r="X146" s="2644"/>
      <c r="Y146" s="2644"/>
      <c r="Z146" s="2671"/>
      <c r="AA146" s="2644"/>
      <c r="AB146" s="2644"/>
      <c r="AC146" s="2644"/>
      <c r="AD146" s="2338"/>
      <c r="AE146" s="2644"/>
      <c r="AF146" s="2644"/>
      <c r="AG146" s="2644"/>
      <c r="AH146" s="2644"/>
      <c r="AI146" s="2644"/>
      <c r="AJ146" s="2644"/>
      <c r="AK146" s="2671"/>
      <c r="AL146" s="2644"/>
      <c r="AM146" s="2644"/>
      <c r="AN146" s="2644"/>
      <c r="AO146" s="2644"/>
      <c r="AP146" s="2338"/>
      <c r="AQ146" s="2644"/>
      <c r="AR146" s="2644"/>
      <c r="AS146" s="2717"/>
      <c r="AT146" s="1905"/>
      <c r="AU146" s="2711"/>
      <c r="AV146" s="2711"/>
      <c r="AW146" s="2711"/>
      <c r="AX146" s="2711"/>
      <c r="AY146" s="2711"/>
      <c r="AZ146" s="2711"/>
      <c r="BA146" s="2711"/>
      <c r="BB146" s="2711"/>
      <c r="BC146" s="2711"/>
      <c r="BD146" s="2711"/>
      <c r="BE146" s="2711"/>
      <c r="BF146" s="2711"/>
      <c r="BG146" s="2711"/>
      <c r="BH146" s="2711"/>
      <c r="BI146" s="2711"/>
      <c r="BJ146" s="2711"/>
      <c r="BK146" s="2711"/>
      <c r="BL146" s="2711"/>
      <c r="BM146" s="2711"/>
      <c r="BN146" s="2711"/>
      <c r="BO146" s="2711"/>
      <c r="BP146" s="2711"/>
      <c r="BQ146" s="2711"/>
      <c r="BR146" s="2711"/>
    </row>
    <row r="147" customHeight="1" spans="1:70">
      <c r="A147" s="1846"/>
      <c r="B147" s="2568"/>
      <c r="C147" s="2569"/>
      <c r="D147" s="2569"/>
      <c r="E147" s="2569"/>
      <c r="F147" s="2569"/>
      <c r="G147" s="2569"/>
      <c r="H147" s="2569"/>
      <c r="I147" s="2569"/>
      <c r="J147" s="2569"/>
      <c r="K147" s="2569"/>
      <c r="L147" s="2569"/>
      <c r="M147" s="2569"/>
      <c r="N147" s="2569"/>
      <c r="O147" s="2569"/>
      <c r="P147" s="2569"/>
      <c r="Q147" s="2569"/>
      <c r="R147" s="2569"/>
      <c r="S147" s="2569"/>
      <c r="T147" s="2569"/>
      <c r="U147" s="2642"/>
      <c r="V147" s="1905"/>
      <c r="W147" s="2640"/>
      <c r="X147" s="2641"/>
      <c r="Y147" s="2641"/>
      <c r="Z147" s="2670"/>
      <c r="AA147" s="2641"/>
      <c r="AB147" s="2641"/>
      <c r="AC147" s="2641"/>
      <c r="AD147" s="2339"/>
      <c r="AE147" s="2641"/>
      <c r="AF147" s="2641"/>
      <c r="AG147" s="2641"/>
      <c r="AH147" s="2641"/>
      <c r="AI147" s="2641"/>
      <c r="AJ147" s="2641"/>
      <c r="AK147" s="2670"/>
      <c r="AL147" s="2641"/>
      <c r="AM147" s="2641"/>
      <c r="AN147" s="2641"/>
      <c r="AO147" s="2641"/>
      <c r="AP147" s="2339"/>
      <c r="AQ147" s="2641"/>
      <c r="AR147" s="2641"/>
      <c r="AS147" s="2716"/>
      <c r="AT147" s="1905"/>
      <c r="AU147" s="2711"/>
      <c r="AV147" s="2711"/>
      <c r="AW147" s="2711"/>
      <c r="AX147" s="2711"/>
      <c r="AY147" s="2711"/>
      <c r="AZ147" s="2711"/>
      <c r="BA147" s="2711"/>
      <c r="BB147" s="2711"/>
      <c r="BC147" s="2711"/>
      <c r="BD147" s="2711"/>
      <c r="BE147" s="2711"/>
      <c r="BF147" s="2711"/>
      <c r="BG147" s="2711"/>
      <c r="BH147" s="2711"/>
      <c r="BI147" s="2711"/>
      <c r="BJ147" s="2711"/>
      <c r="BK147" s="2711"/>
      <c r="BL147" s="2711"/>
      <c r="BM147" s="2711"/>
      <c r="BN147" s="2711"/>
      <c r="BO147" s="2711"/>
      <c r="BP147" s="2711"/>
      <c r="BQ147" s="2711"/>
      <c r="BR147" s="2711"/>
    </row>
    <row r="148" customHeight="1" spans="1:46">
      <c r="A148" s="1846"/>
      <c r="B148" s="2561" t="s">
        <v>351</v>
      </c>
      <c r="C148" s="2562"/>
      <c r="D148" s="2563"/>
      <c r="E148" s="2564"/>
      <c r="F148" s="2564"/>
      <c r="G148" s="2564"/>
      <c r="H148" s="2564"/>
      <c r="I148" s="2564"/>
      <c r="J148" s="2603"/>
      <c r="K148" s="2604"/>
      <c r="L148" s="2604"/>
      <c r="M148" s="2604"/>
      <c r="N148" s="2604"/>
      <c r="O148" s="2604"/>
      <c r="P148" s="2604"/>
      <c r="Q148" s="2604"/>
      <c r="R148" s="2604"/>
      <c r="S148" s="2604"/>
      <c r="T148" s="2604"/>
      <c r="U148" s="2636"/>
      <c r="V148" s="1905"/>
      <c r="W148" s="2298"/>
      <c r="X148" s="2299"/>
      <c r="Y148" s="2299"/>
      <c r="Z148" s="2299"/>
      <c r="AA148" s="2671"/>
      <c r="AB148" s="2299"/>
      <c r="AC148" s="2338"/>
      <c r="AD148" s="2299"/>
      <c r="AE148" s="2299"/>
      <c r="AF148" s="2299"/>
      <c r="AG148" s="2299"/>
      <c r="AH148" s="2299"/>
      <c r="AI148" s="2299"/>
      <c r="AJ148" s="2299"/>
      <c r="AK148" s="2299"/>
      <c r="AL148" s="2671"/>
      <c r="AM148" s="2299"/>
      <c r="AN148" s="2299"/>
      <c r="AO148" s="2338"/>
      <c r="AP148" s="2299"/>
      <c r="AQ148" s="2299"/>
      <c r="AR148" s="2299"/>
      <c r="AS148" s="2383"/>
      <c r="AT148" s="1905"/>
    </row>
    <row r="149" customHeight="1" spans="2:70">
      <c r="B149" s="2565" t="str">
        <f>_xlfn.IFNA(VLOOKUP(D148,附表!$P$84:$Q$209,2,0),"")</f>
        <v/>
      </c>
      <c r="C149" s="2566"/>
      <c r="D149" s="2567"/>
      <c r="E149" s="2567"/>
      <c r="F149" s="2567"/>
      <c r="G149" s="2567"/>
      <c r="H149" s="2567"/>
      <c r="I149" s="2567"/>
      <c r="J149" s="2567"/>
      <c r="K149" s="2567"/>
      <c r="L149" s="2567"/>
      <c r="M149" s="2567"/>
      <c r="N149" s="2567"/>
      <c r="O149" s="2567"/>
      <c r="P149" s="2567"/>
      <c r="Q149" s="2567"/>
      <c r="R149" s="2567"/>
      <c r="S149" s="2567"/>
      <c r="T149" s="2567"/>
      <c r="U149" s="2639"/>
      <c r="V149" s="1905"/>
      <c r="W149" s="2640"/>
      <c r="X149" s="2641"/>
      <c r="Y149" s="2641"/>
      <c r="Z149" s="2670"/>
      <c r="AA149" s="2641"/>
      <c r="AB149" s="2641"/>
      <c r="AC149" s="2641"/>
      <c r="AD149" s="2339"/>
      <c r="AE149" s="2641"/>
      <c r="AF149" s="2641"/>
      <c r="AG149" s="2641"/>
      <c r="AH149" s="2641"/>
      <c r="AI149" s="2641"/>
      <c r="AJ149" s="2641"/>
      <c r="AK149" s="2670"/>
      <c r="AL149" s="2641"/>
      <c r="AM149" s="2641"/>
      <c r="AN149" s="2641"/>
      <c r="AO149" s="2641"/>
      <c r="AP149" s="2339"/>
      <c r="AQ149" s="2641"/>
      <c r="AR149" s="2641"/>
      <c r="AS149" s="2716"/>
      <c r="AT149" s="1905"/>
      <c r="AU149" s="2120" t="s">
        <v>352</v>
      </c>
      <c r="AV149" s="2120"/>
      <c r="AW149" s="2120"/>
      <c r="AX149" s="2120"/>
      <c r="AY149" s="2120"/>
      <c r="AZ149" s="2120"/>
      <c r="BA149" s="2120"/>
      <c r="BB149" s="2120"/>
      <c r="BC149" s="2120"/>
      <c r="BD149" s="2120"/>
      <c r="BE149" s="2120"/>
      <c r="BF149" s="2120"/>
      <c r="BG149" s="2120"/>
      <c r="BH149" s="2120"/>
      <c r="BI149" s="2120"/>
      <c r="BJ149" s="2120"/>
      <c r="BK149" s="2120"/>
      <c r="BL149" s="2120"/>
      <c r="BM149" s="2120"/>
      <c r="BN149" s="2120"/>
      <c r="BO149" s="2120"/>
      <c r="BP149" s="2120"/>
      <c r="BQ149" s="2120"/>
      <c r="BR149" s="2120"/>
    </row>
    <row r="150" customHeight="1" spans="2:70">
      <c r="B150" s="2568"/>
      <c r="C150" s="2569"/>
      <c r="D150" s="2569"/>
      <c r="E150" s="2569"/>
      <c r="F150" s="2569"/>
      <c r="G150" s="2569"/>
      <c r="H150" s="2569"/>
      <c r="I150" s="2569"/>
      <c r="J150" s="2569"/>
      <c r="K150" s="2569"/>
      <c r="L150" s="2569"/>
      <c r="M150" s="2569"/>
      <c r="N150" s="2569"/>
      <c r="O150" s="2569"/>
      <c r="P150" s="2569"/>
      <c r="Q150" s="2569"/>
      <c r="R150" s="2569"/>
      <c r="S150" s="2569"/>
      <c r="T150" s="2569"/>
      <c r="U150" s="2642"/>
      <c r="V150" s="1905"/>
      <c r="W150" s="2298"/>
      <c r="X150" s="2299"/>
      <c r="Y150" s="2299"/>
      <c r="Z150" s="2299"/>
      <c r="AA150" s="2671"/>
      <c r="AB150" s="2299"/>
      <c r="AC150" s="2338"/>
      <c r="AD150" s="2299"/>
      <c r="AE150" s="2299"/>
      <c r="AF150" s="2299"/>
      <c r="AG150" s="2299"/>
      <c r="AH150" s="2299"/>
      <c r="AI150" s="2299"/>
      <c r="AJ150" s="2299"/>
      <c r="AK150" s="2299"/>
      <c r="AL150" s="2671"/>
      <c r="AM150" s="2299"/>
      <c r="AN150" s="2299"/>
      <c r="AO150" s="2338"/>
      <c r="AP150" s="2299"/>
      <c r="AQ150" s="2299"/>
      <c r="AR150" s="2299"/>
      <c r="AS150" s="2383"/>
      <c r="AU150" s="2718" t="s">
        <v>54</v>
      </c>
      <c r="AV150" s="2718"/>
      <c r="AW150" s="2718"/>
      <c r="AX150" s="2718"/>
      <c r="AY150" s="2718"/>
      <c r="AZ150" s="2718"/>
      <c r="BA150" s="2718" t="s">
        <v>199</v>
      </c>
      <c r="BB150" s="2718"/>
      <c r="BC150" s="2718"/>
      <c r="BD150" s="2718" t="s">
        <v>197</v>
      </c>
      <c r="BE150" s="2718"/>
      <c r="BF150" s="2718"/>
      <c r="BG150" s="2718" t="s">
        <v>353</v>
      </c>
      <c r="BH150" s="2718"/>
      <c r="BI150" s="2718"/>
      <c r="BJ150" s="2718"/>
      <c r="BK150" s="2718"/>
      <c r="BL150" s="2718"/>
      <c r="BM150" s="2718"/>
      <c r="BN150" s="2718"/>
      <c r="BO150" s="2718"/>
      <c r="BP150" s="2718"/>
      <c r="BQ150" s="2718"/>
      <c r="BR150" s="2718"/>
    </row>
    <row r="151" customFormat="1" customHeight="1" spans="2:70">
      <c r="B151" s="2561" t="s">
        <v>354</v>
      </c>
      <c r="C151" s="2562"/>
      <c r="D151" s="2563"/>
      <c r="E151" s="2564"/>
      <c r="F151" s="2564"/>
      <c r="G151" s="2564"/>
      <c r="H151" s="2564"/>
      <c r="I151" s="2564"/>
      <c r="J151" s="2603"/>
      <c r="K151" s="2604"/>
      <c r="L151" s="2604"/>
      <c r="M151" s="2604"/>
      <c r="N151" s="2604"/>
      <c r="O151" s="2604"/>
      <c r="P151" s="2604"/>
      <c r="Q151" s="2604"/>
      <c r="R151" s="2604"/>
      <c r="S151" s="2604"/>
      <c r="T151" s="2604"/>
      <c r="U151" s="2636"/>
      <c r="V151" s="2137"/>
      <c r="W151" s="2640"/>
      <c r="X151" s="2641"/>
      <c r="Y151" s="2641"/>
      <c r="Z151" s="2670"/>
      <c r="AA151" s="2641"/>
      <c r="AB151" s="2641"/>
      <c r="AC151" s="2641"/>
      <c r="AD151" s="2339"/>
      <c r="AE151" s="2641"/>
      <c r="AF151" s="2641"/>
      <c r="AG151" s="2641"/>
      <c r="AH151" s="2641"/>
      <c r="AI151" s="2641"/>
      <c r="AJ151" s="2641"/>
      <c r="AK151" s="2670"/>
      <c r="AL151" s="2641"/>
      <c r="AM151" s="2641"/>
      <c r="AN151" s="2641"/>
      <c r="AO151" s="2641"/>
      <c r="AP151" s="2339"/>
      <c r="AQ151" s="2641"/>
      <c r="AR151" s="2641"/>
      <c r="AS151" s="2716"/>
      <c r="AU151" s="2719" t="s">
        <v>355</v>
      </c>
      <c r="AV151" s="2719"/>
      <c r="AW151" s="2719"/>
      <c r="AX151" s="2719"/>
      <c r="AY151" s="2719"/>
      <c r="AZ151" s="2719"/>
      <c r="BA151" s="2719">
        <v>50</v>
      </c>
      <c r="BB151" s="2719"/>
      <c r="BC151" s="2719"/>
      <c r="BD151" s="2719" t="s">
        <v>120</v>
      </c>
      <c r="BE151" s="2719"/>
      <c r="BF151" s="2719"/>
      <c r="BG151" s="2719" t="s">
        <v>356</v>
      </c>
      <c r="BH151" s="2719"/>
      <c r="BI151" s="2719"/>
      <c r="BJ151" s="2719"/>
      <c r="BK151" s="2719"/>
      <c r="BL151" s="2719"/>
      <c r="BM151" s="2719"/>
      <c r="BN151" s="2719"/>
      <c r="BO151" s="2719"/>
      <c r="BP151" s="2719"/>
      <c r="BQ151" s="2719"/>
      <c r="BR151" s="2719"/>
    </row>
    <row r="152" customHeight="1" spans="2:70">
      <c r="B152" s="2565" t="str">
        <f>_xlfn.IFNA(VLOOKUP(D151,附表!$P$84:$Q$209,2,0),"")</f>
        <v/>
      </c>
      <c r="C152" s="2566"/>
      <c r="D152" s="2567"/>
      <c r="E152" s="2567"/>
      <c r="F152" s="2567"/>
      <c r="G152" s="2567"/>
      <c r="H152" s="2567"/>
      <c r="I152" s="2567"/>
      <c r="J152" s="2567"/>
      <c r="K152" s="2567"/>
      <c r="L152" s="2567"/>
      <c r="M152" s="2567"/>
      <c r="N152" s="2567"/>
      <c r="O152" s="2567"/>
      <c r="P152" s="2567"/>
      <c r="Q152" s="2567"/>
      <c r="R152" s="2567"/>
      <c r="S152" s="2567"/>
      <c r="T152" s="2567"/>
      <c r="U152" s="2639"/>
      <c r="V152" s="1905"/>
      <c r="W152" s="2298"/>
      <c r="X152" s="2299"/>
      <c r="Y152" s="2299"/>
      <c r="Z152" s="2299"/>
      <c r="AA152" s="2671"/>
      <c r="AB152" s="2299"/>
      <c r="AC152" s="2338"/>
      <c r="AD152" s="2299"/>
      <c r="AE152" s="2299"/>
      <c r="AF152" s="2299"/>
      <c r="AG152" s="2299"/>
      <c r="AH152" s="2299"/>
      <c r="AI152" s="2299"/>
      <c r="AJ152" s="2299"/>
      <c r="AK152" s="2299"/>
      <c r="AL152" s="2671"/>
      <c r="AM152" s="2299"/>
      <c r="AN152" s="2299"/>
      <c r="AO152" s="2338"/>
      <c r="AP152" s="2299"/>
      <c r="AQ152" s="2299"/>
      <c r="AR152" s="2299"/>
      <c r="AS152" s="2383"/>
      <c r="AU152" s="2720"/>
      <c r="AV152" s="2720"/>
      <c r="AW152" s="2720"/>
      <c r="AX152" s="2720"/>
      <c r="AY152" s="2720"/>
      <c r="AZ152" s="2720"/>
      <c r="BA152" s="2720"/>
      <c r="BB152" s="2720"/>
      <c r="BC152" s="2720"/>
      <c r="BD152" s="2720"/>
      <c r="BE152" s="2720"/>
      <c r="BF152" s="2720"/>
      <c r="BG152" s="2720"/>
      <c r="BH152" s="2720"/>
      <c r="BI152" s="2720"/>
      <c r="BJ152" s="2720"/>
      <c r="BK152" s="2720"/>
      <c r="BL152" s="2720"/>
      <c r="BM152" s="2720"/>
      <c r="BN152" s="2720"/>
      <c r="BO152" s="2720"/>
      <c r="BP152" s="2720"/>
      <c r="BQ152" s="2720"/>
      <c r="BR152" s="2720"/>
    </row>
    <row r="153" customHeight="1" spans="2:70">
      <c r="B153" s="2568"/>
      <c r="C153" s="2569"/>
      <c r="D153" s="2569"/>
      <c r="E153" s="2569"/>
      <c r="F153" s="2569"/>
      <c r="G153" s="2569"/>
      <c r="H153" s="2569"/>
      <c r="I153" s="2569"/>
      <c r="J153" s="2569"/>
      <c r="K153" s="2569"/>
      <c r="L153" s="2569"/>
      <c r="M153" s="2569"/>
      <c r="N153" s="2569"/>
      <c r="O153" s="2569"/>
      <c r="P153" s="2569"/>
      <c r="Q153" s="2569"/>
      <c r="R153" s="2569"/>
      <c r="S153" s="2569"/>
      <c r="T153" s="2569"/>
      <c r="U153" s="2642"/>
      <c r="V153" s="1905"/>
      <c r="W153" s="2640"/>
      <c r="X153" s="2641"/>
      <c r="Y153" s="2641"/>
      <c r="Z153" s="2670"/>
      <c r="AA153" s="2641"/>
      <c r="AB153" s="2641"/>
      <c r="AC153" s="2641"/>
      <c r="AD153" s="2339"/>
      <c r="AE153" s="2641"/>
      <c r="AF153" s="2641"/>
      <c r="AG153" s="2641"/>
      <c r="AH153" s="2641"/>
      <c r="AI153" s="2641"/>
      <c r="AJ153" s="2641"/>
      <c r="AK153" s="2670"/>
      <c r="AL153" s="2641"/>
      <c r="AM153" s="2641"/>
      <c r="AN153" s="2641"/>
      <c r="AO153" s="2641"/>
      <c r="AP153" s="2339"/>
      <c r="AQ153" s="2641"/>
      <c r="AR153" s="2641"/>
      <c r="AS153" s="2716"/>
      <c r="AT153"/>
      <c r="AU153" s="2720"/>
      <c r="AV153" s="2720"/>
      <c r="AW153" s="2720"/>
      <c r="AX153" s="2720"/>
      <c r="AY153" s="2720"/>
      <c r="AZ153" s="2720"/>
      <c r="BA153" s="2720"/>
      <c r="BB153" s="2720"/>
      <c r="BC153" s="2720"/>
      <c r="BD153" s="2720"/>
      <c r="BE153" s="2720"/>
      <c r="BF153" s="2720"/>
      <c r="BG153" s="2720"/>
      <c r="BH153" s="2720"/>
      <c r="BI153" s="2720"/>
      <c r="BJ153" s="2720"/>
      <c r="BK153" s="2720"/>
      <c r="BL153" s="2720"/>
      <c r="BM153" s="2720"/>
      <c r="BN153" s="2720"/>
      <c r="BO153" s="2720"/>
      <c r="BP153" s="2720"/>
      <c r="BQ153" s="2720"/>
      <c r="BR153" s="2720"/>
    </row>
    <row r="154" customHeight="1" spans="2:70">
      <c r="B154" s="2561" t="s">
        <v>357</v>
      </c>
      <c r="C154" s="2562"/>
      <c r="D154" s="2563"/>
      <c r="E154" s="2564"/>
      <c r="F154" s="2564"/>
      <c r="G154" s="2564"/>
      <c r="H154" s="2564"/>
      <c r="I154" s="2564"/>
      <c r="J154" s="2603"/>
      <c r="K154" s="2604"/>
      <c r="L154" s="2604"/>
      <c r="M154" s="2604"/>
      <c r="N154" s="2604"/>
      <c r="O154" s="2604"/>
      <c r="P154" s="2604"/>
      <c r="Q154" s="2604"/>
      <c r="R154" s="2604"/>
      <c r="S154" s="2604"/>
      <c r="T154" s="2604"/>
      <c r="U154" s="2636"/>
      <c r="V154" s="1905"/>
      <c r="W154" s="2298"/>
      <c r="X154" s="2299"/>
      <c r="Y154" s="2299"/>
      <c r="Z154" s="2299"/>
      <c r="AA154" s="2671"/>
      <c r="AB154" s="2299"/>
      <c r="AC154" s="2338"/>
      <c r="AD154" s="2299"/>
      <c r="AE154" s="2299"/>
      <c r="AF154" s="2299"/>
      <c r="AG154" s="2299"/>
      <c r="AH154" s="2299"/>
      <c r="AI154" s="2299"/>
      <c r="AJ154" s="2299"/>
      <c r="AK154" s="2299"/>
      <c r="AL154" s="2671"/>
      <c r="AM154" s="2299"/>
      <c r="AN154" s="2299"/>
      <c r="AO154" s="2338"/>
      <c r="AP154" s="2299"/>
      <c r="AQ154" s="2299"/>
      <c r="AR154" s="2299"/>
      <c r="AS154" s="2383"/>
      <c r="AT154"/>
      <c r="AU154" s="2720"/>
      <c r="AV154" s="2720"/>
      <c r="AW154" s="2720"/>
      <c r="AX154" s="2720"/>
      <c r="AY154" s="2720"/>
      <c r="AZ154" s="2720"/>
      <c r="BA154" s="2720"/>
      <c r="BB154" s="2720"/>
      <c r="BC154" s="2720"/>
      <c r="BD154" s="2720"/>
      <c r="BE154" s="2720"/>
      <c r="BF154" s="2720"/>
      <c r="BG154" s="2720"/>
      <c r="BH154" s="2720"/>
      <c r="BI154" s="2720"/>
      <c r="BJ154" s="2720"/>
      <c r="BK154" s="2720"/>
      <c r="BL154" s="2720"/>
      <c r="BM154" s="2720"/>
      <c r="BN154" s="2720"/>
      <c r="BO154" s="2720"/>
      <c r="BP154" s="2720"/>
      <c r="BQ154" s="2720"/>
      <c r="BR154" s="2720"/>
    </row>
    <row r="155" customHeight="1" spans="2:70">
      <c r="B155" s="2565" t="str">
        <f>_xlfn.IFNA(VLOOKUP(D154,附表!$P$84:$Q$209,2,0),"")</f>
        <v/>
      </c>
      <c r="C155" s="2566"/>
      <c r="D155" s="2567"/>
      <c r="E155" s="2567"/>
      <c r="F155" s="2567"/>
      <c r="G155" s="2567"/>
      <c r="H155" s="2567"/>
      <c r="I155" s="2567"/>
      <c r="J155" s="2567"/>
      <c r="K155" s="2567"/>
      <c r="L155" s="2567"/>
      <c r="M155" s="2567"/>
      <c r="N155" s="2567"/>
      <c r="O155" s="2567"/>
      <c r="P155" s="2567"/>
      <c r="Q155" s="2567"/>
      <c r="R155" s="2567"/>
      <c r="S155" s="2567"/>
      <c r="T155" s="2567"/>
      <c r="U155" s="2639"/>
      <c r="V155" s="1905"/>
      <c r="W155" s="2640"/>
      <c r="X155" s="2641"/>
      <c r="Y155" s="2641"/>
      <c r="Z155" s="2670"/>
      <c r="AA155" s="2641"/>
      <c r="AB155" s="2641"/>
      <c r="AC155" s="2641"/>
      <c r="AD155" s="2339"/>
      <c r="AE155" s="2641"/>
      <c r="AF155" s="2641"/>
      <c r="AG155" s="2641"/>
      <c r="AH155" s="2641"/>
      <c r="AI155" s="2641"/>
      <c r="AJ155" s="2641"/>
      <c r="AK155" s="2670"/>
      <c r="AL155" s="2641"/>
      <c r="AM155" s="2641"/>
      <c r="AN155" s="2641"/>
      <c r="AO155" s="2641"/>
      <c r="AP155" s="2339"/>
      <c r="AQ155" s="2641"/>
      <c r="AR155" s="2641"/>
      <c r="AS155" s="2716"/>
      <c r="AT155"/>
      <c r="AU155" s="2720"/>
      <c r="AV155" s="2720"/>
      <c r="AW155" s="2720"/>
      <c r="AX155" s="2720"/>
      <c r="AY155" s="2720"/>
      <c r="AZ155" s="2720"/>
      <c r="BA155" s="2720"/>
      <c r="BB155" s="2720"/>
      <c r="BC155" s="2720"/>
      <c r="BD155" s="2720"/>
      <c r="BE155" s="2720"/>
      <c r="BF155" s="2720"/>
      <c r="BG155" s="2720"/>
      <c r="BH155" s="2720"/>
      <c r="BI155" s="2720"/>
      <c r="BJ155" s="2720"/>
      <c r="BK155" s="2720"/>
      <c r="BL155" s="2720"/>
      <c r="BM155" s="2720"/>
      <c r="BN155" s="2720"/>
      <c r="BO155" s="2720"/>
      <c r="BP155" s="2720"/>
      <c r="BQ155" s="2720"/>
      <c r="BR155" s="2720"/>
    </row>
    <row r="156" customHeight="1" spans="2:70">
      <c r="B156" s="2568"/>
      <c r="C156" s="2569"/>
      <c r="D156" s="2569"/>
      <c r="E156" s="2569"/>
      <c r="F156" s="2569"/>
      <c r="G156" s="2569"/>
      <c r="H156" s="2569"/>
      <c r="I156" s="2569"/>
      <c r="J156" s="2569"/>
      <c r="K156" s="2569"/>
      <c r="L156" s="2569"/>
      <c r="M156" s="2569"/>
      <c r="N156" s="2569"/>
      <c r="O156" s="2569"/>
      <c r="P156" s="2569"/>
      <c r="Q156" s="2569"/>
      <c r="R156" s="2569"/>
      <c r="S156" s="2569"/>
      <c r="T156" s="2569"/>
      <c r="U156" s="2642"/>
      <c r="V156" s="1905"/>
      <c r="W156" s="2645"/>
      <c r="X156" s="2646"/>
      <c r="Y156" s="2646"/>
      <c r="Z156" s="2646"/>
      <c r="AA156" s="2672"/>
      <c r="AB156" s="2646"/>
      <c r="AC156" s="2673"/>
      <c r="AD156" s="2646"/>
      <c r="AE156" s="2646"/>
      <c r="AF156" s="2646"/>
      <c r="AG156" s="2646"/>
      <c r="AH156" s="2646"/>
      <c r="AI156" s="2646"/>
      <c r="AJ156" s="2646"/>
      <c r="AK156" s="2646"/>
      <c r="AL156" s="2672"/>
      <c r="AM156" s="2646"/>
      <c r="AN156" s="2646"/>
      <c r="AO156" s="2673"/>
      <c r="AP156" s="2646"/>
      <c r="AQ156" s="2646"/>
      <c r="AR156" s="2646"/>
      <c r="AS156" s="2721"/>
      <c r="AT156"/>
      <c r="AU156" s="2720"/>
      <c r="AV156" s="2720"/>
      <c r="AW156" s="2720"/>
      <c r="AX156" s="2720"/>
      <c r="AY156" s="2720"/>
      <c r="AZ156" s="2720"/>
      <c r="BA156" s="2720"/>
      <c r="BB156" s="2720"/>
      <c r="BC156" s="2720"/>
      <c r="BD156" s="2720"/>
      <c r="BE156" s="2720"/>
      <c r="BF156" s="2720"/>
      <c r="BG156" s="2720"/>
      <c r="BH156" s="2720"/>
      <c r="BI156" s="2720"/>
      <c r="BJ156" s="2720"/>
      <c r="BK156" s="2720"/>
      <c r="BL156" s="2720"/>
      <c r="BM156" s="2720"/>
      <c r="BN156" s="2720"/>
      <c r="BO156" s="2720"/>
      <c r="BP156" s="2720"/>
      <c r="BQ156" s="2720"/>
      <c r="BR156" s="2720"/>
    </row>
    <row r="157" customHeight="1" spans="46:70">
      <c r="AT157"/>
      <c r="AU157" s="2720"/>
      <c r="AV157" s="2720"/>
      <c r="AW157" s="2720"/>
      <c r="AX157" s="2720"/>
      <c r="AY157" s="2720"/>
      <c r="AZ157" s="2720"/>
      <c r="BA157" s="2720"/>
      <c r="BB157" s="2720"/>
      <c r="BC157" s="2720"/>
      <c r="BD157" s="2720"/>
      <c r="BE157" s="2720"/>
      <c r="BF157" s="2720"/>
      <c r="BG157" s="2720"/>
      <c r="BH157" s="2720"/>
      <c r="BI157" s="2720"/>
      <c r="BJ157" s="2720"/>
      <c r="BK157" s="2720"/>
      <c r="BL157" s="2720"/>
      <c r="BM157" s="2720"/>
      <c r="BN157" s="2720"/>
      <c r="BO157" s="2720"/>
      <c r="BP157" s="2720"/>
      <c r="BQ157" s="2720"/>
      <c r="BR157" s="2720"/>
    </row>
    <row r="158" customHeight="1" spans="2:70">
      <c r="B158" s="2570" t="s">
        <v>358</v>
      </c>
      <c r="C158" s="2571"/>
      <c r="D158" s="2571"/>
      <c r="E158" s="2571"/>
      <c r="F158" s="2571"/>
      <c r="G158" s="2571"/>
      <c r="H158" s="2571"/>
      <c r="I158" s="2571"/>
      <c r="J158" s="2571"/>
      <c r="K158" s="2571"/>
      <c r="L158" s="2571"/>
      <c r="M158" s="2571"/>
      <c r="N158" s="2571"/>
      <c r="O158" s="2571"/>
      <c r="P158" s="2571"/>
      <c r="Q158" s="2571"/>
      <c r="R158" s="2571"/>
      <c r="S158" s="2571"/>
      <c r="T158" s="2571"/>
      <c r="U158" s="2647"/>
      <c r="W158" s="2648" t="s">
        <v>359</v>
      </c>
      <c r="X158" s="2648"/>
      <c r="Y158" s="2648"/>
      <c r="Z158" s="2648"/>
      <c r="AA158" s="2648"/>
      <c r="AB158" s="2648"/>
      <c r="AC158" s="2648"/>
      <c r="AD158" s="2648"/>
      <c r="AE158" s="2648"/>
      <c r="AF158" s="2648"/>
      <c r="AG158" s="2648"/>
      <c r="AH158" s="2648"/>
      <c r="AI158" s="2648"/>
      <c r="AJ158" s="2648"/>
      <c r="AK158" s="2648"/>
      <c r="AL158" s="2648"/>
      <c r="AM158" s="2648"/>
      <c r="AN158" s="2648"/>
      <c r="AO158" s="2648"/>
      <c r="AP158" s="2648"/>
      <c r="AQ158" s="2648"/>
      <c r="AR158" s="2648"/>
      <c r="AS158" s="2722"/>
      <c r="AU158" s="2720"/>
      <c r="AV158" s="2720"/>
      <c r="AW158" s="2720"/>
      <c r="AX158" s="2720"/>
      <c r="AY158" s="2720"/>
      <c r="AZ158" s="2720"/>
      <c r="BA158" s="2720"/>
      <c r="BB158" s="2720"/>
      <c r="BC158" s="2720"/>
      <c r="BD158" s="2720"/>
      <c r="BE158" s="2720"/>
      <c r="BF158" s="2720"/>
      <c r="BG158" s="2720"/>
      <c r="BH158" s="2720"/>
      <c r="BI158" s="2720"/>
      <c r="BJ158" s="2720"/>
      <c r="BK158" s="2720"/>
      <c r="BL158" s="2720"/>
      <c r="BM158" s="2720"/>
      <c r="BN158" s="2720"/>
      <c r="BO158" s="2720"/>
      <c r="BP158" s="2720"/>
      <c r="BQ158" s="2720"/>
      <c r="BR158" s="2720"/>
    </row>
    <row r="159" customHeight="1" spans="2:70">
      <c r="B159" s="2572" t="s">
        <v>360</v>
      </c>
      <c r="C159" s="2572"/>
      <c r="D159" s="2572"/>
      <c r="E159" s="2572"/>
      <c r="F159" s="2573"/>
      <c r="G159" s="2573"/>
      <c r="H159" s="2573"/>
      <c r="I159" s="2573"/>
      <c r="J159" s="2605" t="s">
        <v>197</v>
      </c>
      <c r="K159" s="2606"/>
      <c r="L159" s="2607"/>
      <c r="M159" s="2608" t="s">
        <v>361</v>
      </c>
      <c r="N159" s="2609"/>
      <c r="O159" s="2610"/>
      <c r="P159" s="2605" t="s">
        <v>343</v>
      </c>
      <c r="Q159" s="2606"/>
      <c r="R159" s="2607"/>
      <c r="S159" s="2608" t="s">
        <v>362</v>
      </c>
      <c r="T159" s="2609"/>
      <c r="U159" s="2610"/>
      <c r="W159" s="2649" t="s">
        <v>363</v>
      </c>
      <c r="X159" s="2650"/>
      <c r="Y159" s="2650"/>
      <c r="Z159" s="2650"/>
      <c r="AA159" s="2650"/>
      <c r="AB159" s="2674"/>
      <c r="AC159" s="2649" t="s">
        <v>364</v>
      </c>
      <c r="AD159" s="2650"/>
      <c r="AE159" s="2650"/>
      <c r="AF159" s="2674"/>
      <c r="AG159" s="2692" t="s">
        <v>328</v>
      </c>
      <c r="AH159" s="2693"/>
      <c r="AI159" s="2693"/>
      <c r="AJ159" s="2694" t="s">
        <v>365</v>
      </c>
      <c r="AK159" s="2694"/>
      <c r="AL159" s="2694" t="s">
        <v>366</v>
      </c>
      <c r="AM159" s="2694"/>
      <c r="AN159" s="2694" t="s">
        <v>367</v>
      </c>
      <c r="AO159" s="2694"/>
      <c r="AP159" s="2694" t="s">
        <v>368</v>
      </c>
      <c r="AQ159" s="2723"/>
      <c r="AR159" s="2724" t="s">
        <v>369</v>
      </c>
      <c r="AS159" s="2725"/>
      <c r="AT159" s="2137"/>
      <c r="AU159" s="2720"/>
      <c r="AV159" s="2720"/>
      <c r="AW159" s="2720"/>
      <c r="AX159" s="2720"/>
      <c r="AY159" s="2720"/>
      <c r="AZ159" s="2720"/>
      <c r="BA159" s="2720"/>
      <c r="BB159" s="2720"/>
      <c r="BC159" s="2720"/>
      <c r="BD159" s="2720"/>
      <c r="BE159" s="2720"/>
      <c r="BF159" s="2720"/>
      <c r="BG159" s="2720"/>
      <c r="BH159" s="2720"/>
      <c r="BI159" s="2720"/>
      <c r="BJ159" s="2720"/>
      <c r="BK159" s="2720"/>
      <c r="BL159" s="2720"/>
      <c r="BM159" s="2720"/>
      <c r="BN159" s="2720"/>
      <c r="BO159" s="2720"/>
      <c r="BP159" s="2720"/>
      <c r="BQ159" s="2720"/>
      <c r="BR159" s="2720"/>
    </row>
    <row r="160" customHeight="1" spans="2:70">
      <c r="B160" s="2574" t="s">
        <v>370</v>
      </c>
      <c r="C160" s="2575"/>
      <c r="D160" s="2576"/>
      <c r="E160" s="2577"/>
      <c r="F160" s="2574" t="s">
        <v>371</v>
      </c>
      <c r="G160" s="2575"/>
      <c r="H160" s="2576"/>
      <c r="I160" s="2577"/>
      <c r="J160" s="2574" t="s">
        <v>372</v>
      </c>
      <c r="K160" s="2575"/>
      <c r="L160" s="2576"/>
      <c r="M160" s="2577"/>
      <c r="N160" s="2574" t="s">
        <v>373</v>
      </c>
      <c r="O160" s="2575"/>
      <c r="P160" s="2576"/>
      <c r="Q160" s="2577"/>
      <c r="R160" s="2574" t="s">
        <v>374</v>
      </c>
      <c r="S160" s="2575"/>
      <c r="T160" s="2576"/>
      <c r="U160" s="2577"/>
      <c r="W160" s="2651"/>
      <c r="X160" s="2652"/>
      <c r="Y160" s="2652"/>
      <c r="Z160" s="2652"/>
      <c r="AA160" s="2652"/>
      <c r="AB160" s="2675"/>
      <c r="AC160" s="2676"/>
      <c r="AD160" s="2677"/>
      <c r="AE160" s="2677"/>
      <c r="AF160" s="2678"/>
      <c r="AG160" s="2695" t="str">
        <f>IF(AC160="","选择类型",VLOOKUP(AC160,'防具表 载具表'!$Q$2:$Y$68,2,0))</f>
        <v>选择类型</v>
      </c>
      <c r="AH160" s="1689"/>
      <c r="AI160" s="1689"/>
      <c r="AJ160" s="2696" t="str">
        <f>IF(AC160="","——",VLOOKUP(AC160,'防具表 载具表'!$Q$2:$Y$68,3,0))</f>
        <v>——</v>
      </c>
      <c r="AK160" s="2697"/>
      <c r="AL160" s="2698" t="str">
        <f>IF(AC160="","——",VLOOKUP(AC160,'防具表 载具表'!$Q$2:$Y$68,4,0))</f>
        <v>——</v>
      </c>
      <c r="AM160" s="2697"/>
      <c r="AN160" s="2698" t="str">
        <f>IF(AC160="","——",VLOOKUP(AC160,'防具表 载具表'!$Q$2:$Y$68,5,0))</f>
        <v>——</v>
      </c>
      <c r="AO160" s="2697"/>
      <c r="AP160" s="2698" t="str">
        <f>IF(AC160="","——",VLOOKUP(AC160,'防具表 载具表'!$Q$2:$Y$68,6,0))</f>
        <v>——</v>
      </c>
      <c r="AQ160" s="2726"/>
      <c r="AR160" s="2727" t="s">
        <v>375</v>
      </c>
      <c r="AS160" s="2728"/>
      <c r="AT160" s="2137"/>
      <c r="AU160" s="2120" t="s">
        <v>376</v>
      </c>
      <c r="AV160" s="2120"/>
      <c r="AW160" s="2120"/>
      <c r="AX160" s="2120"/>
      <c r="AY160" s="2120"/>
      <c r="AZ160" s="2120"/>
      <c r="BA160" s="2120"/>
      <c r="BB160" s="2120"/>
      <c r="BC160" s="2120"/>
      <c r="BD160" s="2120"/>
      <c r="BE160" s="2120"/>
      <c r="BF160" s="2120"/>
      <c r="BG160" s="2120"/>
      <c r="BH160" s="2120"/>
      <c r="BI160" s="2120"/>
      <c r="BJ160" s="2120"/>
      <c r="BK160" s="2120"/>
      <c r="BL160" s="2120"/>
      <c r="BM160" s="2120"/>
      <c r="BN160" s="2120"/>
      <c r="BO160" s="2120"/>
      <c r="BP160" s="2120"/>
      <c r="BQ160" s="2120"/>
      <c r="BR160" s="2120"/>
    </row>
    <row r="161" customHeight="1" spans="2:70">
      <c r="B161" s="2574" t="s">
        <v>377</v>
      </c>
      <c r="C161" s="2575"/>
      <c r="D161" s="2576"/>
      <c r="E161" s="2577"/>
      <c r="F161" s="2574" t="s">
        <v>369</v>
      </c>
      <c r="G161" s="2575"/>
      <c r="H161" s="2576"/>
      <c r="I161" s="2577"/>
      <c r="J161" s="2574" t="s">
        <v>378</v>
      </c>
      <c r="K161" s="2575"/>
      <c r="L161" s="2576"/>
      <c r="M161" s="2577"/>
      <c r="N161" s="2574" t="s">
        <v>379</v>
      </c>
      <c r="O161" s="2575"/>
      <c r="P161" s="2576"/>
      <c r="Q161" s="2577"/>
      <c r="R161" s="2574" t="s">
        <v>380</v>
      </c>
      <c r="S161" s="2575"/>
      <c r="T161" s="2576"/>
      <c r="U161" s="2577"/>
      <c r="W161" s="2653"/>
      <c r="X161" s="2654"/>
      <c r="Y161" s="2654"/>
      <c r="Z161" s="2654"/>
      <c r="AA161" s="2654"/>
      <c r="AB161" s="2679"/>
      <c r="AC161" s="2680"/>
      <c r="AD161" s="2681"/>
      <c r="AE161" s="2681"/>
      <c r="AF161" s="2682"/>
      <c r="AG161" s="2699" t="s">
        <v>381</v>
      </c>
      <c r="AH161" s="2700"/>
      <c r="AI161" s="2700"/>
      <c r="AJ161" s="2701">
        <v>0</v>
      </c>
      <c r="AK161" s="2702"/>
      <c r="AL161" s="2703" t="s">
        <v>382</v>
      </c>
      <c r="AM161" s="2702"/>
      <c r="AN161" s="2703" t="s">
        <v>382</v>
      </c>
      <c r="AO161" s="2702"/>
      <c r="AP161" s="2703" t="s">
        <v>382</v>
      </c>
      <c r="AQ161" s="2702"/>
      <c r="AR161" s="2729" t="str">
        <f>IF(AC160="","——",VLOOKUP(AC160,'防具表 载具表'!$Q$2:$Y$68,8,0))</f>
        <v>——</v>
      </c>
      <c r="AS161" s="2730"/>
      <c r="AT161" s="2137"/>
      <c r="AU161" s="2731" t="s">
        <v>319</v>
      </c>
      <c r="AV161" s="2731"/>
      <c r="AW161" s="2731"/>
      <c r="AX161" s="2731"/>
      <c r="AY161" s="2741" t="s">
        <v>383</v>
      </c>
      <c r="AZ161" s="2741"/>
      <c r="BA161" s="2741"/>
      <c r="BB161" s="2741"/>
      <c r="BC161" s="2741"/>
      <c r="BD161" s="2741"/>
      <c r="BE161" s="2741"/>
      <c r="BF161" s="2741"/>
      <c r="BG161" s="2741"/>
      <c r="BH161" s="2741"/>
      <c r="BI161" s="2741"/>
      <c r="BJ161" s="2741"/>
      <c r="BK161" s="2741"/>
      <c r="BL161" s="2741"/>
      <c r="BM161" s="2741"/>
      <c r="BN161" s="2741"/>
      <c r="BO161" s="2741"/>
      <c r="BP161" s="2741"/>
      <c r="BQ161" s="2741"/>
      <c r="BR161" s="2741"/>
    </row>
    <row r="162" customHeight="1" spans="2:70">
      <c r="B162" s="2578" t="s">
        <v>384</v>
      </c>
      <c r="C162" s="2579"/>
      <c r="D162" s="2580"/>
      <c r="E162" s="2581"/>
      <c r="F162" s="2578" t="s">
        <v>385</v>
      </c>
      <c r="G162" s="2579"/>
      <c r="H162" s="2580"/>
      <c r="I162" s="2581"/>
      <c r="J162" s="2578" t="s">
        <v>386</v>
      </c>
      <c r="K162" s="2579"/>
      <c r="L162" s="2611"/>
      <c r="M162" s="2612"/>
      <c r="N162" s="2574" t="s">
        <v>367</v>
      </c>
      <c r="O162" s="2575"/>
      <c r="P162" s="2613"/>
      <c r="Q162" s="2655"/>
      <c r="R162" s="2574" t="s">
        <v>366</v>
      </c>
      <c r="S162" s="2575"/>
      <c r="T162" s="2613"/>
      <c r="U162" s="2655"/>
      <c r="W162" s="2651"/>
      <c r="X162" s="2652"/>
      <c r="Y162" s="2652"/>
      <c r="Z162" s="2652"/>
      <c r="AA162" s="2652"/>
      <c r="AB162" s="2675"/>
      <c r="AC162" s="2676"/>
      <c r="AD162" s="2677"/>
      <c r="AE162" s="2677"/>
      <c r="AF162" s="2678"/>
      <c r="AG162" s="2695" t="str">
        <f>IF(AC162="","选择类型",VLOOKUP(AC162,'防具表 载具表'!$Q$2:$Y$68,2,0))</f>
        <v>选择类型</v>
      </c>
      <c r="AH162" s="1689"/>
      <c r="AI162" s="1689"/>
      <c r="AJ162" s="2704" t="str">
        <f>IF(AC162="","——",VLOOKUP(AC162,'防具表 载具表'!$Q$2:$Y$68,3,0))</f>
        <v>——</v>
      </c>
      <c r="AK162" s="2705"/>
      <c r="AL162" s="2706" t="str">
        <f>IF(AC162="","——",VLOOKUP(AC162,'防具表 载具表'!$Q$2:$Y$68,4,0))</f>
        <v>——</v>
      </c>
      <c r="AM162" s="2705"/>
      <c r="AN162" s="2706" t="str">
        <f>IF(AC162="","——",VLOOKUP(AC162,'防具表 载具表'!$Q$2:$Y$68,5,0))</f>
        <v>——</v>
      </c>
      <c r="AO162" s="2705"/>
      <c r="AP162" s="2706" t="str">
        <f>IF(AC162="","——",VLOOKUP(AC162,'防具表 载具表'!$Q$2:$Y$68,6,0))</f>
        <v>——</v>
      </c>
      <c r="AQ162" s="2732"/>
      <c r="AR162" s="2727" t="s">
        <v>375</v>
      </c>
      <c r="AS162" s="2728"/>
      <c r="AU162" s="2731" t="s">
        <v>387</v>
      </c>
      <c r="AV162" s="2731"/>
      <c r="AW162" s="2731"/>
      <c r="AX162" s="2731"/>
      <c r="AY162" s="2742" t="str">
        <f>VLOOKUP(AY161,COC法术!B1:H156,5,0)</f>
        <v>10点魔法值；1D4点理智值</v>
      </c>
      <c r="AZ162" s="2743"/>
      <c r="BA162" s="2743"/>
      <c r="BB162" s="2743"/>
      <c r="BC162" s="2743"/>
      <c r="BD162" s="2743"/>
      <c r="BE162" s="2743"/>
      <c r="BF162" s="2743"/>
      <c r="BG162" s="2743"/>
      <c r="BH162" s="2743"/>
      <c r="BI162" s="2743"/>
      <c r="BJ162" s="2743"/>
      <c r="BK162" s="2743"/>
      <c r="BL162" s="2743"/>
      <c r="BM162" s="2743"/>
      <c r="BN162" s="2743"/>
      <c r="BO162" s="2743"/>
      <c r="BP162" s="2743"/>
      <c r="BQ162" s="2743"/>
      <c r="BR162" s="2752"/>
    </row>
    <row r="163" customHeight="1" spans="2:70">
      <c r="B163" s="2582"/>
      <c r="C163" s="2583"/>
      <c r="D163" s="2584">
        <f>(D161+H161)/10</f>
        <v>0</v>
      </c>
      <c r="E163" s="2585"/>
      <c r="F163" s="2582"/>
      <c r="G163" s="2583"/>
      <c r="H163" s="2586">
        <f>T160/5</f>
        <v>0</v>
      </c>
      <c r="I163" s="2614"/>
      <c r="J163" s="2582"/>
      <c r="K163" s="2583"/>
      <c r="L163" s="2615"/>
      <c r="M163" s="2616"/>
      <c r="N163" s="2574" t="s">
        <v>388</v>
      </c>
      <c r="O163" s="2575"/>
      <c r="P163" s="2613"/>
      <c r="Q163" s="2655"/>
      <c r="R163" s="2574" t="s">
        <v>389</v>
      </c>
      <c r="S163" s="2575"/>
      <c r="T163" s="2613"/>
      <c r="U163" s="2655"/>
      <c r="W163" s="2653"/>
      <c r="X163" s="2654"/>
      <c r="Y163" s="2654"/>
      <c r="Z163" s="2654"/>
      <c r="AA163" s="2654"/>
      <c r="AB163" s="2679"/>
      <c r="AC163" s="2680"/>
      <c r="AD163" s="2681"/>
      <c r="AE163" s="2681"/>
      <c r="AF163" s="2682"/>
      <c r="AG163" s="2707" t="s">
        <v>381</v>
      </c>
      <c r="AH163" s="2708"/>
      <c r="AI163" s="2708"/>
      <c r="AJ163" s="2701">
        <v>0</v>
      </c>
      <c r="AK163" s="2702"/>
      <c r="AL163" s="2703" t="s">
        <v>382</v>
      </c>
      <c r="AM163" s="2702"/>
      <c r="AN163" s="2703" t="s">
        <v>382</v>
      </c>
      <c r="AO163" s="2702"/>
      <c r="AP163" s="2703" t="s">
        <v>382</v>
      </c>
      <c r="AQ163" s="2702"/>
      <c r="AR163" s="2729" t="str">
        <f>IF(AC162="","——",VLOOKUP(AC162,'防具表 载具表'!$Q$2:$Y$68,8,0))</f>
        <v>——</v>
      </c>
      <c r="AS163" s="2730"/>
      <c r="AT163" s="2733"/>
      <c r="AU163" s="2731" t="s">
        <v>390</v>
      </c>
      <c r="AV163" s="2731"/>
      <c r="AW163" s="2731"/>
      <c r="AX163" s="2731"/>
      <c r="AY163" s="2744" t="str">
        <f>VLOOKUP(AY161,COC法术!B1:H156,6,0)</f>
        <v>1天</v>
      </c>
      <c r="AZ163" s="2745"/>
      <c r="BA163" s="2745"/>
      <c r="BB163" s="2745"/>
      <c r="BC163" s="2745"/>
      <c r="BD163" s="2745"/>
      <c r="BE163" s="2745"/>
      <c r="BF163" s="2745"/>
      <c r="BG163" s="2745"/>
      <c r="BH163" s="2745"/>
      <c r="BI163" s="2745"/>
      <c r="BJ163" s="2745"/>
      <c r="BK163" s="2745"/>
      <c r="BL163" s="2745"/>
      <c r="BM163" s="2745"/>
      <c r="BN163" s="2745"/>
      <c r="BO163" s="2745"/>
      <c r="BP163" s="2745"/>
      <c r="BQ163" s="2745"/>
      <c r="BR163" s="2753"/>
    </row>
    <row r="164" customHeight="1" spans="2:70">
      <c r="B164" s="2574" t="s">
        <v>391</v>
      </c>
      <c r="C164" s="2587"/>
      <c r="D164" s="2588"/>
      <c r="E164" s="2588"/>
      <c r="F164" s="2589"/>
      <c r="G164" s="2589"/>
      <c r="H164" s="2588"/>
      <c r="I164" s="2588"/>
      <c r="J164" s="2588"/>
      <c r="K164" s="2611"/>
      <c r="L164" s="2574" t="s">
        <v>392</v>
      </c>
      <c r="M164" s="2587"/>
      <c r="N164" s="2588"/>
      <c r="O164" s="2588"/>
      <c r="P164" s="2589"/>
      <c r="Q164" s="2589"/>
      <c r="R164" s="2588"/>
      <c r="S164" s="2588"/>
      <c r="T164" s="2588"/>
      <c r="U164" s="2611"/>
      <c r="W164" s="2651"/>
      <c r="X164" s="2652"/>
      <c r="Y164" s="2652"/>
      <c r="Z164" s="2652"/>
      <c r="AA164" s="2652"/>
      <c r="AB164" s="2675"/>
      <c r="AC164" s="2676"/>
      <c r="AD164" s="2677"/>
      <c r="AE164" s="2677"/>
      <c r="AF164" s="2678"/>
      <c r="AG164" s="2695" t="str">
        <f>IF(AC164="","选择类型",VLOOKUP(AC164,'防具表 载具表'!$Q$2:$Y$68,2,0))</f>
        <v>选择类型</v>
      </c>
      <c r="AH164" s="1689"/>
      <c r="AI164" s="1689"/>
      <c r="AJ164" s="2696" t="str">
        <f>IF(AC164="","——",VLOOKUP(AC164,'防具表 载具表'!$Q$2:$Y$68,3,0))</f>
        <v>——</v>
      </c>
      <c r="AK164" s="2697"/>
      <c r="AL164" s="2698" t="str">
        <f>IF(AC164="","——",VLOOKUP(AC164,'防具表 载具表'!$Q$2:$Y$68,4,0))</f>
        <v>——</v>
      </c>
      <c r="AM164" s="2697"/>
      <c r="AN164" s="2698" t="str">
        <f>IF(AC164="","——",VLOOKUP(AC164,'防具表 载具表'!$Q$2:$Y$68,5,0))</f>
        <v>——</v>
      </c>
      <c r="AO164" s="2697"/>
      <c r="AP164" s="2698" t="str">
        <f>IF(AC164="","——",VLOOKUP(AC164,'防具表 载具表'!$Q$2:$Y$68,6,0))</f>
        <v>——</v>
      </c>
      <c r="AQ164" s="2726"/>
      <c r="AR164" s="2727" t="s">
        <v>375</v>
      </c>
      <c r="AS164" s="2728"/>
      <c r="AT164" s="2733"/>
      <c r="AU164" s="2731" t="s">
        <v>393</v>
      </c>
      <c r="AV164" s="2731"/>
      <c r="AW164" s="2731"/>
      <c r="AX164" s="2731"/>
      <c r="AY164" s="2746" t="str">
        <f>VLOOKUP(AY161,COC法术!B1:H157,3,0)</f>
        <v>魔鬼逐出术〔驱〕
Cast Out The Devil
消耗：10点魔法值；1D4点理智值施法用时：1天
从异界存在手中释放被占据的目标。这个复杂而费力的法术需要一整天来施放，并且需要许多部族魔法的成分。施法者须和占据目标的存在进行一次POW对抗检定并胜出，法术才能生效。
最多可以有两名协助者参与，他们必须知道本法术，可以向施法者支援10点魔法值，为检定增加一颗奖励骰。本法术很少在没有协助的情况下施放。
不同文化中，比如非洲、凯尔特、阿拉伯群体，存在本法术的不同形式。需要的法术成分要体现施法者的文化传统。
本法术可以对许多敌人使用——帮助被伊戈罗纳克、伟大种族伊斯的精神、艾霍特的幼体等等占据的人。如果从目标身体里出现的存在是可见的，在驱魔现场的所有人都要进行相应的理智检定。
别名：驱魔仪式、强迫恶魔、灵魂谋杀</v>
      </c>
      <c r="AZ164" s="2747"/>
      <c r="BA164" s="2747"/>
      <c r="BB164" s="2747"/>
      <c r="BC164" s="2747"/>
      <c r="BD164" s="2747"/>
      <c r="BE164" s="2747"/>
      <c r="BF164" s="2747"/>
      <c r="BG164" s="2747"/>
      <c r="BH164" s="2747"/>
      <c r="BI164" s="2747"/>
      <c r="BJ164" s="2747"/>
      <c r="BK164" s="2747"/>
      <c r="BL164" s="2747"/>
      <c r="BM164" s="2747"/>
      <c r="BN164" s="2747"/>
      <c r="BO164" s="2747"/>
      <c r="BP164" s="2747"/>
      <c r="BQ164" s="2747"/>
      <c r="BR164" s="2754"/>
    </row>
    <row r="165" customHeight="1" spans="2:70">
      <c r="B165" s="2574" t="s">
        <v>394</v>
      </c>
      <c r="C165" s="2587"/>
      <c r="D165" s="2588"/>
      <c r="E165" s="2588"/>
      <c r="F165" s="2589"/>
      <c r="G165" s="2589"/>
      <c r="H165" s="2588"/>
      <c r="I165" s="2588"/>
      <c r="J165" s="2588"/>
      <c r="K165" s="2611"/>
      <c r="L165" s="2574" t="s">
        <v>395</v>
      </c>
      <c r="M165" s="2587"/>
      <c r="N165" s="2588"/>
      <c r="O165" s="2588"/>
      <c r="P165" s="2589"/>
      <c r="Q165" s="2589"/>
      <c r="R165" s="2588"/>
      <c r="S165" s="2588"/>
      <c r="T165" s="2588"/>
      <c r="U165" s="2611"/>
      <c r="W165" s="2653"/>
      <c r="X165" s="2654"/>
      <c r="Y165" s="2654"/>
      <c r="Z165" s="2654"/>
      <c r="AA165" s="2654"/>
      <c r="AB165" s="2679"/>
      <c r="AC165" s="2680"/>
      <c r="AD165" s="2681"/>
      <c r="AE165" s="2681"/>
      <c r="AF165" s="2682"/>
      <c r="AG165" s="2707" t="s">
        <v>381</v>
      </c>
      <c r="AH165" s="2708"/>
      <c r="AI165" s="2708"/>
      <c r="AJ165" s="2701">
        <v>0</v>
      </c>
      <c r="AK165" s="2702"/>
      <c r="AL165" s="2703" t="s">
        <v>382</v>
      </c>
      <c r="AM165" s="2702"/>
      <c r="AN165" s="2703" t="s">
        <v>382</v>
      </c>
      <c r="AO165" s="2702"/>
      <c r="AP165" s="2703" t="s">
        <v>382</v>
      </c>
      <c r="AQ165" s="2702"/>
      <c r="AR165" s="2729" t="str">
        <f>IF(AC164="","——",VLOOKUP(AC164,'防具表 载具表'!$Q$2:$Y$68,8,0))</f>
        <v>——</v>
      </c>
      <c r="AS165" s="2730"/>
      <c r="AU165" s="2731"/>
      <c r="AV165" s="2731"/>
      <c r="AW165" s="2731"/>
      <c r="AX165" s="2731"/>
      <c r="AY165" s="2748"/>
      <c r="AZ165" s="2749"/>
      <c r="BA165" s="2749"/>
      <c r="BB165" s="2749"/>
      <c r="BC165" s="2749"/>
      <c r="BD165" s="2749"/>
      <c r="BE165" s="2749"/>
      <c r="BF165" s="2749"/>
      <c r="BG165" s="2749"/>
      <c r="BH165" s="2749"/>
      <c r="BI165" s="2749"/>
      <c r="BJ165" s="2749"/>
      <c r="BK165" s="2749"/>
      <c r="BL165" s="2749"/>
      <c r="BM165" s="2749"/>
      <c r="BN165" s="2749"/>
      <c r="BO165" s="2749"/>
      <c r="BP165" s="2749"/>
      <c r="BQ165" s="2749"/>
      <c r="BR165" s="2755"/>
    </row>
    <row r="166" ht="15.25" spans="2:70">
      <c r="B166" s="2574" t="s">
        <v>396</v>
      </c>
      <c r="C166" s="2587"/>
      <c r="D166" s="2588"/>
      <c r="E166" s="2588"/>
      <c r="F166" s="2589"/>
      <c r="G166" s="2589"/>
      <c r="H166" s="2588"/>
      <c r="I166" s="2588"/>
      <c r="J166" s="2588"/>
      <c r="K166" s="2611"/>
      <c r="L166" s="2574" t="s">
        <v>397</v>
      </c>
      <c r="M166" s="2587"/>
      <c r="N166" s="2588"/>
      <c r="O166" s="2588"/>
      <c r="P166" s="2589"/>
      <c r="Q166" s="2589"/>
      <c r="R166" s="2588"/>
      <c r="S166" s="2588"/>
      <c r="T166" s="2588"/>
      <c r="U166" s="2611"/>
      <c r="W166" s="2651"/>
      <c r="X166" s="2652"/>
      <c r="Y166" s="2652"/>
      <c r="Z166" s="2652"/>
      <c r="AA166" s="2652"/>
      <c r="AB166" s="2675"/>
      <c r="AC166" s="2676"/>
      <c r="AD166" s="2677"/>
      <c r="AE166" s="2677"/>
      <c r="AF166" s="2678"/>
      <c r="AG166" s="2695" t="str">
        <f>IF(AC166="","选择类型",VLOOKUP(AC166,'防具表 载具表'!$Q$2:$Y$68,2,0))</f>
        <v>选择类型</v>
      </c>
      <c r="AH166" s="1689"/>
      <c r="AI166" s="1689"/>
      <c r="AJ166" s="2696" t="str">
        <f>IF(AC166="","——",VLOOKUP(AC166,'防具表 载具表'!$Q$2:$Y$68,3,0))</f>
        <v>——</v>
      </c>
      <c r="AK166" s="2697"/>
      <c r="AL166" s="2698" t="str">
        <f>IF(AC166="","——",VLOOKUP(AC166,'防具表 载具表'!$Q$2:$Y$68,4,0))</f>
        <v>——</v>
      </c>
      <c r="AM166" s="2697"/>
      <c r="AN166" s="2698" t="str">
        <f>IF(AC166="","——",VLOOKUP(AC166,'防具表 载具表'!$Q$2:$Y$68,5,0))</f>
        <v>——</v>
      </c>
      <c r="AO166" s="2697"/>
      <c r="AP166" s="2698" t="str">
        <f>IF(AC166="","——",VLOOKUP(AC166,'防具表 载具表'!$Q$2:$Y$68,6,0))</f>
        <v>——</v>
      </c>
      <c r="AQ166" s="2726"/>
      <c r="AR166" s="2727" t="s">
        <v>375</v>
      </c>
      <c r="AS166" s="2728"/>
      <c r="AU166" s="2731"/>
      <c r="AV166" s="2731"/>
      <c r="AW166" s="2731"/>
      <c r="AX166" s="2731"/>
      <c r="AY166" s="2748"/>
      <c r="AZ166" s="2749"/>
      <c r="BA166" s="2749"/>
      <c r="BB166" s="2749"/>
      <c r="BC166" s="2749"/>
      <c r="BD166" s="2749"/>
      <c r="BE166" s="2749"/>
      <c r="BF166" s="2749"/>
      <c r="BG166" s="2749"/>
      <c r="BH166" s="2749"/>
      <c r="BI166" s="2749"/>
      <c r="BJ166" s="2749"/>
      <c r="BK166" s="2749"/>
      <c r="BL166" s="2749"/>
      <c r="BM166" s="2749"/>
      <c r="BN166" s="2749"/>
      <c r="BO166" s="2749"/>
      <c r="BP166" s="2749"/>
      <c r="BQ166" s="2749"/>
      <c r="BR166" s="2755"/>
    </row>
    <row r="167" customHeight="1" spans="2:70">
      <c r="B167" s="2574" t="s">
        <v>398</v>
      </c>
      <c r="C167" s="2587"/>
      <c r="D167" s="2588"/>
      <c r="E167" s="2588"/>
      <c r="F167" s="2589"/>
      <c r="G167" s="2589"/>
      <c r="H167" s="2588"/>
      <c r="I167" s="2588"/>
      <c r="J167" s="2588"/>
      <c r="K167" s="2611"/>
      <c r="L167" s="2574" t="s">
        <v>399</v>
      </c>
      <c r="M167" s="2587"/>
      <c r="N167" s="2588"/>
      <c r="O167" s="2588"/>
      <c r="P167" s="2589"/>
      <c r="Q167" s="2589"/>
      <c r="R167" s="2588"/>
      <c r="S167" s="2588"/>
      <c r="T167" s="2588"/>
      <c r="U167" s="2611"/>
      <c r="W167" s="2653"/>
      <c r="X167" s="2654"/>
      <c r="Y167" s="2654"/>
      <c r="Z167" s="2654"/>
      <c r="AA167" s="2654"/>
      <c r="AB167" s="2679"/>
      <c r="AC167" s="2680"/>
      <c r="AD167" s="2681"/>
      <c r="AE167" s="2681"/>
      <c r="AF167" s="2682"/>
      <c r="AG167" s="2707" t="s">
        <v>381</v>
      </c>
      <c r="AH167" s="2708"/>
      <c r="AI167" s="2708"/>
      <c r="AJ167" s="2701">
        <v>0</v>
      </c>
      <c r="AK167" s="2702"/>
      <c r="AL167" s="2703" t="s">
        <v>382</v>
      </c>
      <c r="AM167" s="2702"/>
      <c r="AN167" s="2703" t="s">
        <v>382</v>
      </c>
      <c r="AO167" s="2702"/>
      <c r="AP167" s="2703" t="s">
        <v>382</v>
      </c>
      <c r="AQ167" s="2702"/>
      <c r="AR167" s="2729" t="str">
        <f>IF(AC166="","——",VLOOKUP(AC166,'防具表 载具表'!$Q$2:$Y$68,8,0))</f>
        <v>——</v>
      </c>
      <c r="AS167" s="2730"/>
      <c r="AU167" s="2731"/>
      <c r="AV167" s="2731"/>
      <c r="AW167" s="2731"/>
      <c r="AX167" s="2731"/>
      <c r="AY167" s="2748"/>
      <c r="AZ167" s="2749"/>
      <c r="BA167" s="2749"/>
      <c r="BB167" s="2749"/>
      <c r="BC167" s="2749"/>
      <c r="BD167" s="2749"/>
      <c r="BE167" s="2749"/>
      <c r="BF167" s="2749"/>
      <c r="BG167" s="2749"/>
      <c r="BH167" s="2749"/>
      <c r="BI167" s="2749"/>
      <c r="BJ167" s="2749"/>
      <c r="BK167" s="2749"/>
      <c r="BL167" s="2749"/>
      <c r="BM167" s="2749"/>
      <c r="BN167" s="2749"/>
      <c r="BO167" s="2749"/>
      <c r="BP167" s="2749"/>
      <c r="BQ167" s="2749"/>
      <c r="BR167" s="2755"/>
    </row>
    <row r="168" customHeight="1" spans="2:70">
      <c r="B168" s="2590"/>
      <c r="C168" s="2590"/>
      <c r="D168" s="2590"/>
      <c r="E168" s="2590"/>
      <c r="F168" s="2590"/>
      <c r="G168" s="2590"/>
      <c r="H168" s="2590"/>
      <c r="I168" s="2590"/>
      <c r="J168" s="2590"/>
      <c r="K168" s="2590"/>
      <c r="L168" s="2617"/>
      <c r="M168" s="2617"/>
      <c r="N168" s="2617"/>
      <c r="O168" s="2617"/>
      <c r="P168" s="2617"/>
      <c r="Q168" s="2617"/>
      <c r="R168" s="2617"/>
      <c r="S168" s="2617"/>
      <c r="T168" s="2617"/>
      <c r="U168" s="2617"/>
      <c r="W168" s="1905"/>
      <c r="X168" s="1905"/>
      <c r="Y168" s="1905"/>
      <c r="Z168" s="1905"/>
      <c r="AA168" s="1905"/>
      <c r="AB168" s="1905"/>
      <c r="AC168" s="1905"/>
      <c r="AD168" s="1905"/>
      <c r="AE168" s="1905"/>
      <c r="AF168" s="1905"/>
      <c r="AG168" s="1905"/>
      <c r="AH168" s="1905"/>
      <c r="AI168" s="2709"/>
      <c r="AJ168" s="2709"/>
      <c r="AK168" s="2709"/>
      <c r="AL168" s="2709"/>
      <c r="AM168" s="2709"/>
      <c r="AN168" s="2709"/>
      <c r="AO168" s="2709"/>
      <c r="AP168" s="2709"/>
      <c r="AQ168" s="1905"/>
      <c r="AU168" s="2731"/>
      <c r="AV168" s="2731"/>
      <c r="AW168" s="2731"/>
      <c r="AX168" s="2731"/>
      <c r="AY168" s="2748"/>
      <c r="AZ168" s="2749"/>
      <c r="BA168" s="2749"/>
      <c r="BB168" s="2749"/>
      <c r="BC168" s="2749"/>
      <c r="BD168" s="2749"/>
      <c r="BE168" s="2749"/>
      <c r="BF168" s="2749"/>
      <c r="BG168" s="2749"/>
      <c r="BH168" s="2749"/>
      <c r="BI168" s="2749"/>
      <c r="BJ168" s="2749"/>
      <c r="BK168" s="2749"/>
      <c r="BL168" s="2749"/>
      <c r="BM168" s="2749"/>
      <c r="BN168" s="2749"/>
      <c r="BO168" s="2749"/>
      <c r="BP168" s="2749"/>
      <c r="BQ168" s="2749"/>
      <c r="BR168" s="2755"/>
    </row>
    <row r="169" ht="23.25" spans="2:70">
      <c r="B169" s="2120" t="s">
        <v>400</v>
      </c>
      <c r="C169" s="2120"/>
      <c r="D169" s="2120"/>
      <c r="E169" s="2120"/>
      <c r="F169" s="2120"/>
      <c r="G169" s="2120"/>
      <c r="H169" s="2120"/>
      <c r="I169" s="2120"/>
      <c r="J169" s="2120"/>
      <c r="K169" s="2120"/>
      <c r="L169" s="2120"/>
      <c r="M169" s="2120"/>
      <c r="N169" s="2120"/>
      <c r="O169" s="2120"/>
      <c r="P169" s="2120"/>
      <c r="Q169" s="2120"/>
      <c r="R169" s="2120"/>
      <c r="S169" s="2120"/>
      <c r="T169" s="2120"/>
      <c r="U169" s="2120"/>
      <c r="V169" s="1730"/>
      <c r="W169" s="2656" t="s">
        <v>401</v>
      </c>
      <c r="X169" s="2657"/>
      <c r="Y169" s="2657"/>
      <c r="Z169" s="2657"/>
      <c r="AA169" s="2657"/>
      <c r="AB169" s="2657"/>
      <c r="AC169" s="2657"/>
      <c r="AD169" s="2657"/>
      <c r="AE169" s="2657"/>
      <c r="AF169" s="2657"/>
      <c r="AG169" s="2657"/>
      <c r="AH169" s="2657"/>
      <c r="AI169" s="2657"/>
      <c r="AJ169" s="2657"/>
      <c r="AK169" s="2657"/>
      <c r="AL169" s="2657"/>
      <c r="AM169" s="2657"/>
      <c r="AN169" s="2657"/>
      <c r="AO169" s="2657"/>
      <c r="AP169" s="2657"/>
      <c r="AQ169" s="2657"/>
      <c r="AR169" s="2657"/>
      <c r="AS169" s="2734"/>
      <c r="AU169" s="2731"/>
      <c r="AV169" s="2731"/>
      <c r="AW169" s="2731"/>
      <c r="AX169" s="2731"/>
      <c r="AY169" s="2748"/>
      <c r="AZ169" s="2749"/>
      <c r="BA169" s="2749"/>
      <c r="BB169" s="2749"/>
      <c r="BC169" s="2749"/>
      <c r="BD169" s="2749"/>
      <c r="BE169" s="2749"/>
      <c r="BF169" s="2749"/>
      <c r="BG169" s="2749"/>
      <c r="BH169" s="2749"/>
      <c r="BI169" s="2749"/>
      <c r="BJ169" s="2749"/>
      <c r="BK169" s="2749"/>
      <c r="BL169" s="2749"/>
      <c r="BM169" s="2749"/>
      <c r="BN169" s="2749"/>
      <c r="BO169" s="2749"/>
      <c r="BP169" s="2749"/>
      <c r="BQ169" s="2749"/>
      <c r="BR169" s="2755"/>
    </row>
    <row r="170" ht="14.5" customHeight="1" spans="2:70">
      <c r="B170" s="2591" t="s">
        <v>402</v>
      </c>
      <c r="C170" s="2591"/>
      <c r="D170" s="2591"/>
      <c r="E170" s="2591"/>
      <c r="F170" s="2591"/>
      <c r="G170" s="2591"/>
      <c r="H170" s="2591" t="s">
        <v>403</v>
      </c>
      <c r="I170" s="2591"/>
      <c r="J170" s="2591"/>
      <c r="K170" s="2591"/>
      <c r="L170" s="2591" t="s">
        <v>301</v>
      </c>
      <c r="M170" s="2591"/>
      <c r="N170" s="2591"/>
      <c r="O170" s="2591"/>
      <c r="P170" s="2591"/>
      <c r="Q170" s="2591"/>
      <c r="R170" s="2591"/>
      <c r="S170" s="2591"/>
      <c r="T170" s="2591"/>
      <c r="U170" s="2591"/>
      <c r="W170" s="2658" t="s">
        <v>404</v>
      </c>
      <c r="X170" s="2659"/>
      <c r="Y170" s="2659"/>
      <c r="Z170" s="2659"/>
      <c r="AA170" s="2659"/>
      <c r="AB170" s="2659"/>
      <c r="AC170" s="2683"/>
      <c r="AD170" s="2684"/>
      <c r="AE170" s="2685"/>
      <c r="AF170" s="2685"/>
      <c r="AG170" s="2685"/>
      <c r="AH170" s="2685"/>
      <c r="AI170" s="2685"/>
      <c r="AJ170" s="2685"/>
      <c r="AK170" s="2685"/>
      <c r="AL170" s="2685"/>
      <c r="AM170" s="2685"/>
      <c r="AN170" s="2685"/>
      <c r="AO170" s="2685"/>
      <c r="AP170" s="2685"/>
      <c r="AQ170" s="2685"/>
      <c r="AR170" s="2685"/>
      <c r="AS170" s="2735"/>
      <c r="AU170" s="2731"/>
      <c r="AV170" s="2731"/>
      <c r="AW170" s="2731"/>
      <c r="AX170" s="2731"/>
      <c r="AY170" s="2748"/>
      <c r="AZ170" s="2749"/>
      <c r="BA170" s="2749"/>
      <c r="BB170" s="2749"/>
      <c r="BC170" s="2749"/>
      <c r="BD170" s="2749"/>
      <c r="BE170" s="2749"/>
      <c r="BF170" s="2749"/>
      <c r="BG170" s="2749"/>
      <c r="BH170" s="2749"/>
      <c r="BI170" s="2749"/>
      <c r="BJ170" s="2749"/>
      <c r="BK170" s="2749"/>
      <c r="BL170" s="2749"/>
      <c r="BM170" s="2749"/>
      <c r="BN170" s="2749"/>
      <c r="BO170" s="2749"/>
      <c r="BP170" s="2749"/>
      <c r="BQ170" s="2749"/>
      <c r="BR170" s="2755"/>
    </row>
    <row r="171" ht="14.5" customHeight="1" spans="2:70">
      <c r="B171" s="2592" t="s">
        <v>405</v>
      </c>
      <c r="C171" s="2592"/>
      <c r="D171" s="2592"/>
      <c r="E171" s="2592"/>
      <c r="F171" s="2592"/>
      <c r="G171" s="2592"/>
      <c r="H171" s="2592" t="s">
        <v>406</v>
      </c>
      <c r="I171" s="2592"/>
      <c r="J171" s="2592"/>
      <c r="K171" s="2592"/>
      <c r="L171" s="2592" t="s">
        <v>407</v>
      </c>
      <c r="M171" s="2592"/>
      <c r="N171" s="2592"/>
      <c r="O171" s="2592"/>
      <c r="P171" s="2592"/>
      <c r="Q171" s="2592"/>
      <c r="R171" s="2592"/>
      <c r="S171" s="2592"/>
      <c r="T171" s="2592"/>
      <c r="U171" s="2592"/>
      <c r="W171" s="2660"/>
      <c r="X171" s="2661"/>
      <c r="Y171" s="2661"/>
      <c r="Z171" s="2661"/>
      <c r="AA171" s="2661"/>
      <c r="AB171" s="2661"/>
      <c r="AC171" s="2686"/>
      <c r="AD171" s="2687"/>
      <c r="AE171" s="2688"/>
      <c r="AF171" s="2688"/>
      <c r="AG171" s="2688"/>
      <c r="AH171" s="2688"/>
      <c r="AI171" s="2688"/>
      <c r="AJ171" s="2688"/>
      <c r="AK171" s="2688"/>
      <c r="AL171" s="2688"/>
      <c r="AM171" s="2688"/>
      <c r="AN171" s="2688"/>
      <c r="AO171" s="2688"/>
      <c r="AP171" s="2688"/>
      <c r="AQ171" s="2688"/>
      <c r="AR171" s="2688"/>
      <c r="AS171" s="2736"/>
      <c r="AU171" s="2731"/>
      <c r="AV171" s="2731"/>
      <c r="AW171" s="2731"/>
      <c r="AX171" s="2731"/>
      <c r="AY171" s="2748"/>
      <c r="AZ171" s="2749"/>
      <c r="BA171" s="2749"/>
      <c r="BB171" s="2749"/>
      <c r="BC171" s="2749"/>
      <c r="BD171" s="2749"/>
      <c r="BE171" s="2749"/>
      <c r="BF171" s="2749"/>
      <c r="BG171" s="2749"/>
      <c r="BH171" s="2749"/>
      <c r="BI171" s="2749"/>
      <c r="BJ171" s="2749"/>
      <c r="BK171" s="2749"/>
      <c r="BL171" s="2749"/>
      <c r="BM171" s="2749"/>
      <c r="BN171" s="2749"/>
      <c r="BO171" s="2749"/>
      <c r="BP171" s="2749"/>
      <c r="BQ171" s="2749"/>
      <c r="BR171" s="2755"/>
    </row>
    <row r="172" ht="14.5" customHeight="1" spans="2:70">
      <c r="B172" s="2593"/>
      <c r="C172" s="2593"/>
      <c r="D172" s="2593"/>
      <c r="E172" s="2593"/>
      <c r="F172" s="2593"/>
      <c r="G172" s="2593"/>
      <c r="H172" s="2592"/>
      <c r="I172" s="2592"/>
      <c r="J172" s="2592"/>
      <c r="K172" s="2592"/>
      <c r="L172" s="2592"/>
      <c r="M172" s="2592"/>
      <c r="N172" s="2592"/>
      <c r="O172" s="2592"/>
      <c r="P172" s="2592"/>
      <c r="Q172" s="2592"/>
      <c r="R172" s="2592"/>
      <c r="S172" s="2592"/>
      <c r="T172" s="2592"/>
      <c r="U172" s="2592"/>
      <c r="W172" s="2662"/>
      <c r="X172" s="2662"/>
      <c r="Y172" s="2662"/>
      <c r="Z172" s="2662"/>
      <c r="AA172" s="2662"/>
      <c r="AB172" s="2662"/>
      <c r="AC172" s="2662"/>
      <c r="AD172" s="2689"/>
      <c r="AE172" s="2689"/>
      <c r="AF172" s="2689"/>
      <c r="AG172" s="2689"/>
      <c r="AH172" s="2689"/>
      <c r="AI172" s="2689"/>
      <c r="AJ172" s="2689"/>
      <c r="AK172" s="2689"/>
      <c r="AL172" s="2689"/>
      <c r="AM172" s="2689"/>
      <c r="AN172" s="2689"/>
      <c r="AO172" s="2689"/>
      <c r="AP172" s="2689"/>
      <c r="AQ172" s="2689"/>
      <c r="AR172" s="2689"/>
      <c r="AS172" s="2737"/>
      <c r="AU172" s="2731"/>
      <c r="AV172" s="2731"/>
      <c r="AW172" s="2731"/>
      <c r="AX172" s="2731"/>
      <c r="AY172" s="2748"/>
      <c r="AZ172" s="2749"/>
      <c r="BA172" s="2749"/>
      <c r="BB172" s="2749"/>
      <c r="BC172" s="2749"/>
      <c r="BD172" s="2749"/>
      <c r="BE172" s="2749"/>
      <c r="BF172" s="2749"/>
      <c r="BG172" s="2749"/>
      <c r="BH172" s="2749"/>
      <c r="BI172" s="2749"/>
      <c r="BJ172" s="2749"/>
      <c r="BK172" s="2749"/>
      <c r="BL172" s="2749"/>
      <c r="BM172" s="2749"/>
      <c r="BN172" s="2749"/>
      <c r="BO172" s="2749"/>
      <c r="BP172" s="2749"/>
      <c r="BQ172" s="2749"/>
      <c r="BR172" s="2755"/>
    </row>
    <row r="173" ht="14.5" customHeight="1" spans="2:70">
      <c r="B173" s="2592"/>
      <c r="C173" s="2592"/>
      <c r="D173" s="2592"/>
      <c r="E173" s="2592"/>
      <c r="F173" s="2592"/>
      <c r="G173" s="2592"/>
      <c r="H173" s="2592"/>
      <c r="I173" s="2592"/>
      <c r="J173" s="2592"/>
      <c r="K173" s="2592"/>
      <c r="L173" s="2592"/>
      <c r="M173" s="2592"/>
      <c r="N173" s="2592"/>
      <c r="O173" s="2592"/>
      <c r="P173" s="2592"/>
      <c r="Q173" s="2592"/>
      <c r="R173" s="2592"/>
      <c r="S173" s="2592"/>
      <c r="T173" s="2592"/>
      <c r="U173" s="2592"/>
      <c r="W173" s="2663" t="s">
        <v>408</v>
      </c>
      <c r="X173" s="2663"/>
      <c r="Y173" s="2663"/>
      <c r="Z173" s="2663"/>
      <c r="AA173" s="2663"/>
      <c r="AB173" s="2663"/>
      <c r="AC173" s="2663"/>
      <c r="AD173" s="2690"/>
      <c r="AE173" s="2690"/>
      <c r="AF173" s="2690"/>
      <c r="AG173" s="2690"/>
      <c r="AH173" s="2690"/>
      <c r="AI173" s="2690"/>
      <c r="AJ173" s="2690"/>
      <c r="AK173" s="2690"/>
      <c r="AL173" s="2690"/>
      <c r="AM173" s="2690"/>
      <c r="AN173" s="2690"/>
      <c r="AO173" s="2690"/>
      <c r="AP173" s="2690"/>
      <c r="AQ173" s="2690"/>
      <c r="AR173" s="2690"/>
      <c r="AS173" s="2738"/>
      <c r="AU173" s="2731"/>
      <c r="AV173" s="2731"/>
      <c r="AW173" s="2731"/>
      <c r="AX173" s="2731"/>
      <c r="AY173" s="2748"/>
      <c r="AZ173" s="2749"/>
      <c r="BA173" s="2749"/>
      <c r="BB173" s="2749"/>
      <c r="BC173" s="2749"/>
      <c r="BD173" s="2749"/>
      <c r="BE173" s="2749"/>
      <c r="BF173" s="2749"/>
      <c r="BG173" s="2749"/>
      <c r="BH173" s="2749"/>
      <c r="BI173" s="2749"/>
      <c r="BJ173" s="2749"/>
      <c r="BK173" s="2749"/>
      <c r="BL173" s="2749"/>
      <c r="BM173" s="2749"/>
      <c r="BN173" s="2749"/>
      <c r="BO173" s="2749"/>
      <c r="BP173" s="2749"/>
      <c r="BQ173" s="2749"/>
      <c r="BR173" s="2755"/>
    </row>
    <row r="174" ht="14.5" customHeight="1" spans="2:70">
      <c r="B174" s="2592"/>
      <c r="C174" s="2592"/>
      <c r="D174" s="2592"/>
      <c r="E174" s="2592"/>
      <c r="F174" s="2592"/>
      <c r="G174" s="2592"/>
      <c r="H174" s="2592"/>
      <c r="I174" s="2592"/>
      <c r="J174" s="2592"/>
      <c r="K174" s="2592"/>
      <c r="L174" s="2592"/>
      <c r="M174" s="2592"/>
      <c r="N174" s="2592"/>
      <c r="O174" s="2592"/>
      <c r="P174" s="2592"/>
      <c r="Q174" s="2592"/>
      <c r="R174" s="2592"/>
      <c r="S174" s="2592"/>
      <c r="T174" s="2592"/>
      <c r="U174" s="2592"/>
      <c r="W174" s="2664"/>
      <c r="X174" s="2664"/>
      <c r="Y174" s="2664"/>
      <c r="Z174" s="2664"/>
      <c r="AA174" s="2664"/>
      <c r="AB174" s="2664"/>
      <c r="AC174" s="2664"/>
      <c r="AD174" s="2690"/>
      <c r="AE174" s="2690"/>
      <c r="AF174" s="2690"/>
      <c r="AG174" s="2690"/>
      <c r="AH174" s="2690"/>
      <c r="AI174" s="2690"/>
      <c r="AJ174" s="2690"/>
      <c r="AK174" s="2690"/>
      <c r="AL174" s="2690"/>
      <c r="AM174" s="2690"/>
      <c r="AN174" s="2690"/>
      <c r="AO174" s="2690"/>
      <c r="AP174" s="2690"/>
      <c r="AQ174" s="2690"/>
      <c r="AR174" s="2690"/>
      <c r="AS174" s="2738"/>
      <c r="AU174" s="2731"/>
      <c r="AV174" s="2731"/>
      <c r="AW174" s="2731"/>
      <c r="AX174" s="2731"/>
      <c r="AY174" s="2748"/>
      <c r="AZ174" s="2749"/>
      <c r="BA174" s="2749"/>
      <c r="BB174" s="2749"/>
      <c r="BC174" s="2749"/>
      <c r="BD174" s="2749"/>
      <c r="BE174" s="2749"/>
      <c r="BF174" s="2749"/>
      <c r="BG174" s="2749"/>
      <c r="BH174" s="2749"/>
      <c r="BI174" s="2749"/>
      <c r="BJ174" s="2749"/>
      <c r="BK174" s="2749"/>
      <c r="BL174" s="2749"/>
      <c r="BM174" s="2749"/>
      <c r="BN174" s="2749"/>
      <c r="BO174" s="2749"/>
      <c r="BP174" s="2749"/>
      <c r="BQ174" s="2749"/>
      <c r="BR174" s="2755"/>
    </row>
    <row r="175" ht="14.5" customHeight="1" spans="2:70">
      <c r="B175" s="2592"/>
      <c r="C175" s="2592"/>
      <c r="D175" s="2592"/>
      <c r="E175" s="2592"/>
      <c r="F175" s="2592"/>
      <c r="G175" s="2592"/>
      <c r="H175" s="2592"/>
      <c r="I175" s="2592"/>
      <c r="J175" s="2592"/>
      <c r="K175" s="2592"/>
      <c r="L175" s="2592"/>
      <c r="M175" s="2592"/>
      <c r="N175" s="2592"/>
      <c r="O175" s="2592"/>
      <c r="P175" s="2592"/>
      <c r="Q175" s="2592"/>
      <c r="R175" s="2592"/>
      <c r="S175" s="2592"/>
      <c r="T175" s="2592"/>
      <c r="U175" s="2592"/>
      <c r="W175" s="2663" t="s">
        <v>409</v>
      </c>
      <c r="X175" s="2663"/>
      <c r="Y175" s="2663"/>
      <c r="Z175" s="2663"/>
      <c r="AA175" s="2663"/>
      <c r="AB175" s="2663"/>
      <c r="AC175" s="2663"/>
      <c r="AD175" s="2690"/>
      <c r="AE175" s="2690"/>
      <c r="AF175" s="2690"/>
      <c r="AG175" s="2690"/>
      <c r="AH175" s="2690"/>
      <c r="AI175" s="2690"/>
      <c r="AJ175" s="2690"/>
      <c r="AK175" s="2690"/>
      <c r="AL175" s="2690"/>
      <c r="AM175" s="2690"/>
      <c r="AN175" s="2690"/>
      <c r="AO175" s="2690"/>
      <c r="AP175" s="2690"/>
      <c r="AQ175" s="2690"/>
      <c r="AR175" s="2690"/>
      <c r="AS175" s="2738"/>
      <c r="AU175" s="2731"/>
      <c r="AV175" s="2731"/>
      <c r="AW175" s="2731"/>
      <c r="AX175" s="2731"/>
      <c r="AY175" s="2748"/>
      <c r="AZ175" s="2749"/>
      <c r="BA175" s="2749"/>
      <c r="BB175" s="2749"/>
      <c r="BC175" s="2749"/>
      <c r="BD175" s="2749"/>
      <c r="BE175" s="2749"/>
      <c r="BF175" s="2749"/>
      <c r="BG175" s="2749"/>
      <c r="BH175" s="2749"/>
      <c r="BI175" s="2749"/>
      <c r="BJ175" s="2749"/>
      <c r="BK175" s="2749"/>
      <c r="BL175" s="2749"/>
      <c r="BM175" s="2749"/>
      <c r="BN175" s="2749"/>
      <c r="BO175" s="2749"/>
      <c r="BP175" s="2749"/>
      <c r="BQ175" s="2749"/>
      <c r="BR175" s="2755"/>
    </row>
    <row r="176" ht="14.5" customHeight="1" spans="2:70">
      <c r="B176" s="2592"/>
      <c r="C176" s="2592"/>
      <c r="D176" s="2592"/>
      <c r="E176" s="2592"/>
      <c r="F176" s="2592"/>
      <c r="G176" s="2592"/>
      <c r="H176" s="2592"/>
      <c r="I176" s="2592"/>
      <c r="J176" s="2592"/>
      <c r="K176" s="2592"/>
      <c r="L176" s="2592"/>
      <c r="M176" s="2592"/>
      <c r="N176" s="2592"/>
      <c r="O176" s="2592"/>
      <c r="P176" s="2592"/>
      <c r="Q176" s="2592"/>
      <c r="R176" s="2592"/>
      <c r="S176" s="2592"/>
      <c r="T176" s="2592"/>
      <c r="U176" s="2592"/>
      <c r="W176" s="2664"/>
      <c r="X176" s="2664"/>
      <c r="Y176" s="2664"/>
      <c r="Z176" s="2664"/>
      <c r="AA176" s="2664"/>
      <c r="AB176" s="2664"/>
      <c r="AC176" s="2664"/>
      <c r="AD176" s="2690"/>
      <c r="AE176" s="2690"/>
      <c r="AF176" s="2690"/>
      <c r="AG176" s="2690"/>
      <c r="AH176" s="2690"/>
      <c r="AI176" s="2690"/>
      <c r="AJ176" s="2690"/>
      <c r="AK176" s="2690"/>
      <c r="AL176" s="2690"/>
      <c r="AM176" s="2690"/>
      <c r="AN176" s="2690"/>
      <c r="AO176" s="2690"/>
      <c r="AP176" s="2690"/>
      <c r="AQ176" s="2690"/>
      <c r="AR176" s="2690"/>
      <c r="AS176" s="2738"/>
      <c r="AU176" s="2731"/>
      <c r="AV176" s="2731"/>
      <c r="AW176" s="2731"/>
      <c r="AX176" s="2731"/>
      <c r="AY176" s="2748"/>
      <c r="AZ176" s="2749"/>
      <c r="BA176" s="2749"/>
      <c r="BB176" s="2749"/>
      <c r="BC176" s="2749"/>
      <c r="BD176" s="2749"/>
      <c r="BE176" s="2749"/>
      <c r="BF176" s="2749"/>
      <c r="BG176" s="2749"/>
      <c r="BH176" s="2749"/>
      <c r="BI176" s="2749"/>
      <c r="BJ176" s="2749"/>
      <c r="BK176" s="2749"/>
      <c r="BL176" s="2749"/>
      <c r="BM176" s="2749"/>
      <c r="BN176" s="2749"/>
      <c r="BO176" s="2749"/>
      <c r="BP176" s="2749"/>
      <c r="BQ176" s="2749"/>
      <c r="BR176" s="2755"/>
    </row>
    <row r="177" ht="14.5" customHeight="1" spans="2:70">
      <c r="B177" s="2592"/>
      <c r="C177" s="2592"/>
      <c r="D177" s="2592"/>
      <c r="E177" s="2592"/>
      <c r="F177" s="2592"/>
      <c r="G177" s="2592"/>
      <c r="H177" s="2592"/>
      <c r="I177" s="2592"/>
      <c r="J177" s="2592"/>
      <c r="K177" s="2592"/>
      <c r="L177" s="2592"/>
      <c r="M177" s="2592"/>
      <c r="N177" s="2592"/>
      <c r="O177" s="2592"/>
      <c r="P177" s="2592"/>
      <c r="Q177" s="2592"/>
      <c r="R177" s="2592"/>
      <c r="S177" s="2592"/>
      <c r="T177" s="2592"/>
      <c r="U177" s="2592"/>
      <c r="W177" s="2663" t="s">
        <v>410</v>
      </c>
      <c r="X177" s="2663"/>
      <c r="Y177" s="2663"/>
      <c r="Z177" s="2663"/>
      <c r="AA177" s="2663"/>
      <c r="AB177" s="2663"/>
      <c r="AC177" s="2663"/>
      <c r="AD177" s="2690"/>
      <c r="AE177" s="2690"/>
      <c r="AF177" s="2690"/>
      <c r="AG177" s="2690"/>
      <c r="AH177" s="2690"/>
      <c r="AI177" s="2690"/>
      <c r="AJ177" s="2690"/>
      <c r="AK177" s="2690"/>
      <c r="AL177" s="2690"/>
      <c r="AM177" s="2690"/>
      <c r="AN177" s="2690"/>
      <c r="AO177" s="2690"/>
      <c r="AP177" s="2690"/>
      <c r="AQ177" s="2690"/>
      <c r="AR177" s="2690"/>
      <c r="AS177" s="2738"/>
      <c r="AU177" s="2731"/>
      <c r="AV177" s="2731"/>
      <c r="AW177" s="2731"/>
      <c r="AX177" s="2731"/>
      <c r="AY177" s="2748"/>
      <c r="AZ177" s="2749"/>
      <c r="BA177" s="2749"/>
      <c r="BB177" s="2749"/>
      <c r="BC177" s="2749"/>
      <c r="BD177" s="2749"/>
      <c r="BE177" s="2749"/>
      <c r="BF177" s="2749"/>
      <c r="BG177" s="2749"/>
      <c r="BH177" s="2749"/>
      <c r="BI177" s="2749"/>
      <c r="BJ177" s="2749"/>
      <c r="BK177" s="2749"/>
      <c r="BL177" s="2749"/>
      <c r="BM177" s="2749"/>
      <c r="BN177" s="2749"/>
      <c r="BO177" s="2749"/>
      <c r="BP177" s="2749"/>
      <c r="BQ177" s="2749"/>
      <c r="BR177" s="2755"/>
    </row>
    <row r="178" ht="14.5" customHeight="1" spans="2:70">
      <c r="B178" s="2592"/>
      <c r="C178" s="2592"/>
      <c r="D178" s="2592"/>
      <c r="E178" s="2592"/>
      <c r="F178" s="2592"/>
      <c r="G178" s="2592"/>
      <c r="H178" s="2592"/>
      <c r="I178" s="2592"/>
      <c r="J178" s="2592"/>
      <c r="K178" s="2592"/>
      <c r="L178" s="2592"/>
      <c r="M178" s="2592"/>
      <c r="N178" s="2592"/>
      <c r="O178" s="2592"/>
      <c r="P178" s="2592"/>
      <c r="Q178" s="2592"/>
      <c r="R178" s="2592"/>
      <c r="S178" s="2592"/>
      <c r="T178" s="2592"/>
      <c r="U178" s="2592"/>
      <c r="W178" s="2664"/>
      <c r="X178" s="2664"/>
      <c r="Y178" s="2664"/>
      <c r="Z178" s="2664"/>
      <c r="AA178" s="2664"/>
      <c r="AB178" s="2664"/>
      <c r="AC178" s="2664"/>
      <c r="AD178" s="2690"/>
      <c r="AE178" s="2690"/>
      <c r="AF178" s="2690"/>
      <c r="AG178" s="2690"/>
      <c r="AH178" s="2690"/>
      <c r="AI178" s="2690"/>
      <c r="AJ178" s="2690"/>
      <c r="AK178" s="2690"/>
      <c r="AL178" s="2690"/>
      <c r="AM178" s="2690"/>
      <c r="AN178" s="2690"/>
      <c r="AO178" s="2690"/>
      <c r="AP178" s="2690"/>
      <c r="AQ178" s="2690"/>
      <c r="AR178" s="2690"/>
      <c r="AS178" s="2738"/>
      <c r="AU178" s="2731"/>
      <c r="AV178" s="2731"/>
      <c r="AW178" s="2731"/>
      <c r="AX178" s="2731"/>
      <c r="AY178" s="2748"/>
      <c r="AZ178" s="2749"/>
      <c r="BA178" s="2749"/>
      <c r="BB178" s="2749"/>
      <c r="BC178" s="2749"/>
      <c r="BD178" s="2749"/>
      <c r="BE178" s="2749"/>
      <c r="BF178" s="2749"/>
      <c r="BG178" s="2749"/>
      <c r="BH178" s="2749"/>
      <c r="BI178" s="2749"/>
      <c r="BJ178" s="2749"/>
      <c r="BK178" s="2749"/>
      <c r="BL178" s="2749"/>
      <c r="BM178" s="2749"/>
      <c r="BN178" s="2749"/>
      <c r="BO178" s="2749"/>
      <c r="BP178" s="2749"/>
      <c r="BQ178" s="2749"/>
      <c r="BR178" s="2755"/>
    </row>
    <row r="179" ht="14.5" customHeight="1" spans="2:70">
      <c r="B179" s="2592"/>
      <c r="C179" s="2592"/>
      <c r="D179" s="2592"/>
      <c r="E179" s="2592"/>
      <c r="F179" s="2592"/>
      <c r="G179" s="2592"/>
      <c r="H179" s="2592"/>
      <c r="I179" s="2592"/>
      <c r="J179" s="2592"/>
      <c r="K179" s="2592"/>
      <c r="L179" s="2592"/>
      <c r="M179" s="2592"/>
      <c r="N179" s="2592"/>
      <c r="O179" s="2592"/>
      <c r="P179" s="2592"/>
      <c r="Q179" s="2592"/>
      <c r="R179" s="2592"/>
      <c r="S179" s="2592"/>
      <c r="T179" s="2592"/>
      <c r="U179" s="2592"/>
      <c r="W179" s="2665" t="s">
        <v>411</v>
      </c>
      <c r="X179" s="2665"/>
      <c r="Y179" s="2665"/>
      <c r="Z179" s="2665"/>
      <c r="AA179" s="2665"/>
      <c r="AB179" s="2665"/>
      <c r="AC179" s="2665"/>
      <c r="AD179" s="2691"/>
      <c r="AE179" s="2691"/>
      <c r="AF179" s="2691"/>
      <c r="AG179" s="2691"/>
      <c r="AH179" s="2691"/>
      <c r="AI179" s="2691"/>
      <c r="AJ179" s="2691"/>
      <c r="AK179" s="2691"/>
      <c r="AL179" s="2691"/>
      <c r="AM179" s="2691"/>
      <c r="AN179" s="2691"/>
      <c r="AO179" s="2691"/>
      <c r="AP179" s="2691"/>
      <c r="AQ179" s="2691"/>
      <c r="AR179" s="2691"/>
      <c r="AS179" s="2739"/>
      <c r="AU179" s="2731"/>
      <c r="AV179" s="2731"/>
      <c r="AW179" s="2731"/>
      <c r="AX179" s="2731"/>
      <c r="AY179" s="2750"/>
      <c r="AZ179" s="2751"/>
      <c r="BA179" s="2751"/>
      <c r="BB179" s="2751"/>
      <c r="BC179" s="2751"/>
      <c r="BD179" s="2751"/>
      <c r="BE179" s="2751"/>
      <c r="BF179" s="2751"/>
      <c r="BG179" s="2751"/>
      <c r="BH179" s="2751"/>
      <c r="BI179" s="2751"/>
      <c r="BJ179" s="2751"/>
      <c r="BK179" s="2751"/>
      <c r="BL179" s="2751"/>
      <c r="BM179" s="2751"/>
      <c r="BN179" s="2751"/>
      <c r="BO179" s="2751"/>
      <c r="BP179" s="2751"/>
      <c r="BQ179" s="2751"/>
      <c r="BR179" s="2756"/>
    </row>
    <row r="180" customHeight="1" spans="50:51">
      <c r="AX180" s="1846"/>
      <c r="AY180" s="1846"/>
    </row>
    <row r="181" ht="14.5" spans="1:71">
      <c r="A181"/>
      <c r="B181" s="2594" t="s">
        <v>412</v>
      </c>
      <c r="C181" s="2595"/>
      <c r="D181" s="2595"/>
      <c r="E181" s="2595"/>
      <c r="F181" s="2595"/>
      <c r="G181" s="2595"/>
      <c r="H181" s="2595"/>
      <c r="I181" s="2595"/>
      <c r="J181" s="2595"/>
      <c r="K181" s="2595"/>
      <c r="L181" s="2595"/>
      <c r="M181" s="2618"/>
      <c r="N181" s="2137"/>
      <c r="O181" s="1905"/>
      <c r="P181" s="1905"/>
      <c r="AT181"/>
      <c r="BS181"/>
    </row>
    <row r="182" ht="14.5" spans="1:71">
      <c r="A182"/>
      <c r="B182" s="2596"/>
      <c r="C182" s="2597"/>
      <c r="D182" s="2597"/>
      <c r="E182" s="2597"/>
      <c r="F182" s="2597"/>
      <c r="G182" s="2597"/>
      <c r="H182" s="2597"/>
      <c r="I182" s="2597"/>
      <c r="J182" s="2597"/>
      <c r="K182" s="2597"/>
      <c r="L182" s="2597"/>
      <c r="M182" s="2619"/>
      <c r="N182" s="2137"/>
      <c r="O182" s="1905"/>
      <c r="P182" s="1905"/>
      <c r="AT182"/>
      <c r="BS182"/>
    </row>
    <row r="183" ht="15.25" spans="1:71">
      <c r="A183"/>
      <c r="B183" s="2598"/>
      <c r="C183" s="2599"/>
      <c r="D183" s="2599"/>
      <c r="E183" s="2599"/>
      <c r="F183" s="2599"/>
      <c r="G183" s="2599"/>
      <c r="H183" s="2599"/>
      <c r="I183" s="2599"/>
      <c r="J183" s="2599"/>
      <c r="K183" s="2599"/>
      <c r="L183" s="2599"/>
      <c r="M183" s="2620"/>
      <c r="N183" s="2137"/>
      <c r="O183" s="1905"/>
      <c r="P183" s="1905"/>
      <c r="AT183"/>
      <c r="BS183"/>
    </row>
    <row r="184" ht="14" spans="1:71">
      <c r="A184"/>
      <c r="B184"/>
      <c r="C184"/>
      <c r="D184"/>
      <c r="E184"/>
      <c r="F184"/>
      <c r="G184"/>
      <c r="H184"/>
      <c r="I184"/>
      <c r="J184"/>
      <c r="K184"/>
      <c r="L184" s="2621"/>
      <c r="M184" s="2621"/>
      <c r="N184"/>
      <c r="AT184"/>
      <c r="BS184"/>
    </row>
    <row r="185" customHeight="1" spans="46:46">
      <c r="AT185" s="1855"/>
    </row>
    <row r="186" customHeight="1" spans="3:74">
      <c r="C186"/>
      <c r="D186"/>
      <c r="E186"/>
      <c r="F186"/>
      <c r="G186"/>
      <c r="H186"/>
      <c r="I186"/>
      <c r="J186"/>
      <c r="K186"/>
      <c r="L186" s="2621"/>
      <c r="M186" s="2621"/>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row>
    <row r="187" customHeight="1" spans="3:74">
      <c r="C187"/>
      <c r="D187"/>
      <c r="E187"/>
      <c r="F187"/>
      <c r="G187"/>
      <c r="H187"/>
      <c r="I187"/>
      <c r="J187"/>
      <c r="K187"/>
      <c r="L187" s="2621"/>
      <c r="M187" s="2621"/>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row>
    <row r="188" customHeight="1" spans="3:74">
      <c r="C188"/>
      <c r="D188"/>
      <c r="E188"/>
      <c r="F188"/>
      <c r="G188"/>
      <c r="H188"/>
      <c r="I188"/>
      <c r="J188"/>
      <c r="K188"/>
      <c r="L188" s="2621"/>
      <c r="M188" s="2621"/>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row>
    <row r="189" customHeight="1" spans="3:74">
      <c r="C189"/>
      <c r="D189"/>
      <c r="E189"/>
      <c r="F189"/>
      <c r="G189"/>
      <c r="H189"/>
      <c r="I189"/>
      <c r="J189"/>
      <c r="K189"/>
      <c r="L189" s="2621"/>
      <c r="M189" s="2621"/>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row>
    <row r="190" customHeight="1" spans="3:74">
      <c r="C190"/>
      <c r="D190"/>
      <c r="E190"/>
      <c r="F190"/>
      <c r="G190"/>
      <c r="H190"/>
      <c r="I190"/>
      <c r="J190"/>
      <c r="K190"/>
      <c r="L190" s="2621"/>
      <c r="M190" s="2621"/>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row>
    <row r="191" customHeight="1" spans="3:74">
      <c r="C191"/>
      <c r="D191"/>
      <c r="E191"/>
      <c r="F191"/>
      <c r="G191"/>
      <c r="H191"/>
      <c r="I191"/>
      <c r="J191"/>
      <c r="K191"/>
      <c r="L191" s="2621"/>
      <c r="M191" s="262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row>
    <row r="192" customHeight="1" spans="3:74">
      <c r="C192"/>
      <c r="D192"/>
      <c r="E192"/>
      <c r="F192"/>
      <c r="G192"/>
      <c r="H192"/>
      <c r="I192"/>
      <c r="J192"/>
      <c r="K192"/>
      <c r="L192" s="2621"/>
      <c r="M192" s="2621"/>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row>
    <row r="193" customHeight="1" spans="3:74">
      <c r="C193"/>
      <c r="D193"/>
      <c r="E193"/>
      <c r="F193"/>
      <c r="G193"/>
      <c r="H193"/>
      <c r="I193"/>
      <c r="J193"/>
      <c r="K193"/>
      <c r="L193" s="2621"/>
      <c r="M193" s="2621"/>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row>
    <row r="194" customHeight="1" spans="3:74">
      <c r="C194"/>
      <c r="D194"/>
      <c r="E194"/>
      <c r="F194"/>
      <c r="G194"/>
      <c r="H194"/>
      <c r="I194"/>
      <c r="J194"/>
      <c r="K194"/>
      <c r="L194" s="2621"/>
      <c r="M194" s="2621"/>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row>
    <row r="195" ht="14" spans="3:74">
      <c r="C195"/>
      <c r="D195"/>
      <c r="E195"/>
      <c r="F195"/>
      <c r="G195"/>
      <c r="H195"/>
      <c r="I195"/>
      <c r="J195"/>
      <c r="K195"/>
      <c r="L195" s="2621"/>
      <c r="M195" s="2621"/>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row>
    <row r="196" ht="14" spans="3:74">
      <c r="C196"/>
      <c r="D196"/>
      <c r="E196"/>
      <c r="F196"/>
      <c r="G196"/>
      <c r="H196"/>
      <c r="I196"/>
      <c r="J196"/>
      <c r="K196"/>
      <c r="L196" s="2621"/>
      <c r="M196" s="2621"/>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row>
    <row r="197" ht="14" spans="3:74">
      <c r="C197"/>
      <c r="D197"/>
      <c r="E197"/>
      <c r="F197"/>
      <c r="G197"/>
      <c r="H197"/>
      <c r="I197"/>
      <c r="J197"/>
      <c r="K197"/>
      <c r="L197" s="2621"/>
      <c r="M197" s="2621"/>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row>
    <row r="198" ht="14" spans="3:74">
      <c r="C198"/>
      <c r="D198"/>
      <c r="E198"/>
      <c r="F198"/>
      <c r="G198"/>
      <c r="H198"/>
      <c r="I198"/>
      <c r="J198"/>
      <c r="K198"/>
      <c r="L198" s="2621"/>
      <c r="M198" s="2621"/>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row>
    <row r="199" ht="14" spans="3:74">
      <c r="C199"/>
      <c r="D199"/>
      <c r="E199"/>
      <c r="F199"/>
      <c r="G199"/>
      <c r="H199"/>
      <c r="I199"/>
      <c r="J199"/>
      <c r="K199"/>
      <c r="L199" s="2621"/>
      <c r="M199" s="2621"/>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row>
    <row r="200" ht="14" spans="3:74">
      <c r="C200"/>
      <c r="D200"/>
      <c r="E200"/>
      <c r="F200"/>
      <c r="G200"/>
      <c r="H200"/>
      <c r="I200"/>
      <c r="J200"/>
      <c r="K200"/>
      <c r="L200" s="2621"/>
      <c r="M200" s="2621"/>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row>
    <row r="201" ht="14" spans="3:74">
      <c r="C201"/>
      <c r="D201"/>
      <c r="E201"/>
      <c r="F201"/>
      <c r="G201"/>
      <c r="H201"/>
      <c r="I201"/>
      <c r="J201"/>
      <c r="K201"/>
      <c r="L201" s="2621"/>
      <c r="M201" s="262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row>
    <row r="202" ht="14" spans="3:74">
      <c r="C202"/>
      <c r="D202"/>
      <c r="E202"/>
      <c r="F202"/>
      <c r="G202"/>
      <c r="H202"/>
      <c r="I202"/>
      <c r="J202"/>
      <c r="K202"/>
      <c r="L202" s="2621"/>
      <c r="M202" s="2621"/>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row>
    <row r="203" ht="14" spans="3:74">
      <c r="C203"/>
      <c r="D203"/>
      <c r="E203"/>
      <c r="F203"/>
      <c r="G203"/>
      <c r="H203"/>
      <c r="I203"/>
      <c r="J203"/>
      <c r="K203"/>
      <c r="L203" s="2621"/>
      <c r="M203" s="2621"/>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row>
    <row r="204" ht="14" spans="3:74">
      <c r="C204"/>
      <c r="D204"/>
      <c r="E204"/>
      <c r="F204"/>
      <c r="G204"/>
      <c r="H204"/>
      <c r="I204"/>
      <c r="J204"/>
      <c r="K204"/>
      <c r="L204" s="2621"/>
      <c r="M204" s="2621"/>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row>
    <row r="205" customHeight="1" spans="3:74">
      <c r="C205"/>
      <c r="D205"/>
      <c r="E205"/>
      <c r="F205"/>
      <c r="G205"/>
      <c r="H205"/>
      <c r="I205"/>
      <c r="J205"/>
      <c r="K205"/>
      <c r="L205" s="2621"/>
      <c r="M205" s="2621"/>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row>
    <row r="206" customHeight="1" spans="3:74">
      <c r="C206"/>
      <c r="D206"/>
      <c r="E206"/>
      <c r="F206"/>
      <c r="G206"/>
      <c r="H206"/>
      <c r="I206"/>
      <c r="J206"/>
      <c r="K206"/>
      <c r="L206" s="2621"/>
      <c r="M206" s="2621"/>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row>
    <row r="207" customHeight="1" spans="3:74">
      <c r="C207"/>
      <c r="D207"/>
      <c r="E207"/>
      <c r="F207"/>
      <c r="G207"/>
      <c r="H207"/>
      <c r="I207"/>
      <c r="J207"/>
      <c r="K207"/>
      <c r="L207" s="2621"/>
      <c r="M207" s="2621"/>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row>
    <row r="208" customHeight="1" spans="3:74">
      <c r="C208"/>
      <c r="D208"/>
      <c r="E208"/>
      <c r="F208"/>
      <c r="G208"/>
      <c r="H208"/>
      <c r="I208"/>
      <c r="J208"/>
      <c r="K208"/>
      <c r="L208" s="2621"/>
      <c r="M208" s="2621"/>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row>
    <row r="209" customHeight="1" spans="3:74">
      <c r="C209"/>
      <c r="D209"/>
      <c r="E209"/>
      <c r="F209"/>
      <c r="G209"/>
      <c r="H209"/>
      <c r="I209"/>
      <c r="J209"/>
      <c r="K209"/>
      <c r="L209" s="2621"/>
      <c r="M209" s="2621"/>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row>
    <row r="210" customHeight="1" spans="3:74">
      <c r="C210"/>
      <c r="D210"/>
      <c r="E210"/>
      <c r="F210"/>
      <c r="G210"/>
      <c r="H210"/>
      <c r="I210"/>
      <c r="J210"/>
      <c r="K210"/>
      <c r="L210" s="2621"/>
      <c r="M210" s="2621"/>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row>
    <row r="211" customHeight="1" spans="3:74">
      <c r="C211"/>
      <c r="D211"/>
      <c r="E211"/>
      <c r="F211"/>
      <c r="G211"/>
      <c r="H211"/>
      <c r="I211"/>
      <c r="J211"/>
      <c r="K211"/>
      <c r="L211" s="2621"/>
      <c r="M211" s="262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row>
    <row r="212" customHeight="1" spans="3:74">
      <c r="C212"/>
      <c r="D212"/>
      <c r="E212"/>
      <c r="F212"/>
      <c r="G212"/>
      <c r="H212"/>
      <c r="I212"/>
      <c r="J212"/>
      <c r="K212"/>
      <c r="L212" s="2621"/>
      <c r="M212" s="2621"/>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row>
    <row r="213" customHeight="1" spans="3:74">
      <c r="C213"/>
      <c r="D213"/>
      <c r="E213"/>
      <c r="F213"/>
      <c r="G213"/>
      <c r="H213"/>
      <c r="I213"/>
      <c r="J213"/>
      <c r="K213"/>
      <c r="L213" s="2621"/>
      <c r="M213" s="2621"/>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row>
    <row r="214" customHeight="1" spans="3:74">
      <c r="C214"/>
      <c r="D214"/>
      <c r="E214"/>
      <c r="F214"/>
      <c r="G214"/>
      <c r="H214"/>
      <c r="I214"/>
      <c r="J214"/>
      <c r="K214"/>
      <c r="L214" s="2621"/>
      <c r="M214" s="2621"/>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row>
    <row r="215" customHeight="1" spans="3:74">
      <c r="C215"/>
      <c r="D215"/>
      <c r="E215"/>
      <c r="F215"/>
      <c r="G215"/>
      <c r="H215"/>
      <c r="I215"/>
      <c r="J215"/>
      <c r="K215"/>
      <c r="L215" s="2621"/>
      <c r="M215" s="2621"/>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row>
    <row r="216" customHeight="1" spans="3:74">
      <c r="C216"/>
      <c r="D216"/>
      <c r="E216"/>
      <c r="F216"/>
      <c r="G216"/>
      <c r="H216"/>
      <c r="I216"/>
      <c r="J216"/>
      <c r="K216"/>
      <c r="L216" s="2621"/>
      <c r="M216" s="2621"/>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row>
    <row r="217" customHeight="1" spans="3:74">
      <c r="C217"/>
      <c r="D217"/>
      <c r="E217"/>
      <c r="F217"/>
      <c r="G217"/>
      <c r="H217"/>
      <c r="I217"/>
      <c r="J217"/>
      <c r="K217"/>
      <c r="L217" s="2621"/>
      <c r="M217" s="2621"/>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row>
    <row r="218" customHeight="1" spans="3:74">
      <c r="C218"/>
      <c r="D218"/>
      <c r="E218"/>
      <c r="F218"/>
      <c r="G218"/>
      <c r="H218"/>
      <c r="I218"/>
      <c r="J218"/>
      <c r="K218"/>
      <c r="L218" s="2621"/>
      <c r="M218" s="2621"/>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row>
    <row r="219" customHeight="1" spans="3:74">
      <c r="C219"/>
      <c r="D219"/>
      <c r="E219"/>
      <c r="F219"/>
      <c r="G219"/>
      <c r="H219"/>
      <c r="I219"/>
      <c r="J219"/>
      <c r="K219"/>
      <c r="L219" s="2621"/>
      <c r="M219" s="2621"/>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row>
    <row r="220" customHeight="1" spans="3:74">
      <c r="C220"/>
      <c r="D220"/>
      <c r="E220"/>
      <c r="F220"/>
      <c r="G220"/>
      <c r="H220"/>
      <c r="I220"/>
      <c r="J220"/>
      <c r="K220"/>
      <c r="L220" s="2621"/>
      <c r="M220" s="2621"/>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row>
    <row r="221" customHeight="1" spans="3:74">
      <c r="C221"/>
      <c r="D221"/>
      <c r="E221"/>
      <c r="F221"/>
      <c r="G221"/>
      <c r="H221"/>
      <c r="I221"/>
      <c r="J221"/>
      <c r="K221"/>
      <c r="L221" s="2621"/>
      <c r="M221" s="26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row>
    <row r="222" customHeight="1" spans="3:74">
      <c r="C222"/>
      <c r="D222"/>
      <c r="E222"/>
      <c r="F222"/>
      <c r="G222"/>
      <c r="H222"/>
      <c r="I222"/>
      <c r="J222"/>
      <c r="K222"/>
      <c r="L222" s="2621"/>
      <c r="M222" s="2621"/>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row>
    <row r="223" customHeight="1" spans="3:74">
      <c r="C223"/>
      <c r="D223"/>
      <c r="E223"/>
      <c r="F223"/>
      <c r="G223"/>
      <c r="H223"/>
      <c r="I223"/>
      <c r="J223"/>
      <c r="K223"/>
      <c r="L223" s="2621"/>
      <c r="M223" s="2621"/>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row>
    <row r="224" customHeight="1" spans="3:74">
      <c r="C224"/>
      <c r="D224"/>
      <c r="E224"/>
      <c r="F224"/>
      <c r="G224"/>
      <c r="H224"/>
      <c r="I224"/>
      <c r="J224"/>
      <c r="K224"/>
      <c r="L224" s="2621"/>
      <c r="M224" s="2621"/>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row>
    <row r="225" ht="14" spans="3:74">
      <c r="C225"/>
      <c r="D225"/>
      <c r="E225"/>
      <c r="F225"/>
      <c r="G225"/>
      <c r="H225"/>
      <c r="I225"/>
      <c r="J225"/>
      <c r="K225"/>
      <c r="L225" s="2621"/>
      <c r="M225" s="2621"/>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row>
    <row r="226" ht="14" spans="3:74">
      <c r="C226"/>
      <c r="D226"/>
      <c r="E226"/>
      <c r="F226"/>
      <c r="G226"/>
      <c r="H226"/>
      <c r="I226"/>
      <c r="J226"/>
      <c r="K226"/>
      <c r="L226" s="2621"/>
      <c r="M226" s="2621"/>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row>
    <row r="227" ht="14" spans="3:74">
      <c r="C227"/>
      <c r="D227"/>
      <c r="E227"/>
      <c r="F227"/>
      <c r="G227"/>
      <c r="H227"/>
      <c r="I227"/>
      <c r="J227"/>
      <c r="K227"/>
      <c r="L227" s="2621"/>
      <c r="M227" s="2621"/>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row>
    <row r="228" ht="14" spans="3:74">
      <c r="C228"/>
      <c r="D228"/>
      <c r="E228"/>
      <c r="F228"/>
      <c r="G228"/>
      <c r="H228"/>
      <c r="I228"/>
      <c r="J228"/>
      <c r="K228"/>
      <c r="L228" s="2621"/>
      <c r="M228" s="2621"/>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row>
    <row r="229" ht="14" spans="3:74">
      <c r="C229"/>
      <c r="D229"/>
      <c r="E229"/>
      <c r="F229"/>
      <c r="G229"/>
      <c r="H229"/>
      <c r="I229"/>
      <c r="J229"/>
      <c r="K229"/>
      <c r="L229" s="2621"/>
      <c r="M229" s="2621"/>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row>
    <row r="230" ht="14" spans="3:74">
      <c r="C230"/>
      <c r="D230"/>
      <c r="E230"/>
      <c r="F230"/>
      <c r="G230"/>
      <c r="H230"/>
      <c r="I230"/>
      <c r="J230"/>
      <c r="K230"/>
      <c r="L230" s="2621"/>
      <c r="M230" s="2621"/>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row>
    <row r="231" ht="14" spans="3:74">
      <c r="C231"/>
      <c r="D231"/>
      <c r="E231"/>
      <c r="F231"/>
      <c r="G231"/>
      <c r="H231"/>
      <c r="I231"/>
      <c r="J231"/>
      <c r="K231"/>
      <c r="L231" s="2621"/>
      <c r="M231" s="262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row>
    <row r="232" ht="14" spans="3:74">
      <c r="C232"/>
      <c r="D232"/>
      <c r="E232"/>
      <c r="F232"/>
      <c r="G232"/>
      <c r="H232"/>
      <c r="I232"/>
      <c r="J232"/>
      <c r="K232"/>
      <c r="L232" s="2621"/>
      <c r="M232" s="2621"/>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row>
    <row r="233" ht="14" spans="3:74">
      <c r="C233"/>
      <c r="D233"/>
      <c r="E233"/>
      <c r="F233"/>
      <c r="G233"/>
      <c r="H233"/>
      <c r="I233"/>
      <c r="J233"/>
      <c r="K233"/>
      <c r="L233" s="2621"/>
      <c r="M233" s="2621"/>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row>
    <row r="234" ht="14" spans="3:74">
      <c r="C234"/>
      <c r="D234"/>
      <c r="E234"/>
      <c r="F234"/>
      <c r="G234"/>
      <c r="H234"/>
      <c r="I234"/>
      <c r="J234"/>
      <c r="K234"/>
      <c r="L234" s="2621"/>
      <c r="M234" s="2621"/>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row>
  </sheetData>
  <sheetProtection algorithmName="SHA-512" hashValue="i1DkvQTXEw+sn6xf3J6ueMM01kkCqjrV+ae979ThN6vLB34LdQbWBzqflSkoJfpzUqdSWyB4Wk7yv5H56HwImw==" saltValue="kKs+G9QNAkOw9qy2l76HgQ==" spinCount="100000" sheet="1"/>
  <protectedRanges>
    <protectedRange sqref="AU151:BR159 W170:AS179 B171:U179" name="区域21"/>
    <protectedRange sqref="W160:AF167 AJ161:AQ161 AJ163:AQ163 AJ165:AQ165 AJ167:AQ167" name="区域20"/>
    <protectedRange sqref="U3 U5 U7 AA3 AA5 AA7 AG3 AG5 AG7 AL3 V2" name="区域2"/>
    <protectedRange sqref="B109:U124 W110:AS123 AU106:BR123 W126:AS138 B142:U157 B142:U156" name="区域19"/>
    <protectedRange sqref="AU53:BR66 B66:L70 S74 L75 B82:U87 AA73:AS88 BE69:BR83 AU86:BR93 W89 B100:U106" name="区域18"/>
    <protectedRange sqref="BA18:BR22 AU26:BB26 AU28:BB28 AU30:BB30 AU32:BB32 AU34:BB34 AU37 BC30 BC28 BG28 BC26 BO26 BO28 BK28 BK26 BK37 BO37" name="区域17"/>
    <protectedRange sqref="H20 H21 H22 H34:I41 H46:I50 H52:I55 AD51:AE52 AD47:AE48 AD37 AD31:AE33 AD27" name="区域16"/>
    <protectedRange sqref="AB57:AG61 F57:K61" name="区域15"/>
    <protectedRange sqref="L16:O61 AH16:AM61" name="区域14"/>
    <protectedRange sqref="D12 I12 I11 N12 R11 X12 AA11 AE12 AI11 AI12 AN12 AP11" name="区域13"/>
    <protectedRange sqref="E3 E4 M4 M5 E6 M6 E7 M7 E8 J8 G8 L8 N8" name="区域1"/>
  </protectedRanges>
  <mergeCells count="2202">
    <mergeCell ref="B1:BR1"/>
    <mergeCell ref="B2:Q2"/>
    <mergeCell ref="S2:U2"/>
    <mergeCell ref="V2:Z2"/>
    <mergeCell ref="AA2:AF2"/>
    <mergeCell ref="AG2:AJ2"/>
    <mergeCell ref="AL2:AS2"/>
    <mergeCell ref="AU2:BR2"/>
    <mergeCell ref="B3:D3"/>
    <mergeCell ref="E3:Q3"/>
    <mergeCell ref="W3:X3"/>
    <mergeCell ref="AC3:AD3"/>
    <mergeCell ref="AI3:AJ3"/>
    <mergeCell ref="B4:D4"/>
    <mergeCell ref="E4:I4"/>
    <mergeCell ref="J4:L4"/>
    <mergeCell ref="M4:Q4"/>
    <mergeCell ref="W4:X4"/>
    <mergeCell ref="AC4:AD4"/>
    <mergeCell ref="AI4:AJ4"/>
    <mergeCell ref="B5:D5"/>
    <mergeCell ref="E5:I5"/>
    <mergeCell ref="J5:L5"/>
    <mergeCell ref="M5:Q5"/>
    <mergeCell ref="W5:X5"/>
    <mergeCell ref="AC5:AD5"/>
    <mergeCell ref="AI5:AJ5"/>
    <mergeCell ref="B6:D6"/>
    <mergeCell ref="E6:I6"/>
    <mergeCell ref="J6:L6"/>
    <mergeCell ref="M6:Q6"/>
    <mergeCell ref="W6:X6"/>
    <mergeCell ref="AC6:AD6"/>
    <mergeCell ref="AI6:AJ6"/>
    <mergeCell ref="B7:D7"/>
    <mergeCell ref="E7:I7"/>
    <mergeCell ref="J7:L7"/>
    <mergeCell ref="M7:Q7"/>
    <mergeCell ref="W7:X7"/>
    <mergeCell ref="AC7:AD7"/>
    <mergeCell ref="AI7:AJ7"/>
    <mergeCell ref="B8:D8"/>
    <mergeCell ref="E8:F8"/>
    <mergeCell ref="G8:I8"/>
    <mergeCell ref="J8:K8"/>
    <mergeCell ref="L8:M8"/>
    <mergeCell ref="N8:Q8"/>
    <mergeCell ref="W8:X8"/>
    <mergeCell ref="AC8:AD8"/>
    <mergeCell ref="AI8:AJ8"/>
    <mergeCell ref="B9:E9"/>
    <mergeCell ref="F9:I9"/>
    <mergeCell ref="K9:R9"/>
    <mergeCell ref="T9:AA9"/>
    <mergeCell ref="AC9:AJ9"/>
    <mergeCell ref="AL9:AS9"/>
    <mergeCell ref="I10:J10"/>
    <mergeCell ref="R10:S10"/>
    <mergeCell ref="AA10:AB10"/>
    <mergeCell ref="AI10:AJ10"/>
    <mergeCell ref="AP10:AS10"/>
    <mergeCell ref="I11:J11"/>
    <mergeCell ref="R11:S11"/>
    <mergeCell ref="AA11:AB11"/>
    <mergeCell ref="AI11:AJ11"/>
    <mergeCell ref="AP11:AS11"/>
    <mergeCell ref="B12:C12"/>
    <mergeCell ref="D12:E12"/>
    <mergeCell ref="F12:H12"/>
    <mergeCell ref="I12:J12"/>
    <mergeCell ref="K12:M12"/>
    <mergeCell ref="N12:O12"/>
    <mergeCell ref="P12:Q12"/>
    <mergeCell ref="R12:S12"/>
    <mergeCell ref="T12:W12"/>
    <mergeCell ref="X12:AB12"/>
    <mergeCell ref="AC12:AD12"/>
    <mergeCell ref="AE12:AF12"/>
    <mergeCell ref="AG12:AH12"/>
    <mergeCell ref="AI12:AJ12"/>
    <mergeCell ref="AK12:AM12"/>
    <mergeCell ref="AN12:AS12"/>
    <mergeCell ref="B13:AS13"/>
    <mergeCell ref="B14:AS14"/>
    <mergeCell ref="B15:C15"/>
    <mergeCell ref="D15:E15"/>
    <mergeCell ref="F15:I15"/>
    <mergeCell ref="J15:K15"/>
    <mergeCell ref="L15:M15"/>
    <mergeCell ref="N15:O15"/>
    <mergeCell ref="P15:Q15"/>
    <mergeCell ref="R15:W15"/>
    <mergeCell ref="X15:Y15"/>
    <mergeCell ref="Z15:AA15"/>
    <mergeCell ref="AB15:AE15"/>
    <mergeCell ref="AF15:AG15"/>
    <mergeCell ref="AH15:AI15"/>
    <mergeCell ref="AJ15:AK15"/>
    <mergeCell ref="AL15:AM15"/>
    <mergeCell ref="AN15:AS15"/>
    <mergeCell ref="B16:C16"/>
    <mergeCell ref="D16:E16"/>
    <mergeCell ref="F16:I16"/>
    <mergeCell ref="J16:K16"/>
    <mergeCell ref="L16:M16"/>
    <mergeCell ref="N16:O16"/>
    <mergeCell ref="P16:Q16"/>
    <mergeCell ref="R16:S16"/>
    <mergeCell ref="T16:U16"/>
    <mergeCell ref="V16:W16"/>
    <mergeCell ref="X16:Y16"/>
    <mergeCell ref="Z16:AA16"/>
    <mergeCell ref="AB16:AE16"/>
    <mergeCell ref="AF16:AG16"/>
    <mergeCell ref="AH16:AI16"/>
    <mergeCell ref="AJ16:AK16"/>
    <mergeCell ref="AL16:AM16"/>
    <mergeCell ref="AN16:AO16"/>
    <mergeCell ref="AP16:AQ16"/>
    <mergeCell ref="AR16:AS16"/>
    <mergeCell ref="B17:C17"/>
    <mergeCell ref="D17:E17"/>
    <mergeCell ref="F17:I17"/>
    <mergeCell ref="J17:K17"/>
    <mergeCell ref="L17:M17"/>
    <mergeCell ref="N17:O17"/>
    <mergeCell ref="P17:Q17"/>
    <mergeCell ref="R17:S17"/>
    <mergeCell ref="T17:U17"/>
    <mergeCell ref="V17:W17"/>
    <mergeCell ref="X17:Y17"/>
    <mergeCell ref="Z17:AA17"/>
    <mergeCell ref="AB17:AE17"/>
    <mergeCell ref="AF17:AG17"/>
    <mergeCell ref="AH17:AI17"/>
    <mergeCell ref="AJ17:AK17"/>
    <mergeCell ref="AL17:AM17"/>
    <mergeCell ref="AN17:AO17"/>
    <mergeCell ref="AP17:AQ17"/>
    <mergeCell ref="AR17:AS17"/>
    <mergeCell ref="AU17:AZ17"/>
    <mergeCell ref="BA17:BR17"/>
    <mergeCell ref="B18:C18"/>
    <mergeCell ref="D18:E18"/>
    <mergeCell ref="F18:I18"/>
    <mergeCell ref="J18:K18"/>
    <mergeCell ref="L18:M18"/>
    <mergeCell ref="N18:O18"/>
    <mergeCell ref="P18:Q18"/>
    <mergeCell ref="R18:S18"/>
    <mergeCell ref="T18:U18"/>
    <mergeCell ref="V18:W18"/>
    <mergeCell ref="X18:Y18"/>
    <mergeCell ref="Z18:AA18"/>
    <mergeCell ref="AB18:AE18"/>
    <mergeCell ref="AF18:AG18"/>
    <mergeCell ref="AH18:AI18"/>
    <mergeCell ref="AJ18:AK18"/>
    <mergeCell ref="AL18:AM18"/>
    <mergeCell ref="AN18:AO18"/>
    <mergeCell ref="AP18:AQ18"/>
    <mergeCell ref="AR18:AS18"/>
    <mergeCell ref="AU18:AZ18"/>
    <mergeCell ref="BA18:BI18"/>
    <mergeCell ref="BJ18:BR18"/>
    <mergeCell ref="B19:C19"/>
    <mergeCell ref="D19:E19"/>
    <mergeCell ref="F19:I19"/>
    <mergeCell ref="J19:K19"/>
    <mergeCell ref="L19:M19"/>
    <mergeCell ref="N19:O19"/>
    <mergeCell ref="P19:Q19"/>
    <mergeCell ref="R19:S19"/>
    <mergeCell ref="T19:U19"/>
    <mergeCell ref="V19:W19"/>
    <mergeCell ref="X19:Y19"/>
    <mergeCell ref="Z19:AA19"/>
    <mergeCell ref="AB19:AE19"/>
    <mergeCell ref="AF19:AG19"/>
    <mergeCell ref="AH19:AI19"/>
    <mergeCell ref="AJ19:AK19"/>
    <mergeCell ref="AL19:AM19"/>
    <mergeCell ref="AN19:AO19"/>
    <mergeCell ref="AP19:AQ19"/>
    <mergeCell ref="AR19:AS19"/>
    <mergeCell ref="BA19:BI19"/>
    <mergeCell ref="BJ19:BR19"/>
    <mergeCell ref="B20:C20"/>
    <mergeCell ref="D20:E20"/>
    <mergeCell ref="F20:G20"/>
    <mergeCell ref="H20:I20"/>
    <mergeCell ref="J20:K20"/>
    <mergeCell ref="L20:M20"/>
    <mergeCell ref="N20:O20"/>
    <mergeCell ref="P20:Q20"/>
    <mergeCell ref="R20:S20"/>
    <mergeCell ref="T20:U20"/>
    <mergeCell ref="V20:W20"/>
    <mergeCell ref="X20:Y20"/>
    <mergeCell ref="Z20:AA20"/>
    <mergeCell ref="AB20:AE20"/>
    <mergeCell ref="AF20:AG20"/>
    <mergeCell ref="AH20:AI20"/>
    <mergeCell ref="AJ20:AK20"/>
    <mergeCell ref="AL20:AM20"/>
    <mergeCell ref="AN20:AO20"/>
    <mergeCell ref="AP20:AQ20"/>
    <mergeCell ref="AR20:AS20"/>
    <mergeCell ref="BA20:BI20"/>
    <mergeCell ref="BJ20:BR20"/>
    <mergeCell ref="B21:C21"/>
    <mergeCell ref="D21:E21"/>
    <mergeCell ref="F21:G21"/>
    <mergeCell ref="H21:I21"/>
    <mergeCell ref="J21:K21"/>
    <mergeCell ref="L21:M21"/>
    <mergeCell ref="N21:O21"/>
    <mergeCell ref="P21:Q21"/>
    <mergeCell ref="R21:S21"/>
    <mergeCell ref="T21:U21"/>
    <mergeCell ref="V21:W21"/>
    <mergeCell ref="X21:Y21"/>
    <mergeCell ref="Z21:AA21"/>
    <mergeCell ref="AB21:AE21"/>
    <mergeCell ref="AF21:AG21"/>
    <mergeCell ref="AH21:AI21"/>
    <mergeCell ref="AJ21:AK21"/>
    <mergeCell ref="AL21:AM21"/>
    <mergeCell ref="AN21:AO21"/>
    <mergeCell ref="AP21:AQ21"/>
    <mergeCell ref="AR21:AS21"/>
    <mergeCell ref="BA21:BI21"/>
    <mergeCell ref="BJ21:BR21"/>
    <mergeCell ref="B22:C22"/>
    <mergeCell ref="D22:E22"/>
    <mergeCell ref="F22:G22"/>
    <mergeCell ref="H22:I22"/>
    <mergeCell ref="J22:K22"/>
    <mergeCell ref="L22:M22"/>
    <mergeCell ref="N22:O22"/>
    <mergeCell ref="P22:Q22"/>
    <mergeCell ref="R22:S22"/>
    <mergeCell ref="T22:U22"/>
    <mergeCell ref="V22:W22"/>
    <mergeCell ref="X22:Y22"/>
    <mergeCell ref="Z22:AA22"/>
    <mergeCell ref="AB22:AE22"/>
    <mergeCell ref="AF22:AG22"/>
    <mergeCell ref="AH22:AI22"/>
    <mergeCell ref="AJ22:AK22"/>
    <mergeCell ref="AL22:AM22"/>
    <mergeCell ref="AN22:AO22"/>
    <mergeCell ref="AP22:AQ22"/>
    <mergeCell ref="AR22:AS22"/>
    <mergeCell ref="AU22:AZ22"/>
    <mergeCell ref="BA22:BI22"/>
    <mergeCell ref="BJ22:BR22"/>
    <mergeCell ref="B23:C23"/>
    <mergeCell ref="D23:E23"/>
    <mergeCell ref="F23:I23"/>
    <mergeCell ref="J23:K23"/>
    <mergeCell ref="L23:M23"/>
    <mergeCell ref="N23:O23"/>
    <mergeCell ref="P23:Q23"/>
    <mergeCell ref="R23:S23"/>
    <mergeCell ref="T23:U23"/>
    <mergeCell ref="V23:W23"/>
    <mergeCell ref="X23:Y23"/>
    <mergeCell ref="Z23:AA23"/>
    <mergeCell ref="AB23:AE23"/>
    <mergeCell ref="AF23:AG23"/>
    <mergeCell ref="AH23:AI23"/>
    <mergeCell ref="AJ23:AK23"/>
    <mergeCell ref="AL23:AM23"/>
    <mergeCell ref="AN23:AO23"/>
    <mergeCell ref="AP23:AQ23"/>
    <mergeCell ref="AR23:AS23"/>
    <mergeCell ref="AU23:BR23"/>
    <mergeCell ref="B24:C24"/>
    <mergeCell ref="D24:E24"/>
    <mergeCell ref="F24:I24"/>
    <mergeCell ref="J24:K24"/>
    <mergeCell ref="L24:M24"/>
    <mergeCell ref="N24:O24"/>
    <mergeCell ref="P24:Q24"/>
    <mergeCell ref="R24:S24"/>
    <mergeCell ref="T24:U24"/>
    <mergeCell ref="V24:W24"/>
    <mergeCell ref="X24:Y24"/>
    <mergeCell ref="Z24:AA24"/>
    <mergeCell ref="AB24:AE24"/>
    <mergeCell ref="AF24:AG24"/>
    <mergeCell ref="AH24:AI24"/>
    <mergeCell ref="AJ24:AK24"/>
    <mergeCell ref="AL24:AM24"/>
    <mergeCell ref="AN24:AO24"/>
    <mergeCell ref="AP24:AQ24"/>
    <mergeCell ref="AR24:AS24"/>
    <mergeCell ref="AU24:BB24"/>
    <mergeCell ref="BC24:BJ24"/>
    <mergeCell ref="BK24:BR24"/>
    <mergeCell ref="B25:C25"/>
    <mergeCell ref="D25:E25"/>
    <mergeCell ref="F25:I25"/>
    <mergeCell ref="J25:K25"/>
    <mergeCell ref="L25:M25"/>
    <mergeCell ref="N25:O25"/>
    <mergeCell ref="P25:Q25"/>
    <mergeCell ref="R25:S25"/>
    <mergeCell ref="T25:U25"/>
    <mergeCell ref="V25:W25"/>
    <mergeCell ref="X25:Y25"/>
    <mergeCell ref="Z25:AA25"/>
    <mergeCell ref="AB25:AE25"/>
    <mergeCell ref="AF25:AG25"/>
    <mergeCell ref="AH25:AI25"/>
    <mergeCell ref="AJ25:AK25"/>
    <mergeCell ref="AL25:AM25"/>
    <mergeCell ref="AN25:AO25"/>
    <mergeCell ref="AP25:AQ25"/>
    <mergeCell ref="AR25:AS25"/>
    <mergeCell ref="AU25:AZ25"/>
    <mergeCell ref="BA25:BB25"/>
    <mergeCell ref="BC25:BJ25"/>
    <mergeCell ref="BK25:BR25"/>
    <mergeCell ref="B26:C26"/>
    <mergeCell ref="D26:E26"/>
    <mergeCell ref="F26:I26"/>
    <mergeCell ref="J26:K26"/>
    <mergeCell ref="L26:M26"/>
    <mergeCell ref="N26:O26"/>
    <mergeCell ref="P26:Q26"/>
    <mergeCell ref="R26:S26"/>
    <mergeCell ref="T26:U26"/>
    <mergeCell ref="V26:W26"/>
    <mergeCell ref="X26:Y26"/>
    <mergeCell ref="Z26:AA26"/>
    <mergeCell ref="AB26:AE26"/>
    <mergeCell ref="AF26:AG26"/>
    <mergeCell ref="AH26:AI26"/>
    <mergeCell ref="AJ26:AK26"/>
    <mergeCell ref="AL26:AM26"/>
    <mergeCell ref="AN26:AO26"/>
    <mergeCell ref="AP26:AQ26"/>
    <mergeCell ref="AR26:AS26"/>
    <mergeCell ref="AU26:AZ26"/>
    <mergeCell ref="BA26:BB26"/>
    <mergeCell ref="BC26:BJ26"/>
    <mergeCell ref="BK26:BN26"/>
    <mergeCell ref="BO26:BR26"/>
    <mergeCell ref="B27:C27"/>
    <mergeCell ref="D27:E27"/>
    <mergeCell ref="F27:I27"/>
    <mergeCell ref="J27:K27"/>
    <mergeCell ref="L27:M27"/>
    <mergeCell ref="N27:O27"/>
    <mergeCell ref="P27:Q27"/>
    <mergeCell ref="R27:S27"/>
    <mergeCell ref="T27:U27"/>
    <mergeCell ref="V27:W27"/>
    <mergeCell ref="X27:Y27"/>
    <mergeCell ref="Z27:AA27"/>
    <mergeCell ref="AB27:AC27"/>
    <mergeCell ref="AD27:AE27"/>
    <mergeCell ref="AF27:AG27"/>
    <mergeCell ref="AH27:AI27"/>
    <mergeCell ref="AJ27:AK27"/>
    <mergeCell ref="AL27:AM27"/>
    <mergeCell ref="AN27:AO27"/>
    <mergeCell ref="AP27:AQ27"/>
    <mergeCell ref="AR27:AS27"/>
    <mergeCell ref="AU27:AZ27"/>
    <mergeCell ref="BA27:BB27"/>
    <mergeCell ref="BC27:BF27"/>
    <mergeCell ref="BG27:BJ27"/>
    <mergeCell ref="BK27:BN27"/>
    <mergeCell ref="BO27:BR27"/>
    <mergeCell ref="B28:C28"/>
    <mergeCell ref="D28:E28"/>
    <mergeCell ref="F28:I28"/>
    <mergeCell ref="J28:K28"/>
    <mergeCell ref="L28:M28"/>
    <mergeCell ref="N28:O28"/>
    <mergeCell ref="P28:Q28"/>
    <mergeCell ref="R28:S28"/>
    <mergeCell ref="T28:U28"/>
    <mergeCell ref="V28:W28"/>
    <mergeCell ref="X28:Y28"/>
    <mergeCell ref="Z28:AA28"/>
    <mergeCell ref="AB28:AE28"/>
    <mergeCell ref="AF28:AG28"/>
    <mergeCell ref="AH28:AI28"/>
    <mergeCell ref="AJ28:AK28"/>
    <mergeCell ref="AL28:AM28"/>
    <mergeCell ref="AN28:AO28"/>
    <mergeCell ref="AP28:AQ28"/>
    <mergeCell ref="AR28:AS28"/>
    <mergeCell ref="AU28:AZ28"/>
    <mergeCell ref="BA28:BB28"/>
    <mergeCell ref="BC28:BF28"/>
    <mergeCell ref="BG28:BJ28"/>
    <mergeCell ref="B29:C29"/>
    <mergeCell ref="D29:E29"/>
    <mergeCell ref="F29:I29"/>
    <mergeCell ref="J29:K29"/>
    <mergeCell ref="L29:M29"/>
    <mergeCell ref="N29:O29"/>
    <mergeCell ref="P29:Q29"/>
    <mergeCell ref="R29:S29"/>
    <mergeCell ref="T29:U29"/>
    <mergeCell ref="V29:W29"/>
    <mergeCell ref="X29:Y29"/>
    <mergeCell ref="Z29:AA29"/>
    <mergeCell ref="AB29:AE29"/>
    <mergeCell ref="AF29:AG29"/>
    <mergeCell ref="AH29:AI29"/>
    <mergeCell ref="AJ29:AK29"/>
    <mergeCell ref="AL29:AM29"/>
    <mergeCell ref="AN29:AO29"/>
    <mergeCell ref="AP29:AQ29"/>
    <mergeCell ref="AR29:AS29"/>
    <mergeCell ref="AU29:AZ29"/>
    <mergeCell ref="BA29:BB29"/>
    <mergeCell ref="BC29:BJ29"/>
    <mergeCell ref="B30:C30"/>
    <mergeCell ref="D30:E30"/>
    <mergeCell ref="F30:I30"/>
    <mergeCell ref="J30:K30"/>
    <mergeCell ref="L30:M30"/>
    <mergeCell ref="N30:O30"/>
    <mergeCell ref="P30:Q30"/>
    <mergeCell ref="R30:S30"/>
    <mergeCell ref="T30:U30"/>
    <mergeCell ref="V30:W30"/>
    <mergeCell ref="X30:Y30"/>
    <mergeCell ref="Z30:AA30"/>
    <mergeCell ref="AB30:AE30"/>
    <mergeCell ref="AF30:AG30"/>
    <mergeCell ref="AH30:AI30"/>
    <mergeCell ref="AJ30:AK30"/>
    <mergeCell ref="AL30:AM30"/>
    <mergeCell ref="AN30:AO30"/>
    <mergeCell ref="AP30:AQ30"/>
    <mergeCell ref="AR30:AS30"/>
    <mergeCell ref="AU30:AZ30"/>
    <mergeCell ref="BA30:BB30"/>
    <mergeCell ref="B31:C31"/>
    <mergeCell ref="D31:E31"/>
    <mergeCell ref="F31:I31"/>
    <mergeCell ref="J31:K31"/>
    <mergeCell ref="L31:M31"/>
    <mergeCell ref="N31:O31"/>
    <mergeCell ref="P31:Q31"/>
    <mergeCell ref="R31:S31"/>
    <mergeCell ref="T31:U31"/>
    <mergeCell ref="V31:W31"/>
    <mergeCell ref="X31:Y31"/>
    <mergeCell ref="Z31:AA31"/>
    <mergeCell ref="AB31:AC31"/>
    <mergeCell ref="AD31:AE31"/>
    <mergeCell ref="AF31:AG31"/>
    <mergeCell ref="AH31:AI31"/>
    <mergeCell ref="AJ31:AK31"/>
    <mergeCell ref="AL31:AM31"/>
    <mergeCell ref="AN31:AO31"/>
    <mergeCell ref="AP31:AQ31"/>
    <mergeCell ref="AR31:AS31"/>
    <mergeCell ref="AU31:AZ31"/>
    <mergeCell ref="BA31:BB31"/>
    <mergeCell ref="B32:C32"/>
    <mergeCell ref="D32:E32"/>
    <mergeCell ref="F32:I32"/>
    <mergeCell ref="J32:K32"/>
    <mergeCell ref="L32:M32"/>
    <mergeCell ref="N32:O32"/>
    <mergeCell ref="P32:Q32"/>
    <mergeCell ref="R32:S32"/>
    <mergeCell ref="T32:U32"/>
    <mergeCell ref="V32:W32"/>
    <mergeCell ref="X32:Y32"/>
    <mergeCell ref="Z32:AA32"/>
    <mergeCell ref="AB32:AC32"/>
    <mergeCell ref="AD32:AE32"/>
    <mergeCell ref="AF32:AG32"/>
    <mergeCell ref="AH32:AI32"/>
    <mergeCell ref="AJ32:AK32"/>
    <mergeCell ref="AL32:AM32"/>
    <mergeCell ref="AN32:AO32"/>
    <mergeCell ref="AP32:AQ32"/>
    <mergeCell ref="AR32:AS32"/>
    <mergeCell ref="AU32:AZ32"/>
    <mergeCell ref="BA32:BB32"/>
    <mergeCell ref="B33:C33"/>
    <mergeCell ref="D33:E33"/>
    <mergeCell ref="F33:I33"/>
    <mergeCell ref="J33:K33"/>
    <mergeCell ref="L33:M33"/>
    <mergeCell ref="N33:O33"/>
    <mergeCell ref="P33:Q33"/>
    <mergeCell ref="R33:S33"/>
    <mergeCell ref="T33:U33"/>
    <mergeCell ref="V33:W33"/>
    <mergeCell ref="X33:Y33"/>
    <mergeCell ref="Z33:AA33"/>
    <mergeCell ref="AB33:AC33"/>
    <mergeCell ref="AD33:AE33"/>
    <mergeCell ref="AF33:AG33"/>
    <mergeCell ref="AH33:AI33"/>
    <mergeCell ref="AJ33:AK33"/>
    <mergeCell ref="AL33:AM33"/>
    <mergeCell ref="AN33:AO33"/>
    <mergeCell ref="AP33:AQ33"/>
    <mergeCell ref="AR33:AS33"/>
    <mergeCell ref="AU33:AZ33"/>
    <mergeCell ref="BA33:BB33"/>
    <mergeCell ref="B34:C34"/>
    <mergeCell ref="D34:E34"/>
    <mergeCell ref="F34:G34"/>
    <mergeCell ref="H34:I34"/>
    <mergeCell ref="J34:K34"/>
    <mergeCell ref="L34:M34"/>
    <mergeCell ref="N34:O34"/>
    <mergeCell ref="P34:Q34"/>
    <mergeCell ref="R34:S34"/>
    <mergeCell ref="T34:U34"/>
    <mergeCell ref="V34:W34"/>
    <mergeCell ref="X34:Y34"/>
    <mergeCell ref="Z34:AA34"/>
    <mergeCell ref="AB34:AE34"/>
    <mergeCell ref="AF34:AG34"/>
    <mergeCell ref="AH34:AI34"/>
    <mergeCell ref="AJ34:AK34"/>
    <mergeCell ref="AL34:AM34"/>
    <mergeCell ref="AN34:AO34"/>
    <mergeCell ref="AP34:AQ34"/>
    <mergeCell ref="AR34:AS34"/>
    <mergeCell ref="AU34:AZ34"/>
    <mergeCell ref="BA34:BB34"/>
    <mergeCell ref="B35:C35"/>
    <mergeCell ref="D35:E35"/>
    <mergeCell ref="F35:G35"/>
    <mergeCell ref="H35:I35"/>
    <mergeCell ref="J35:K35"/>
    <mergeCell ref="L35:M35"/>
    <mergeCell ref="N35:O35"/>
    <mergeCell ref="P35:Q35"/>
    <mergeCell ref="R35:S35"/>
    <mergeCell ref="T35:U35"/>
    <mergeCell ref="V35:W35"/>
    <mergeCell ref="X35:Y35"/>
    <mergeCell ref="Z35:AA35"/>
    <mergeCell ref="AB35:AE35"/>
    <mergeCell ref="AF35:AG35"/>
    <mergeCell ref="AH35:AI35"/>
    <mergeCell ref="AJ35:AK35"/>
    <mergeCell ref="AL35:AM35"/>
    <mergeCell ref="AN35:AO35"/>
    <mergeCell ref="AP35:AQ35"/>
    <mergeCell ref="AR35:AS35"/>
    <mergeCell ref="AU35:BB35"/>
    <mergeCell ref="BK35:BR35"/>
    <mergeCell ref="B36:C36"/>
    <mergeCell ref="D36:E36"/>
    <mergeCell ref="F36:G36"/>
    <mergeCell ref="H36:I36"/>
    <mergeCell ref="J36:K36"/>
    <mergeCell ref="L36:M36"/>
    <mergeCell ref="N36:O36"/>
    <mergeCell ref="P36:Q36"/>
    <mergeCell ref="R36:S36"/>
    <mergeCell ref="T36:U36"/>
    <mergeCell ref="V36:W36"/>
    <mergeCell ref="X36:Y36"/>
    <mergeCell ref="Z36:AA36"/>
    <mergeCell ref="AB36:AE36"/>
    <mergeCell ref="AF36:AG36"/>
    <mergeCell ref="AH36:AI36"/>
    <mergeCell ref="AJ36:AK36"/>
    <mergeCell ref="AL36:AM36"/>
    <mergeCell ref="AN36:AO36"/>
    <mergeCell ref="AP36:AQ36"/>
    <mergeCell ref="AR36:AS36"/>
    <mergeCell ref="AU36:BB36"/>
    <mergeCell ref="BK36:BN36"/>
    <mergeCell ref="BO36:BR36"/>
    <mergeCell ref="B37:C37"/>
    <mergeCell ref="D37:E37"/>
    <mergeCell ref="F37:G37"/>
    <mergeCell ref="H37:I37"/>
    <mergeCell ref="J37:K37"/>
    <mergeCell ref="L37:M37"/>
    <mergeCell ref="N37:O37"/>
    <mergeCell ref="P37:Q37"/>
    <mergeCell ref="R37:S37"/>
    <mergeCell ref="T37:U37"/>
    <mergeCell ref="V37:W37"/>
    <mergeCell ref="X37:Y37"/>
    <mergeCell ref="Z37:AA37"/>
    <mergeCell ref="AB37:AC37"/>
    <mergeCell ref="AD37:AE37"/>
    <mergeCell ref="AF37:AG37"/>
    <mergeCell ref="AH37:AI37"/>
    <mergeCell ref="AJ37:AK37"/>
    <mergeCell ref="AL37:AM37"/>
    <mergeCell ref="AN37:AO37"/>
    <mergeCell ref="AP37:AQ37"/>
    <mergeCell ref="AR37:AS37"/>
    <mergeCell ref="AU37:BB37"/>
    <mergeCell ref="BK37:BN37"/>
    <mergeCell ref="BO37:BR37"/>
    <mergeCell ref="B38:C38"/>
    <mergeCell ref="D38:E38"/>
    <mergeCell ref="F38:G38"/>
    <mergeCell ref="H38:I38"/>
    <mergeCell ref="J38:K38"/>
    <mergeCell ref="L38:M38"/>
    <mergeCell ref="N38:O38"/>
    <mergeCell ref="P38:Q38"/>
    <mergeCell ref="R38:S38"/>
    <mergeCell ref="T38:U38"/>
    <mergeCell ref="V38:W38"/>
    <mergeCell ref="X38:Y38"/>
    <mergeCell ref="Z38:AA38"/>
    <mergeCell ref="AB38:AE38"/>
    <mergeCell ref="AF38:AG38"/>
    <mergeCell ref="AH38:AI38"/>
    <mergeCell ref="AJ38:AK38"/>
    <mergeCell ref="AL38:AM38"/>
    <mergeCell ref="AN38:AO38"/>
    <mergeCell ref="AP38:AQ38"/>
    <mergeCell ref="AR38:AS38"/>
    <mergeCell ref="AU38:AX38"/>
    <mergeCell ref="AY38:BR38"/>
    <mergeCell ref="B39:C39"/>
    <mergeCell ref="D39:E39"/>
    <mergeCell ref="F39:G39"/>
    <mergeCell ref="H39:I39"/>
    <mergeCell ref="J39:K39"/>
    <mergeCell ref="L39:M39"/>
    <mergeCell ref="N39:O39"/>
    <mergeCell ref="P39:Q39"/>
    <mergeCell ref="R39:S39"/>
    <mergeCell ref="T39:U39"/>
    <mergeCell ref="V39:W39"/>
    <mergeCell ref="X39:Y39"/>
    <mergeCell ref="Z39:AA39"/>
    <mergeCell ref="AB39:AE39"/>
    <mergeCell ref="AF39:AG39"/>
    <mergeCell ref="AH39:AI39"/>
    <mergeCell ref="AJ39:AK39"/>
    <mergeCell ref="AL39:AM39"/>
    <mergeCell ref="AN39:AO39"/>
    <mergeCell ref="AP39:AQ39"/>
    <mergeCell ref="AR39:AS39"/>
    <mergeCell ref="B40:C40"/>
    <mergeCell ref="D40:E40"/>
    <mergeCell ref="F40:G40"/>
    <mergeCell ref="H40:I40"/>
    <mergeCell ref="J40:K40"/>
    <mergeCell ref="L40:M40"/>
    <mergeCell ref="N40:O40"/>
    <mergeCell ref="P40:Q40"/>
    <mergeCell ref="R40:S40"/>
    <mergeCell ref="T40:U40"/>
    <mergeCell ref="V40:W40"/>
    <mergeCell ref="X40:Y40"/>
    <mergeCell ref="Z40:AA40"/>
    <mergeCell ref="AB40:AE40"/>
    <mergeCell ref="AF40:AG40"/>
    <mergeCell ref="AH40:AI40"/>
    <mergeCell ref="AJ40:AK40"/>
    <mergeCell ref="AL40:AM40"/>
    <mergeCell ref="AN40:AO40"/>
    <mergeCell ref="AP40:AQ40"/>
    <mergeCell ref="AR40:AS40"/>
    <mergeCell ref="B41:C41"/>
    <mergeCell ref="D41:E41"/>
    <mergeCell ref="F41:G41"/>
    <mergeCell ref="H41:I41"/>
    <mergeCell ref="J41:K41"/>
    <mergeCell ref="L41:M41"/>
    <mergeCell ref="N41:O41"/>
    <mergeCell ref="P41:Q41"/>
    <mergeCell ref="R41:S41"/>
    <mergeCell ref="T41:U41"/>
    <mergeCell ref="V41:W41"/>
    <mergeCell ref="X41:Y41"/>
    <mergeCell ref="Z41:AA41"/>
    <mergeCell ref="AB41:AE41"/>
    <mergeCell ref="AF41:AG41"/>
    <mergeCell ref="AH41:AI41"/>
    <mergeCell ref="AJ41:AK41"/>
    <mergeCell ref="AL41:AM41"/>
    <mergeCell ref="AN41:AO41"/>
    <mergeCell ref="AP41:AQ41"/>
    <mergeCell ref="AR41:AS41"/>
    <mergeCell ref="B42:C42"/>
    <mergeCell ref="D42:E42"/>
    <mergeCell ref="F42:I42"/>
    <mergeCell ref="J42:K42"/>
    <mergeCell ref="L42:M42"/>
    <mergeCell ref="N42:O42"/>
    <mergeCell ref="P42:Q42"/>
    <mergeCell ref="R42:S42"/>
    <mergeCell ref="T42:U42"/>
    <mergeCell ref="V42:W42"/>
    <mergeCell ref="X42:Y42"/>
    <mergeCell ref="Z42:AA42"/>
    <mergeCell ref="AB42:AE42"/>
    <mergeCell ref="AF42:AG42"/>
    <mergeCell ref="AH42:AI42"/>
    <mergeCell ref="AJ42:AK42"/>
    <mergeCell ref="AL42:AM42"/>
    <mergeCell ref="AN42:AO42"/>
    <mergeCell ref="AP42:AQ42"/>
    <mergeCell ref="AR42:AS42"/>
    <mergeCell ref="B43:C43"/>
    <mergeCell ref="D43:E43"/>
    <mergeCell ref="F43:I43"/>
    <mergeCell ref="J43:K43"/>
    <mergeCell ref="L43:M43"/>
    <mergeCell ref="N43:O43"/>
    <mergeCell ref="P43:Q43"/>
    <mergeCell ref="R43:S43"/>
    <mergeCell ref="T43:U43"/>
    <mergeCell ref="V43:W43"/>
    <mergeCell ref="X43:Y43"/>
    <mergeCell ref="Z43:AA43"/>
    <mergeCell ref="AB43:AE43"/>
    <mergeCell ref="AF43:AG43"/>
    <mergeCell ref="AH43:AI43"/>
    <mergeCell ref="AJ43:AK43"/>
    <mergeCell ref="AL43:AM43"/>
    <mergeCell ref="AN43:AO43"/>
    <mergeCell ref="AP43:AQ43"/>
    <mergeCell ref="AR43:AS43"/>
    <mergeCell ref="B44:C44"/>
    <mergeCell ref="D44:E44"/>
    <mergeCell ref="F44:I44"/>
    <mergeCell ref="J44:K44"/>
    <mergeCell ref="L44:M44"/>
    <mergeCell ref="N44:O44"/>
    <mergeCell ref="P44:Q44"/>
    <mergeCell ref="R44:S44"/>
    <mergeCell ref="T44:U44"/>
    <mergeCell ref="V44:W44"/>
    <mergeCell ref="X44:Y44"/>
    <mergeCell ref="Z44:AA44"/>
    <mergeCell ref="AB44:AE44"/>
    <mergeCell ref="AF44:AG44"/>
    <mergeCell ref="AH44:AI44"/>
    <mergeCell ref="AJ44:AK44"/>
    <mergeCell ref="AL44:AM44"/>
    <mergeCell ref="AN44:AO44"/>
    <mergeCell ref="AP44:AQ44"/>
    <mergeCell ref="AR44:AS44"/>
    <mergeCell ref="AU44:BR44"/>
    <mergeCell ref="B45:C45"/>
    <mergeCell ref="D45:E45"/>
    <mergeCell ref="F45:I45"/>
    <mergeCell ref="J45:K45"/>
    <mergeCell ref="L45:M45"/>
    <mergeCell ref="N45:O45"/>
    <mergeCell ref="P45:Q45"/>
    <mergeCell ref="R45:S45"/>
    <mergeCell ref="T45:U45"/>
    <mergeCell ref="V45:W45"/>
    <mergeCell ref="X45:Y45"/>
    <mergeCell ref="Z45:AA45"/>
    <mergeCell ref="AB45:AE45"/>
    <mergeCell ref="AF45:AG45"/>
    <mergeCell ref="AH45:AI45"/>
    <mergeCell ref="AJ45:AK45"/>
    <mergeCell ref="AL45:AM45"/>
    <mergeCell ref="AN45:AO45"/>
    <mergeCell ref="AP45:AQ45"/>
    <mergeCell ref="AR45:AS45"/>
    <mergeCell ref="AU45:AW45"/>
    <mergeCell ref="AY45:BN45"/>
    <mergeCell ref="BO45:BR45"/>
    <mergeCell ref="B46:C46"/>
    <mergeCell ref="D46:E46"/>
    <mergeCell ref="F46:G46"/>
    <mergeCell ref="H46:I46"/>
    <mergeCell ref="J46:K46"/>
    <mergeCell ref="L46:M46"/>
    <mergeCell ref="N46:O46"/>
    <mergeCell ref="P46:Q46"/>
    <mergeCell ref="R46:S46"/>
    <mergeCell ref="T46:U46"/>
    <mergeCell ref="V46:W46"/>
    <mergeCell ref="X46:Y46"/>
    <mergeCell ref="Z46:AA46"/>
    <mergeCell ref="AB46:AE46"/>
    <mergeCell ref="AF46:AG46"/>
    <mergeCell ref="AH46:AI46"/>
    <mergeCell ref="AJ46:AK46"/>
    <mergeCell ref="AL46:AM46"/>
    <mergeCell ref="AN46:AO46"/>
    <mergeCell ref="AP46:AQ46"/>
    <mergeCell ref="AR46:AS46"/>
    <mergeCell ref="AU46:AW46"/>
    <mergeCell ref="AY46:BN46"/>
    <mergeCell ref="BO46:BR46"/>
    <mergeCell ref="B47:C47"/>
    <mergeCell ref="D47:E47"/>
    <mergeCell ref="F47:G47"/>
    <mergeCell ref="H47:I47"/>
    <mergeCell ref="J47:K47"/>
    <mergeCell ref="L47:M47"/>
    <mergeCell ref="N47:O47"/>
    <mergeCell ref="P47:Q47"/>
    <mergeCell ref="R47:S47"/>
    <mergeCell ref="T47:U47"/>
    <mergeCell ref="V47:W47"/>
    <mergeCell ref="X47:Y47"/>
    <mergeCell ref="Z47:AA47"/>
    <mergeCell ref="AB47:AC47"/>
    <mergeCell ref="AD47:AE47"/>
    <mergeCell ref="AF47:AG47"/>
    <mergeCell ref="AH47:AI47"/>
    <mergeCell ref="AJ47:AK47"/>
    <mergeCell ref="AL47:AM47"/>
    <mergeCell ref="AN47:AO47"/>
    <mergeCell ref="AP47:AQ47"/>
    <mergeCell ref="AR47:AS47"/>
    <mergeCell ref="AU47:AW47"/>
    <mergeCell ref="AY47:BN47"/>
    <mergeCell ref="BO47:BR47"/>
    <mergeCell ref="B48:C48"/>
    <mergeCell ref="D48:E48"/>
    <mergeCell ref="F48:G48"/>
    <mergeCell ref="H48:I48"/>
    <mergeCell ref="J48:K48"/>
    <mergeCell ref="L48:M48"/>
    <mergeCell ref="N48:O48"/>
    <mergeCell ref="P48:Q48"/>
    <mergeCell ref="R48:S48"/>
    <mergeCell ref="T48:U48"/>
    <mergeCell ref="V48:W48"/>
    <mergeCell ref="X48:Y48"/>
    <mergeCell ref="Z48:AA48"/>
    <mergeCell ref="AB48:AC48"/>
    <mergeCell ref="AD48:AE48"/>
    <mergeCell ref="AF48:AG48"/>
    <mergeCell ref="AH48:AI48"/>
    <mergeCell ref="AJ48:AK48"/>
    <mergeCell ref="AL48:AM48"/>
    <mergeCell ref="AN48:AO48"/>
    <mergeCell ref="AP48:AQ48"/>
    <mergeCell ref="AR48:AS48"/>
    <mergeCell ref="AU48:AW48"/>
    <mergeCell ref="AY48:BN48"/>
    <mergeCell ref="BO48:BR48"/>
    <mergeCell ref="B49:C49"/>
    <mergeCell ref="D49:E49"/>
    <mergeCell ref="F49:G49"/>
    <mergeCell ref="H49:I49"/>
    <mergeCell ref="J49:K49"/>
    <mergeCell ref="L49:M49"/>
    <mergeCell ref="N49:O49"/>
    <mergeCell ref="P49:Q49"/>
    <mergeCell ref="R49:S49"/>
    <mergeCell ref="T49:U49"/>
    <mergeCell ref="V49:W49"/>
    <mergeCell ref="X49:Y49"/>
    <mergeCell ref="Z49:AA49"/>
    <mergeCell ref="AB49:AE49"/>
    <mergeCell ref="AF49:AG49"/>
    <mergeCell ref="AH49:AI49"/>
    <mergeCell ref="AJ49:AK49"/>
    <mergeCell ref="AL49:AM49"/>
    <mergeCell ref="AN49:AO49"/>
    <mergeCell ref="AP49:AQ49"/>
    <mergeCell ref="AR49:AS49"/>
    <mergeCell ref="B50:C50"/>
    <mergeCell ref="D50:E50"/>
    <mergeCell ref="F50:G50"/>
    <mergeCell ref="H50:I50"/>
    <mergeCell ref="J50:K50"/>
    <mergeCell ref="L50:M50"/>
    <mergeCell ref="N50:O50"/>
    <mergeCell ref="P50:Q50"/>
    <mergeCell ref="R50:S50"/>
    <mergeCell ref="T50:U50"/>
    <mergeCell ref="V50:W50"/>
    <mergeCell ref="X50:Y50"/>
    <mergeCell ref="Z50:AA50"/>
    <mergeCell ref="AB50:AE50"/>
    <mergeCell ref="AF50:AG50"/>
    <mergeCell ref="AH50:AI50"/>
    <mergeCell ref="AJ50:AK50"/>
    <mergeCell ref="AL50:AM50"/>
    <mergeCell ref="AN50:AO50"/>
    <mergeCell ref="AP50:AQ50"/>
    <mergeCell ref="AR50:AS50"/>
    <mergeCell ref="AU50:BR50"/>
    <mergeCell ref="B51:C51"/>
    <mergeCell ref="D51:E51"/>
    <mergeCell ref="F51:I51"/>
    <mergeCell ref="J51:K51"/>
    <mergeCell ref="L51:M51"/>
    <mergeCell ref="N51:O51"/>
    <mergeCell ref="P51:Q51"/>
    <mergeCell ref="R51:S51"/>
    <mergeCell ref="T51:U51"/>
    <mergeCell ref="V51:W51"/>
    <mergeCell ref="X51:Y51"/>
    <mergeCell ref="Z51:AA51"/>
    <mergeCell ref="AB51:AC51"/>
    <mergeCell ref="AD51:AE51"/>
    <mergeCell ref="AF51:AG51"/>
    <mergeCell ref="AH51:AI51"/>
    <mergeCell ref="AJ51:AK51"/>
    <mergeCell ref="AL51:AM51"/>
    <mergeCell ref="AN51:AO51"/>
    <mergeCell ref="AP51:AQ51"/>
    <mergeCell ref="AR51:AS51"/>
    <mergeCell ref="B52:C52"/>
    <mergeCell ref="D52:E52"/>
    <mergeCell ref="F52:G52"/>
    <mergeCell ref="H52:I52"/>
    <mergeCell ref="J52:K52"/>
    <mergeCell ref="L52:M52"/>
    <mergeCell ref="N52:O52"/>
    <mergeCell ref="P52:Q52"/>
    <mergeCell ref="R52:S52"/>
    <mergeCell ref="T52:U52"/>
    <mergeCell ref="V52:W52"/>
    <mergeCell ref="X52:Y52"/>
    <mergeCell ref="Z52:AA52"/>
    <mergeCell ref="AB52:AC52"/>
    <mergeCell ref="AD52:AE52"/>
    <mergeCell ref="AF52:AG52"/>
    <mergeCell ref="AH52:AI52"/>
    <mergeCell ref="AJ52:AK52"/>
    <mergeCell ref="AL52:AM52"/>
    <mergeCell ref="AN52:AO52"/>
    <mergeCell ref="AP52:AQ52"/>
    <mergeCell ref="AR52:AS52"/>
    <mergeCell ref="B53:C53"/>
    <mergeCell ref="D53:E53"/>
    <mergeCell ref="F53:G53"/>
    <mergeCell ref="H53:I53"/>
    <mergeCell ref="J53:K53"/>
    <mergeCell ref="L53:M53"/>
    <mergeCell ref="N53:O53"/>
    <mergeCell ref="P53:Q53"/>
    <mergeCell ref="R53:S53"/>
    <mergeCell ref="T53:U53"/>
    <mergeCell ref="V53:W53"/>
    <mergeCell ref="X53:Y53"/>
    <mergeCell ref="Z53:AA53"/>
    <mergeCell ref="AB53:AE53"/>
    <mergeCell ref="AF53:AG53"/>
    <mergeCell ref="AH53:AI53"/>
    <mergeCell ref="AJ53:AK53"/>
    <mergeCell ref="AL53:AM53"/>
    <mergeCell ref="AN53:AO53"/>
    <mergeCell ref="AP53:AQ53"/>
    <mergeCell ref="AR53:AS53"/>
    <mergeCell ref="AU53:BD53"/>
    <mergeCell ref="BG53:BP53"/>
    <mergeCell ref="B54:C54"/>
    <mergeCell ref="D54:E54"/>
    <mergeCell ref="F54:G54"/>
    <mergeCell ref="H54:I54"/>
    <mergeCell ref="J54:K54"/>
    <mergeCell ref="L54:M54"/>
    <mergeCell ref="N54:O54"/>
    <mergeCell ref="P54:Q54"/>
    <mergeCell ref="R54:S54"/>
    <mergeCell ref="T54:U54"/>
    <mergeCell ref="V54:W54"/>
    <mergeCell ref="X54:Y54"/>
    <mergeCell ref="Z54:AA54"/>
    <mergeCell ref="AB54:AE54"/>
    <mergeCell ref="AF54:AG54"/>
    <mergeCell ref="AH54:AI54"/>
    <mergeCell ref="AJ54:AK54"/>
    <mergeCell ref="AL54:AM54"/>
    <mergeCell ref="AN54:AO54"/>
    <mergeCell ref="AP54:AQ54"/>
    <mergeCell ref="AR54:AS54"/>
    <mergeCell ref="AU54:BD54"/>
    <mergeCell ref="BG54:BP54"/>
    <mergeCell ref="B55:C55"/>
    <mergeCell ref="D55:E55"/>
    <mergeCell ref="F55:G55"/>
    <mergeCell ref="H55:I55"/>
    <mergeCell ref="J55:K55"/>
    <mergeCell ref="L55:M55"/>
    <mergeCell ref="N55:O55"/>
    <mergeCell ref="P55:Q55"/>
    <mergeCell ref="R55:S55"/>
    <mergeCell ref="T55:U55"/>
    <mergeCell ref="V55:W55"/>
    <mergeCell ref="X55:Y55"/>
    <mergeCell ref="Z55:AA55"/>
    <mergeCell ref="AB55:AE55"/>
    <mergeCell ref="AF55:AG55"/>
    <mergeCell ref="AH55:AI55"/>
    <mergeCell ref="AJ55:AK55"/>
    <mergeCell ref="AL55:AM55"/>
    <mergeCell ref="AN55:AO55"/>
    <mergeCell ref="AP55:AQ55"/>
    <mergeCell ref="AR55:AS55"/>
    <mergeCell ref="AU55:BD55"/>
    <mergeCell ref="BG55:BP55"/>
    <mergeCell ref="B56:C56"/>
    <mergeCell ref="D56:E56"/>
    <mergeCell ref="F56:I56"/>
    <mergeCell ref="J56:K56"/>
    <mergeCell ref="L56:M56"/>
    <mergeCell ref="N56:O56"/>
    <mergeCell ref="P56:Q56"/>
    <mergeCell ref="R56:S56"/>
    <mergeCell ref="T56:U56"/>
    <mergeCell ref="V56:W56"/>
    <mergeCell ref="X56:Y56"/>
    <mergeCell ref="Z56:AA56"/>
    <mergeCell ref="AB56:AE56"/>
    <mergeCell ref="AF56:AG56"/>
    <mergeCell ref="AH56:AI56"/>
    <mergeCell ref="AJ56:AK56"/>
    <mergeCell ref="AL56:AM56"/>
    <mergeCell ref="AN56:AO56"/>
    <mergeCell ref="AP56:AQ56"/>
    <mergeCell ref="AR56:AS56"/>
    <mergeCell ref="AU56:BD56"/>
    <mergeCell ref="BG56:BP56"/>
    <mergeCell ref="B57:C57"/>
    <mergeCell ref="D57:E57"/>
    <mergeCell ref="F57:I57"/>
    <mergeCell ref="J57:K57"/>
    <mergeCell ref="L57:M57"/>
    <mergeCell ref="N57:O57"/>
    <mergeCell ref="P57:Q57"/>
    <mergeCell ref="R57:S57"/>
    <mergeCell ref="T57:U57"/>
    <mergeCell ref="V57:W57"/>
    <mergeCell ref="X57:Y57"/>
    <mergeCell ref="Z57:AA57"/>
    <mergeCell ref="AB57:AE57"/>
    <mergeCell ref="AF57:AG57"/>
    <mergeCell ref="AH57:AI57"/>
    <mergeCell ref="AJ57:AK57"/>
    <mergeCell ref="AL57:AM57"/>
    <mergeCell ref="AN57:AO57"/>
    <mergeCell ref="AP57:AQ57"/>
    <mergeCell ref="AR57:AS57"/>
    <mergeCell ref="AU57:BD57"/>
    <mergeCell ref="BG57:BP57"/>
    <mergeCell ref="B58:C58"/>
    <mergeCell ref="D58:E58"/>
    <mergeCell ref="F58:I58"/>
    <mergeCell ref="J58:K58"/>
    <mergeCell ref="L58:M58"/>
    <mergeCell ref="N58:O58"/>
    <mergeCell ref="P58:Q58"/>
    <mergeCell ref="R58:S58"/>
    <mergeCell ref="T58:U58"/>
    <mergeCell ref="V58:W58"/>
    <mergeCell ref="X58:Y58"/>
    <mergeCell ref="Z58:AA58"/>
    <mergeCell ref="AB58:AE58"/>
    <mergeCell ref="AF58:AG58"/>
    <mergeCell ref="AH58:AI58"/>
    <mergeCell ref="AJ58:AK58"/>
    <mergeCell ref="AL58:AM58"/>
    <mergeCell ref="AN58:AO58"/>
    <mergeCell ref="AP58:AQ58"/>
    <mergeCell ref="AR58:AS58"/>
    <mergeCell ref="AU58:BD58"/>
    <mergeCell ref="BG58:BP58"/>
    <mergeCell ref="B59:C59"/>
    <mergeCell ref="D59:E59"/>
    <mergeCell ref="F59:I59"/>
    <mergeCell ref="J59:K59"/>
    <mergeCell ref="L59:M59"/>
    <mergeCell ref="N59:O59"/>
    <mergeCell ref="P59:Q59"/>
    <mergeCell ref="R59:S59"/>
    <mergeCell ref="T59:U59"/>
    <mergeCell ref="V59:W59"/>
    <mergeCell ref="X59:Y59"/>
    <mergeCell ref="Z59:AA59"/>
    <mergeCell ref="AB59:AE59"/>
    <mergeCell ref="AF59:AG59"/>
    <mergeCell ref="AH59:AI59"/>
    <mergeCell ref="AJ59:AK59"/>
    <mergeCell ref="AL59:AM59"/>
    <mergeCell ref="AN59:AO59"/>
    <mergeCell ref="AP59:AQ59"/>
    <mergeCell ref="AR59:AS59"/>
    <mergeCell ref="AU59:BD59"/>
    <mergeCell ref="BG59:BP59"/>
    <mergeCell ref="B60:C60"/>
    <mergeCell ref="D60:E60"/>
    <mergeCell ref="F60:I60"/>
    <mergeCell ref="J60:K60"/>
    <mergeCell ref="L60:M60"/>
    <mergeCell ref="N60:O60"/>
    <mergeCell ref="P60:Q60"/>
    <mergeCell ref="R60:S60"/>
    <mergeCell ref="T60:U60"/>
    <mergeCell ref="V60:W60"/>
    <mergeCell ref="X60:Y60"/>
    <mergeCell ref="Z60:AA60"/>
    <mergeCell ref="AB60:AE60"/>
    <mergeCell ref="AF60:AG60"/>
    <mergeCell ref="AH60:AI60"/>
    <mergeCell ref="AJ60:AK60"/>
    <mergeCell ref="AL60:AM60"/>
    <mergeCell ref="AN60:AO60"/>
    <mergeCell ref="AP60:AQ60"/>
    <mergeCell ref="AR60:AS60"/>
    <mergeCell ref="AU60:BD60"/>
    <mergeCell ref="BG60:BP60"/>
    <mergeCell ref="B61:C61"/>
    <mergeCell ref="D61:E61"/>
    <mergeCell ref="F61:I61"/>
    <mergeCell ref="J61:K61"/>
    <mergeCell ref="L61:M61"/>
    <mergeCell ref="N61:O61"/>
    <mergeCell ref="P61:Q61"/>
    <mergeCell ref="R61:S61"/>
    <mergeCell ref="T61:U61"/>
    <mergeCell ref="V61:W61"/>
    <mergeCell ref="X61:Y61"/>
    <mergeCell ref="Z61:AA61"/>
    <mergeCell ref="AB61:AE61"/>
    <mergeCell ref="AF61:AG61"/>
    <mergeCell ref="AH61:AI61"/>
    <mergeCell ref="AJ61:AK61"/>
    <mergeCell ref="AL61:AM61"/>
    <mergeCell ref="AN61:AO61"/>
    <mergeCell ref="AP61:AQ61"/>
    <mergeCell ref="AR61:AS61"/>
    <mergeCell ref="AU61:BD61"/>
    <mergeCell ref="BG61:BP61"/>
    <mergeCell ref="B62:H62"/>
    <mergeCell ref="J62:AS62"/>
    <mergeCell ref="AU62:BD62"/>
    <mergeCell ref="BG62:BP62"/>
    <mergeCell ref="B63:AK63"/>
    <mergeCell ref="AM63:AS63"/>
    <mergeCell ref="AU63:BD63"/>
    <mergeCell ref="BG63:BP63"/>
    <mergeCell ref="B64:F64"/>
    <mergeCell ref="G64:L64"/>
    <mergeCell ref="M64:P64"/>
    <mergeCell ref="Q64:V64"/>
    <mergeCell ref="W64:Z64"/>
    <mergeCell ref="AA64:AB64"/>
    <mergeCell ref="AC64:AD64"/>
    <mergeCell ref="AE64:AF64"/>
    <mergeCell ref="AG64:AI64"/>
    <mergeCell ref="AJ64:AK64"/>
    <mergeCell ref="AU64:BD64"/>
    <mergeCell ref="BG64:BP64"/>
    <mergeCell ref="B65:F65"/>
    <mergeCell ref="G65:L65"/>
    <mergeCell ref="M65:P65"/>
    <mergeCell ref="Q65:R65"/>
    <mergeCell ref="S65:T65"/>
    <mergeCell ref="U65:V65"/>
    <mergeCell ref="W65:Z65"/>
    <mergeCell ref="AA65:AB65"/>
    <mergeCell ref="AC65:AD65"/>
    <mergeCell ref="AE65:AF65"/>
    <mergeCell ref="AG65:AI65"/>
    <mergeCell ref="AJ65:AK65"/>
    <mergeCell ref="AU65:BD65"/>
    <mergeCell ref="BG65:BP65"/>
    <mergeCell ref="B66:F66"/>
    <mergeCell ref="G66:L66"/>
    <mergeCell ref="M66:P66"/>
    <mergeCell ref="Q66:R66"/>
    <mergeCell ref="S66:T66"/>
    <mergeCell ref="U66:V66"/>
    <mergeCell ref="W66:Z66"/>
    <mergeCell ref="AA66:AB66"/>
    <mergeCell ref="AC66:AD66"/>
    <mergeCell ref="AE66:AF66"/>
    <mergeCell ref="AG66:AI66"/>
    <mergeCell ref="AJ66:AK66"/>
    <mergeCell ref="AU66:BD66"/>
    <mergeCell ref="BG66:BP66"/>
    <mergeCell ref="B67:F67"/>
    <mergeCell ref="G67:L67"/>
    <mergeCell ref="M67:P67"/>
    <mergeCell ref="Q67:R67"/>
    <mergeCell ref="S67:T67"/>
    <mergeCell ref="U67:V67"/>
    <mergeCell ref="W67:Z67"/>
    <mergeCell ref="AA67:AB67"/>
    <mergeCell ref="AC67:AD67"/>
    <mergeCell ref="AE67:AF67"/>
    <mergeCell ref="AG67:AI67"/>
    <mergeCell ref="AJ67:AK67"/>
    <mergeCell ref="AU67:AX67"/>
    <mergeCell ref="AY67:AZ67"/>
    <mergeCell ref="BB67:BC67"/>
    <mergeCell ref="BE67:BR67"/>
    <mergeCell ref="B68:F68"/>
    <mergeCell ref="G68:L68"/>
    <mergeCell ref="M68:P68"/>
    <mergeCell ref="Q68:R68"/>
    <mergeCell ref="S68:T68"/>
    <mergeCell ref="U68:V68"/>
    <mergeCell ref="W68:Z68"/>
    <mergeCell ref="AA68:AB68"/>
    <mergeCell ref="AC68:AD68"/>
    <mergeCell ref="AE68:AF68"/>
    <mergeCell ref="AG68:AI68"/>
    <mergeCell ref="AJ68:AK68"/>
    <mergeCell ref="AU68:AV68"/>
    <mergeCell ref="AY68:AZ68"/>
    <mergeCell ref="BC68:BD68"/>
    <mergeCell ref="BE68:BF68"/>
    <mergeCell ref="BG68:BK68"/>
    <mergeCell ref="BL68:BM68"/>
    <mergeCell ref="BN68:BR68"/>
    <mergeCell ref="B69:F69"/>
    <mergeCell ref="G69:L69"/>
    <mergeCell ref="M69:P69"/>
    <mergeCell ref="Q69:R69"/>
    <mergeCell ref="S69:T69"/>
    <mergeCell ref="U69:V69"/>
    <mergeCell ref="W69:Z69"/>
    <mergeCell ref="AA69:AB69"/>
    <mergeCell ref="AC69:AD69"/>
    <mergeCell ref="AE69:AF69"/>
    <mergeCell ref="AG69:AI69"/>
    <mergeCell ref="AJ69:AK69"/>
    <mergeCell ref="AR69:AS69"/>
    <mergeCell ref="AY69:AZ69"/>
    <mergeCell ref="BE69:BF69"/>
    <mergeCell ref="BG69:BK69"/>
    <mergeCell ref="BL69:BM69"/>
    <mergeCell ref="BN69:BR69"/>
    <mergeCell ref="B70:F70"/>
    <mergeCell ref="G70:L70"/>
    <mergeCell ref="M70:P70"/>
    <mergeCell ref="Q70:R70"/>
    <mergeCell ref="S70:T70"/>
    <mergeCell ref="U70:V70"/>
    <mergeCell ref="W70:Z70"/>
    <mergeCell ref="AA70:AB70"/>
    <mergeCell ref="AC70:AD70"/>
    <mergeCell ref="AE70:AF70"/>
    <mergeCell ref="AG70:AI70"/>
    <mergeCell ref="AJ70:AK70"/>
    <mergeCell ref="AR70:AS70"/>
    <mergeCell ref="AW70:AX70"/>
    <mergeCell ref="AY70:AZ70"/>
    <mergeCell ref="BA70:BB70"/>
    <mergeCell ref="BE70:BF70"/>
    <mergeCell ref="BG70:BK70"/>
    <mergeCell ref="BL70:BM70"/>
    <mergeCell ref="BN70:BR70"/>
    <mergeCell ref="AY71:AZ71"/>
    <mergeCell ref="BE71:BF71"/>
    <mergeCell ref="BG71:BK71"/>
    <mergeCell ref="BL71:BM71"/>
    <mergeCell ref="BN71:BR71"/>
    <mergeCell ref="B72:U72"/>
    <mergeCell ref="W72:AQ72"/>
    <mergeCell ref="AR72:AS72"/>
    <mergeCell ref="AU72:AV72"/>
    <mergeCell ref="BC72:BD72"/>
    <mergeCell ref="BE72:BF72"/>
    <mergeCell ref="BG72:BK72"/>
    <mergeCell ref="BL72:BM72"/>
    <mergeCell ref="BN72:BR72"/>
    <mergeCell ref="B73:E73"/>
    <mergeCell ref="F73:H73"/>
    <mergeCell ref="I73:K73"/>
    <mergeCell ref="L73:N73"/>
    <mergeCell ref="O73:R73"/>
    <mergeCell ref="S73:U73"/>
    <mergeCell ref="AR73:AS73"/>
    <mergeCell ref="AY73:AZ73"/>
    <mergeCell ref="BE73:BF73"/>
    <mergeCell ref="BG73:BK73"/>
    <mergeCell ref="BL73:BM73"/>
    <mergeCell ref="BN73:BR73"/>
    <mergeCell ref="B74:E74"/>
    <mergeCell ref="F74:H74"/>
    <mergeCell ref="I74:K74"/>
    <mergeCell ref="L74:N74"/>
    <mergeCell ref="O74:R74"/>
    <mergeCell ref="S74:U74"/>
    <mergeCell ref="AR74:AS74"/>
    <mergeCell ref="AV74:AW74"/>
    <mergeCell ref="AY74:AZ74"/>
    <mergeCell ref="BB74:BC74"/>
    <mergeCell ref="BE74:BF74"/>
    <mergeCell ref="BG74:BK74"/>
    <mergeCell ref="BL74:BM74"/>
    <mergeCell ref="BN74:BR74"/>
    <mergeCell ref="AR75:AS75"/>
    <mergeCell ref="AU75:AV75"/>
    <mergeCell ref="AY75:AZ75"/>
    <mergeCell ref="BC75:BD75"/>
    <mergeCell ref="BE75:BF75"/>
    <mergeCell ref="BG75:BK75"/>
    <mergeCell ref="BL75:BM75"/>
    <mergeCell ref="BN75:BR75"/>
    <mergeCell ref="AR76:AS76"/>
    <mergeCell ref="AU76:AV76"/>
    <mergeCell ref="BC76:BD76"/>
    <mergeCell ref="BE76:BF76"/>
    <mergeCell ref="BG76:BK76"/>
    <mergeCell ref="BL76:BM76"/>
    <mergeCell ref="BN76:BR76"/>
    <mergeCell ref="AR77:AS77"/>
    <mergeCell ref="AX77:AY77"/>
    <mergeCell ref="AZ77:BA77"/>
    <mergeCell ref="BE77:BF77"/>
    <mergeCell ref="BG77:BK77"/>
    <mergeCell ref="BL77:BM77"/>
    <mergeCell ref="BN77:BR77"/>
    <mergeCell ref="AR78:AS78"/>
    <mergeCell ref="AY78:AZ78"/>
    <mergeCell ref="BE78:BF78"/>
    <mergeCell ref="BG78:BK78"/>
    <mergeCell ref="BL78:BM78"/>
    <mergeCell ref="BN78:BR78"/>
    <mergeCell ref="AR79:AS79"/>
    <mergeCell ref="AW79:AX79"/>
    <mergeCell ref="BA79:BB79"/>
    <mergeCell ref="BE79:BF79"/>
    <mergeCell ref="BG79:BK79"/>
    <mergeCell ref="BL79:BM79"/>
    <mergeCell ref="BN79:BR79"/>
    <mergeCell ref="B80:U80"/>
    <mergeCell ref="AR80:AS80"/>
    <mergeCell ref="AV80:AW80"/>
    <mergeCell ref="BB80:BC80"/>
    <mergeCell ref="BE80:BF80"/>
    <mergeCell ref="BG80:BK80"/>
    <mergeCell ref="BL80:BM80"/>
    <mergeCell ref="BN80:BR80"/>
    <mergeCell ref="B81:E81"/>
    <mergeCell ref="F81:Q81"/>
    <mergeCell ref="R81:U81"/>
    <mergeCell ref="AR81:AS81"/>
    <mergeCell ref="AY81:AZ81"/>
    <mergeCell ref="BE81:BF81"/>
    <mergeCell ref="BG81:BK81"/>
    <mergeCell ref="BL81:BM81"/>
    <mergeCell ref="BN81:BR81"/>
    <mergeCell ref="B82:E82"/>
    <mergeCell ref="F82:Q82"/>
    <mergeCell ref="R82:U82"/>
    <mergeCell ref="AR82:AS82"/>
    <mergeCell ref="AU82:AV82"/>
    <mergeCell ref="AW82:AX82"/>
    <mergeCell ref="AY82:AZ82"/>
    <mergeCell ref="BA82:BB82"/>
    <mergeCell ref="BC82:BD82"/>
    <mergeCell ref="BE82:BF82"/>
    <mergeCell ref="BG82:BK82"/>
    <mergeCell ref="BL82:BM82"/>
    <mergeCell ref="BN82:BR82"/>
    <mergeCell ref="B83:E83"/>
    <mergeCell ref="F83:Q83"/>
    <mergeCell ref="R83:U83"/>
    <mergeCell ref="AR83:AS83"/>
    <mergeCell ref="AU83:AV83"/>
    <mergeCell ref="AW83:AX83"/>
    <mergeCell ref="AY83:AZ83"/>
    <mergeCell ref="BA83:BB83"/>
    <mergeCell ref="BC83:BD83"/>
    <mergeCell ref="BE83:BF83"/>
    <mergeCell ref="BG83:BK83"/>
    <mergeCell ref="BL83:BM83"/>
    <mergeCell ref="BN83:BR83"/>
    <mergeCell ref="B84:E84"/>
    <mergeCell ref="F84:Q84"/>
    <mergeCell ref="R84:U84"/>
    <mergeCell ref="AR84:AS84"/>
    <mergeCell ref="AU84:BR84"/>
    <mergeCell ref="B85:E85"/>
    <mergeCell ref="F85:Q85"/>
    <mergeCell ref="R85:U85"/>
    <mergeCell ref="AR85:AS85"/>
    <mergeCell ref="AU85:BA85"/>
    <mergeCell ref="BB85:BF85"/>
    <mergeCell ref="BG85:BH85"/>
    <mergeCell ref="BI85:BK85"/>
    <mergeCell ref="BL85:BR85"/>
    <mergeCell ref="B86:E86"/>
    <mergeCell ref="F86:Q86"/>
    <mergeCell ref="R86:U86"/>
    <mergeCell ref="AR86:AS86"/>
    <mergeCell ref="AU86:BA86"/>
    <mergeCell ref="BB86:BF86"/>
    <mergeCell ref="BG86:BH86"/>
    <mergeCell ref="BI86:BK86"/>
    <mergeCell ref="BL86:BR86"/>
    <mergeCell ref="B87:E87"/>
    <mergeCell ref="F87:Q87"/>
    <mergeCell ref="R87:U87"/>
    <mergeCell ref="AR87:AS87"/>
    <mergeCell ref="AU87:BA87"/>
    <mergeCell ref="BB87:BF87"/>
    <mergeCell ref="BG87:BH87"/>
    <mergeCell ref="BI87:BK87"/>
    <mergeCell ref="BL87:BR87"/>
    <mergeCell ref="B88:I88"/>
    <mergeCell ref="J88:M88"/>
    <mergeCell ref="N88:U88"/>
    <mergeCell ref="AR88:AS88"/>
    <mergeCell ref="AU88:BA88"/>
    <mergeCell ref="BB88:BF88"/>
    <mergeCell ref="BG88:BH88"/>
    <mergeCell ref="BI88:BK88"/>
    <mergeCell ref="BL88:BR88"/>
    <mergeCell ref="B89:U89"/>
    <mergeCell ref="AU89:BA89"/>
    <mergeCell ref="BB89:BF89"/>
    <mergeCell ref="BG89:BH89"/>
    <mergeCell ref="BI89:BK89"/>
    <mergeCell ref="BL89:BR89"/>
    <mergeCell ref="B90:F90"/>
    <mergeCell ref="G90:J90"/>
    <mergeCell ref="K90:L90"/>
    <mergeCell ref="M90:Q90"/>
    <mergeCell ref="R90:S90"/>
    <mergeCell ref="T90:U90"/>
    <mergeCell ref="AU90:BA90"/>
    <mergeCell ref="BB90:BF90"/>
    <mergeCell ref="BG90:BH90"/>
    <mergeCell ref="BI90:BK90"/>
    <mergeCell ref="BL90:BR90"/>
    <mergeCell ref="B91:F91"/>
    <mergeCell ref="G91:J91"/>
    <mergeCell ref="K91:L91"/>
    <mergeCell ref="M91:Q91"/>
    <mergeCell ref="R91:S91"/>
    <mergeCell ref="T91:U91"/>
    <mergeCell ref="AU91:BA91"/>
    <mergeCell ref="BB91:BF91"/>
    <mergeCell ref="BG91:BH91"/>
    <mergeCell ref="BI91:BK91"/>
    <mergeCell ref="BL91:BR91"/>
    <mergeCell ref="B92:F92"/>
    <mergeCell ref="G92:J92"/>
    <mergeCell ref="K92:L92"/>
    <mergeCell ref="M92:Q92"/>
    <mergeCell ref="R92:S92"/>
    <mergeCell ref="T92:U92"/>
    <mergeCell ref="AU92:BA92"/>
    <mergeCell ref="BB92:BF92"/>
    <mergeCell ref="BG92:BH92"/>
    <mergeCell ref="BI92:BK92"/>
    <mergeCell ref="BL92:BR92"/>
    <mergeCell ref="B93:F93"/>
    <mergeCell ref="G93:J93"/>
    <mergeCell ref="K93:L93"/>
    <mergeCell ref="M93:Q93"/>
    <mergeCell ref="R93:S93"/>
    <mergeCell ref="T93:U93"/>
    <mergeCell ref="AU93:BA93"/>
    <mergeCell ref="BB93:BF93"/>
    <mergeCell ref="BG93:BH93"/>
    <mergeCell ref="BI93:BK93"/>
    <mergeCell ref="BL93:BR93"/>
    <mergeCell ref="B94:F94"/>
    <mergeCell ref="G94:J94"/>
    <mergeCell ref="K94:L94"/>
    <mergeCell ref="M94:Q94"/>
    <mergeCell ref="R94:S94"/>
    <mergeCell ref="T94:U94"/>
    <mergeCell ref="AU94:BR94"/>
    <mergeCell ref="B95:F95"/>
    <mergeCell ref="G95:J95"/>
    <mergeCell ref="K95:L95"/>
    <mergeCell ref="M95:Q95"/>
    <mergeCell ref="R95:S95"/>
    <mergeCell ref="T95:U95"/>
    <mergeCell ref="AU95:AX95"/>
    <mergeCell ref="AY95:BF95"/>
    <mergeCell ref="BG95:BJ95"/>
    <mergeCell ref="BK95:BN95"/>
    <mergeCell ref="BO95:BR95"/>
    <mergeCell ref="B96:F96"/>
    <mergeCell ref="G96:J96"/>
    <mergeCell ref="K96:L96"/>
    <mergeCell ref="M96:Q96"/>
    <mergeCell ref="R96:S96"/>
    <mergeCell ref="T96:U96"/>
    <mergeCell ref="AU96:AX96"/>
    <mergeCell ref="AY96:BR96"/>
    <mergeCell ref="B97:F97"/>
    <mergeCell ref="G97:J97"/>
    <mergeCell ref="K97:L97"/>
    <mergeCell ref="M97:Q97"/>
    <mergeCell ref="R97:S97"/>
    <mergeCell ref="T97:U97"/>
    <mergeCell ref="B98:U98"/>
    <mergeCell ref="B99:F99"/>
    <mergeCell ref="G99:J99"/>
    <mergeCell ref="K99:U99"/>
    <mergeCell ref="B100:F100"/>
    <mergeCell ref="G100:J100"/>
    <mergeCell ref="K100:U100"/>
    <mergeCell ref="B101:F101"/>
    <mergeCell ref="G101:J101"/>
    <mergeCell ref="K101:U101"/>
    <mergeCell ref="B102:F102"/>
    <mergeCell ref="G102:J102"/>
    <mergeCell ref="K102:U102"/>
    <mergeCell ref="B103:F103"/>
    <mergeCell ref="G103:J103"/>
    <mergeCell ref="K103:U103"/>
    <mergeCell ref="B104:F104"/>
    <mergeCell ref="G104:J104"/>
    <mergeCell ref="K104:U104"/>
    <mergeCell ref="AU104:BR104"/>
    <mergeCell ref="B105:F105"/>
    <mergeCell ref="G105:J105"/>
    <mergeCell ref="K105:U105"/>
    <mergeCell ref="AU105:BB105"/>
    <mergeCell ref="BC105:BR105"/>
    <mergeCell ref="B106:F106"/>
    <mergeCell ref="G106:J106"/>
    <mergeCell ref="K106:U106"/>
    <mergeCell ref="AU106:BB106"/>
    <mergeCell ref="BC106:BR106"/>
    <mergeCell ref="B107:U107"/>
    <mergeCell ref="W107:AS107"/>
    <mergeCell ref="AU107:BB107"/>
    <mergeCell ref="BC107:BR107"/>
    <mergeCell ref="B108:I108"/>
    <mergeCell ref="J108:U108"/>
    <mergeCell ref="W108:AS108"/>
    <mergeCell ref="AU108:BB108"/>
    <mergeCell ref="BC108:BR108"/>
    <mergeCell ref="B109:I109"/>
    <mergeCell ref="J109:U109"/>
    <mergeCell ref="W109:Z109"/>
    <mergeCell ref="AA109:AJ109"/>
    <mergeCell ref="AK109:AQ109"/>
    <mergeCell ref="AR109:AS109"/>
    <mergeCell ref="AU109:BB109"/>
    <mergeCell ref="BC109:BR109"/>
    <mergeCell ref="B110:I110"/>
    <mergeCell ref="J110:U110"/>
    <mergeCell ref="W110:Z110"/>
    <mergeCell ref="AA110:AJ110"/>
    <mergeCell ref="AK110:AQ110"/>
    <mergeCell ref="AR110:AS110"/>
    <mergeCell ref="AU110:BB110"/>
    <mergeCell ref="BC110:BR110"/>
    <mergeCell ref="B111:I111"/>
    <mergeCell ref="J111:U111"/>
    <mergeCell ref="W111:Z111"/>
    <mergeCell ref="AA111:AJ111"/>
    <mergeCell ref="AK111:AQ111"/>
    <mergeCell ref="AR111:AS111"/>
    <mergeCell ref="AU111:BB111"/>
    <mergeCell ref="BC111:BR111"/>
    <mergeCell ref="B112:I112"/>
    <mergeCell ref="J112:U112"/>
    <mergeCell ref="W112:Z112"/>
    <mergeCell ref="AA112:AJ112"/>
    <mergeCell ref="AK112:AQ112"/>
    <mergeCell ref="AR112:AS112"/>
    <mergeCell ref="AU112:BB112"/>
    <mergeCell ref="BC112:BR112"/>
    <mergeCell ref="B113:I113"/>
    <mergeCell ref="J113:U113"/>
    <mergeCell ref="W113:Z113"/>
    <mergeCell ref="AA113:AJ113"/>
    <mergeCell ref="AK113:AQ113"/>
    <mergeCell ref="AR113:AS113"/>
    <mergeCell ref="AU113:BB113"/>
    <mergeCell ref="BC113:BR113"/>
    <mergeCell ref="B114:I114"/>
    <mergeCell ref="J114:U114"/>
    <mergeCell ref="W114:Z114"/>
    <mergeCell ref="AA114:AJ114"/>
    <mergeCell ref="AK114:AQ114"/>
    <mergeCell ref="AR114:AS114"/>
    <mergeCell ref="AU114:BB114"/>
    <mergeCell ref="BC114:BR114"/>
    <mergeCell ref="B115:I115"/>
    <mergeCell ref="J115:U115"/>
    <mergeCell ref="W115:Z115"/>
    <mergeCell ref="AA115:AJ115"/>
    <mergeCell ref="AK115:AQ115"/>
    <mergeCell ref="AR115:AS115"/>
    <mergeCell ref="AU115:BB115"/>
    <mergeCell ref="BC115:BR115"/>
    <mergeCell ref="B116:I116"/>
    <mergeCell ref="J116:U116"/>
    <mergeCell ref="W116:Z116"/>
    <mergeCell ref="AA116:AJ116"/>
    <mergeCell ref="AK116:AQ116"/>
    <mergeCell ref="AR116:AS116"/>
    <mergeCell ref="AU116:BB116"/>
    <mergeCell ref="BC116:BR116"/>
    <mergeCell ref="B117:I117"/>
    <mergeCell ref="J117:U117"/>
    <mergeCell ref="W117:Z117"/>
    <mergeCell ref="AA117:AJ117"/>
    <mergeCell ref="AK117:AQ117"/>
    <mergeCell ref="AR117:AS117"/>
    <mergeCell ref="AU117:BB117"/>
    <mergeCell ref="BC117:BR117"/>
    <mergeCell ref="B118:I118"/>
    <mergeCell ref="J118:U118"/>
    <mergeCell ref="W118:Z118"/>
    <mergeCell ref="AA118:AJ118"/>
    <mergeCell ref="AK118:AQ118"/>
    <mergeCell ref="AR118:AS118"/>
    <mergeCell ref="AU118:BB118"/>
    <mergeCell ref="BC118:BR118"/>
    <mergeCell ref="B119:I119"/>
    <mergeCell ref="J119:U119"/>
    <mergeCell ref="W119:Z119"/>
    <mergeCell ref="AA119:AJ119"/>
    <mergeCell ref="AK119:AQ119"/>
    <mergeCell ref="AR119:AS119"/>
    <mergeCell ref="AU119:BB119"/>
    <mergeCell ref="BC119:BR119"/>
    <mergeCell ref="B120:I120"/>
    <mergeCell ref="J120:U120"/>
    <mergeCell ref="W120:Z120"/>
    <mergeCell ref="AA120:AJ120"/>
    <mergeCell ref="AK120:AQ120"/>
    <mergeCell ref="AR120:AS120"/>
    <mergeCell ref="AU120:BB120"/>
    <mergeCell ref="BC120:BR120"/>
    <mergeCell ref="B121:I121"/>
    <mergeCell ref="J121:U121"/>
    <mergeCell ref="W121:Z121"/>
    <mergeCell ref="AA121:AJ121"/>
    <mergeCell ref="AK121:AQ121"/>
    <mergeCell ref="AR121:AS121"/>
    <mergeCell ref="AU121:BB121"/>
    <mergeCell ref="BC121:BR121"/>
    <mergeCell ref="B122:I122"/>
    <mergeCell ref="J122:U122"/>
    <mergeCell ref="W122:Z122"/>
    <mergeCell ref="AA122:AJ122"/>
    <mergeCell ref="AK122:AQ122"/>
    <mergeCell ref="AR122:AS122"/>
    <mergeCell ref="AU122:BB122"/>
    <mergeCell ref="BC122:BR122"/>
    <mergeCell ref="B123:I123"/>
    <mergeCell ref="J123:U123"/>
    <mergeCell ref="W123:Z123"/>
    <mergeCell ref="AA123:AJ123"/>
    <mergeCell ref="AK123:AQ123"/>
    <mergeCell ref="AR123:AS123"/>
    <mergeCell ref="AU123:BB123"/>
    <mergeCell ref="BC123:BR123"/>
    <mergeCell ref="B124:I124"/>
    <mergeCell ref="J124:U124"/>
    <mergeCell ref="W124:AS124"/>
    <mergeCell ref="AU124:BR124"/>
    <mergeCell ref="W125:X125"/>
    <mergeCell ref="Y125:AB125"/>
    <mergeCell ref="AC125:AG125"/>
    <mergeCell ref="AH125:AS125"/>
    <mergeCell ref="AU125:BF125"/>
    <mergeCell ref="BG125:BN125"/>
    <mergeCell ref="W126:X126"/>
    <mergeCell ref="Y126:AB126"/>
    <mergeCell ref="AC126:AG126"/>
    <mergeCell ref="AH126:AS126"/>
    <mergeCell ref="AU126:AX126"/>
    <mergeCell ref="AY126:BN126"/>
    <mergeCell ref="W127:X127"/>
    <mergeCell ref="Y127:AB127"/>
    <mergeCell ref="AC127:AG127"/>
    <mergeCell ref="AH127:AS127"/>
    <mergeCell ref="AU127:BB127"/>
    <mergeCell ref="W128:X128"/>
    <mergeCell ref="Y128:AB128"/>
    <mergeCell ref="AC128:AG128"/>
    <mergeCell ref="AH128:AS128"/>
    <mergeCell ref="AU128:BB128"/>
    <mergeCell ref="W129:X129"/>
    <mergeCell ref="Y129:AB129"/>
    <mergeCell ref="AC129:AG129"/>
    <mergeCell ref="AH129:AS129"/>
    <mergeCell ref="B130:S130"/>
    <mergeCell ref="T130:U130"/>
    <mergeCell ref="W130:X130"/>
    <mergeCell ref="Y130:AB130"/>
    <mergeCell ref="AC130:AG130"/>
    <mergeCell ref="AH130:AS130"/>
    <mergeCell ref="B131:E131"/>
    <mergeCell ref="F131:H131"/>
    <mergeCell ref="I131:L131"/>
    <mergeCell ref="M131:S131"/>
    <mergeCell ref="T131:U131"/>
    <mergeCell ref="W131:X131"/>
    <mergeCell ref="Y131:AB131"/>
    <mergeCell ref="AC131:AG131"/>
    <mergeCell ref="AH131:AS131"/>
    <mergeCell ref="B132:E132"/>
    <mergeCell ref="F132:H132"/>
    <mergeCell ref="I132:L132"/>
    <mergeCell ref="M132:S132"/>
    <mergeCell ref="T132:U132"/>
    <mergeCell ref="W132:X132"/>
    <mergeCell ref="Y132:AB132"/>
    <mergeCell ref="AC132:AG132"/>
    <mergeCell ref="AH132:AS132"/>
    <mergeCell ref="B133:E133"/>
    <mergeCell ref="F133:H133"/>
    <mergeCell ref="I133:N133"/>
    <mergeCell ref="O133:P133"/>
    <mergeCell ref="Q133:R133"/>
    <mergeCell ref="S133:U133"/>
    <mergeCell ref="W133:X133"/>
    <mergeCell ref="Y133:AB133"/>
    <mergeCell ref="AC133:AG133"/>
    <mergeCell ref="AH133:AS133"/>
    <mergeCell ref="B134:E134"/>
    <mergeCell ref="F134:H134"/>
    <mergeCell ref="I134:K134"/>
    <mergeCell ref="L134:N134"/>
    <mergeCell ref="O134:P134"/>
    <mergeCell ref="Q134:R134"/>
    <mergeCell ref="S134:U134"/>
    <mergeCell ref="W134:X134"/>
    <mergeCell ref="Y134:AB134"/>
    <mergeCell ref="AC134:AG134"/>
    <mergeCell ref="AH134:AS134"/>
    <mergeCell ref="B135:E135"/>
    <mergeCell ref="F135:H135"/>
    <mergeCell ref="I135:U135"/>
    <mergeCell ref="W135:X135"/>
    <mergeCell ref="Y135:AB135"/>
    <mergeCell ref="AC135:AG135"/>
    <mergeCell ref="AH135:AS135"/>
    <mergeCell ref="B136:E136"/>
    <mergeCell ref="F136:H136"/>
    <mergeCell ref="I136:U136"/>
    <mergeCell ref="W136:X136"/>
    <mergeCell ref="Y136:AB136"/>
    <mergeCell ref="AC136:AG136"/>
    <mergeCell ref="AH136:AS136"/>
    <mergeCell ref="B137:E137"/>
    <mergeCell ref="F137:H137"/>
    <mergeCell ref="I137:U137"/>
    <mergeCell ref="W137:X137"/>
    <mergeCell ref="Y137:AB137"/>
    <mergeCell ref="AC137:AG137"/>
    <mergeCell ref="AH137:AS137"/>
    <mergeCell ref="B138:E138"/>
    <mergeCell ref="F138:H138"/>
    <mergeCell ref="I138:U138"/>
    <mergeCell ref="W138:X138"/>
    <mergeCell ref="Y138:AB138"/>
    <mergeCell ref="AC138:AG138"/>
    <mergeCell ref="AH138:AS138"/>
    <mergeCell ref="B139:E139"/>
    <mergeCell ref="F139:H139"/>
    <mergeCell ref="I139:U139"/>
    <mergeCell ref="B140:E140"/>
    <mergeCell ref="F140:H140"/>
    <mergeCell ref="I140:U140"/>
    <mergeCell ref="W140:AS140"/>
    <mergeCell ref="B141:U141"/>
    <mergeCell ref="W141:Z141"/>
    <mergeCell ref="AA141:AC141"/>
    <mergeCell ref="AD141:AK141"/>
    <mergeCell ref="AL141:AO141"/>
    <mergeCell ref="AP141:AS141"/>
    <mergeCell ref="B142:C142"/>
    <mergeCell ref="D142:I142"/>
    <mergeCell ref="J142:U142"/>
    <mergeCell ref="W142:Z142"/>
    <mergeCell ref="AA142:AC142"/>
    <mergeCell ref="AD142:AK142"/>
    <mergeCell ref="AL142:AO142"/>
    <mergeCell ref="AP142:AS142"/>
    <mergeCell ref="W143:Z143"/>
    <mergeCell ref="AA143:AC143"/>
    <mergeCell ref="AD143:AK143"/>
    <mergeCell ref="AL143:AO143"/>
    <mergeCell ref="AP143:AS143"/>
    <mergeCell ref="W144:Z144"/>
    <mergeCell ref="AA144:AC144"/>
    <mergeCell ref="AD144:AK144"/>
    <mergeCell ref="AL144:AO144"/>
    <mergeCell ref="AP144:AS144"/>
    <mergeCell ref="B145:C145"/>
    <mergeCell ref="D145:I145"/>
    <mergeCell ref="J145:U145"/>
    <mergeCell ref="W145:Z145"/>
    <mergeCell ref="AA145:AC145"/>
    <mergeCell ref="AD145:AK145"/>
    <mergeCell ref="AL145:AO145"/>
    <mergeCell ref="AP145:AS145"/>
    <mergeCell ref="W146:Z146"/>
    <mergeCell ref="AA146:AC146"/>
    <mergeCell ref="AD146:AK146"/>
    <mergeCell ref="AL146:AO146"/>
    <mergeCell ref="AP146:AS146"/>
    <mergeCell ref="W147:Z147"/>
    <mergeCell ref="AA147:AC147"/>
    <mergeCell ref="AD147:AK147"/>
    <mergeCell ref="AL147:AO147"/>
    <mergeCell ref="AP147:AS147"/>
    <mergeCell ref="B148:C148"/>
    <mergeCell ref="D148:I148"/>
    <mergeCell ref="J148:U148"/>
    <mergeCell ref="W148:Z148"/>
    <mergeCell ref="AA148:AC148"/>
    <mergeCell ref="AD148:AK148"/>
    <mergeCell ref="AL148:AO148"/>
    <mergeCell ref="AP148:AS148"/>
    <mergeCell ref="W149:Z149"/>
    <mergeCell ref="AA149:AC149"/>
    <mergeCell ref="AD149:AK149"/>
    <mergeCell ref="AL149:AO149"/>
    <mergeCell ref="AP149:AS149"/>
    <mergeCell ref="AU149:BR149"/>
    <mergeCell ref="W150:Z150"/>
    <mergeCell ref="AA150:AC150"/>
    <mergeCell ref="AD150:AK150"/>
    <mergeCell ref="AL150:AO150"/>
    <mergeCell ref="AP150:AS150"/>
    <mergeCell ref="AU150:AZ150"/>
    <mergeCell ref="BA150:BC150"/>
    <mergeCell ref="BD150:BF150"/>
    <mergeCell ref="BG150:BR150"/>
    <mergeCell ref="B151:C151"/>
    <mergeCell ref="D151:I151"/>
    <mergeCell ref="J151:U151"/>
    <mergeCell ref="W151:Z151"/>
    <mergeCell ref="AA151:AC151"/>
    <mergeCell ref="AD151:AK151"/>
    <mergeCell ref="AL151:AO151"/>
    <mergeCell ref="AP151:AS151"/>
    <mergeCell ref="AU151:AZ151"/>
    <mergeCell ref="BA151:BC151"/>
    <mergeCell ref="BD151:BF151"/>
    <mergeCell ref="BG151:BR151"/>
    <mergeCell ref="W152:Z152"/>
    <mergeCell ref="AA152:AC152"/>
    <mergeCell ref="AD152:AK152"/>
    <mergeCell ref="AL152:AO152"/>
    <mergeCell ref="AP152:AS152"/>
    <mergeCell ref="AU152:AZ152"/>
    <mergeCell ref="BA152:BC152"/>
    <mergeCell ref="BD152:BF152"/>
    <mergeCell ref="BG152:BR152"/>
    <mergeCell ref="W153:Z153"/>
    <mergeCell ref="AA153:AC153"/>
    <mergeCell ref="AD153:AK153"/>
    <mergeCell ref="AL153:AO153"/>
    <mergeCell ref="AP153:AS153"/>
    <mergeCell ref="AU153:AZ153"/>
    <mergeCell ref="BA153:BC153"/>
    <mergeCell ref="BD153:BF153"/>
    <mergeCell ref="BG153:BR153"/>
    <mergeCell ref="B154:C154"/>
    <mergeCell ref="D154:I154"/>
    <mergeCell ref="J154:U154"/>
    <mergeCell ref="W154:Z154"/>
    <mergeCell ref="AA154:AC154"/>
    <mergeCell ref="AD154:AK154"/>
    <mergeCell ref="AL154:AO154"/>
    <mergeCell ref="AP154:AS154"/>
    <mergeCell ref="AU154:AZ154"/>
    <mergeCell ref="BA154:BC154"/>
    <mergeCell ref="BD154:BF154"/>
    <mergeCell ref="BG154:BR154"/>
    <mergeCell ref="W155:Z155"/>
    <mergeCell ref="AA155:AC155"/>
    <mergeCell ref="AD155:AK155"/>
    <mergeCell ref="AL155:AO155"/>
    <mergeCell ref="AP155:AS155"/>
    <mergeCell ref="AU155:AZ155"/>
    <mergeCell ref="BA155:BC155"/>
    <mergeCell ref="BD155:BF155"/>
    <mergeCell ref="BG155:BR155"/>
    <mergeCell ref="W156:Z156"/>
    <mergeCell ref="AA156:AC156"/>
    <mergeCell ref="AD156:AK156"/>
    <mergeCell ref="AL156:AO156"/>
    <mergeCell ref="AP156:AS156"/>
    <mergeCell ref="AU156:AZ156"/>
    <mergeCell ref="BA156:BC156"/>
    <mergeCell ref="BD156:BF156"/>
    <mergeCell ref="BG156:BR156"/>
    <mergeCell ref="AU157:AZ157"/>
    <mergeCell ref="BA157:BC157"/>
    <mergeCell ref="BD157:BF157"/>
    <mergeCell ref="BG157:BR157"/>
    <mergeCell ref="B158:U158"/>
    <mergeCell ref="W158:AS158"/>
    <mergeCell ref="AU158:AZ158"/>
    <mergeCell ref="BA158:BC158"/>
    <mergeCell ref="BD158:BF158"/>
    <mergeCell ref="BG158:BR158"/>
    <mergeCell ref="B159:E159"/>
    <mergeCell ref="F159:I159"/>
    <mergeCell ref="J159:L159"/>
    <mergeCell ref="M159:O159"/>
    <mergeCell ref="P159:R159"/>
    <mergeCell ref="S159:U159"/>
    <mergeCell ref="W159:AB159"/>
    <mergeCell ref="AC159:AF159"/>
    <mergeCell ref="AG159:AI159"/>
    <mergeCell ref="AR159:AS159"/>
    <mergeCell ref="AU159:AZ159"/>
    <mergeCell ref="BA159:BC159"/>
    <mergeCell ref="BD159:BF159"/>
    <mergeCell ref="BG159:BR159"/>
    <mergeCell ref="B160:C160"/>
    <mergeCell ref="D160:E160"/>
    <mergeCell ref="F160:G160"/>
    <mergeCell ref="H160:I160"/>
    <mergeCell ref="J160:K160"/>
    <mergeCell ref="L160:M160"/>
    <mergeCell ref="N160:O160"/>
    <mergeCell ref="P160:Q160"/>
    <mergeCell ref="R160:S160"/>
    <mergeCell ref="T160:U160"/>
    <mergeCell ref="AG160:AI160"/>
    <mergeCell ref="AJ160:AK160"/>
    <mergeCell ref="AL160:AM160"/>
    <mergeCell ref="AN160:AO160"/>
    <mergeCell ref="AP160:AQ160"/>
    <mergeCell ref="AR160:AS160"/>
    <mergeCell ref="AU160:BR160"/>
    <mergeCell ref="B161:C161"/>
    <mergeCell ref="D161:E161"/>
    <mergeCell ref="F161:G161"/>
    <mergeCell ref="H161:I161"/>
    <mergeCell ref="J161:K161"/>
    <mergeCell ref="L161:M161"/>
    <mergeCell ref="N161:O161"/>
    <mergeCell ref="P161:Q161"/>
    <mergeCell ref="R161:S161"/>
    <mergeCell ref="T161:U161"/>
    <mergeCell ref="AG161:AI161"/>
    <mergeCell ref="AJ161:AK161"/>
    <mergeCell ref="AL161:AM161"/>
    <mergeCell ref="AN161:AO161"/>
    <mergeCell ref="AP161:AQ161"/>
    <mergeCell ref="AR161:AS161"/>
    <mergeCell ref="AU161:AX161"/>
    <mergeCell ref="AY161:BR161"/>
    <mergeCell ref="D162:E162"/>
    <mergeCell ref="H162:I162"/>
    <mergeCell ref="L162:M162"/>
    <mergeCell ref="N162:O162"/>
    <mergeCell ref="P162:Q162"/>
    <mergeCell ref="R162:S162"/>
    <mergeCell ref="T162:U162"/>
    <mergeCell ref="AG162:AI162"/>
    <mergeCell ref="AJ162:AK162"/>
    <mergeCell ref="AL162:AM162"/>
    <mergeCell ref="AN162:AO162"/>
    <mergeCell ref="AP162:AQ162"/>
    <mergeCell ref="AR162:AS162"/>
    <mergeCell ref="AU162:AX162"/>
    <mergeCell ref="AY162:BR162"/>
    <mergeCell ref="D163:E163"/>
    <mergeCell ref="H163:I163"/>
    <mergeCell ref="L163:M163"/>
    <mergeCell ref="N163:O163"/>
    <mergeCell ref="P163:Q163"/>
    <mergeCell ref="R163:S163"/>
    <mergeCell ref="T163:U163"/>
    <mergeCell ref="AG163:AI163"/>
    <mergeCell ref="AJ163:AK163"/>
    <mergeCell ref="AL163:AM163"/>
    <mergeCell ref="AN163:AO163"/>
    <mergeCell ref="AP163:AQ163"/>
    <mergeCell ref="AR163:AS163"/>
    <mergeCell ref="AU163:AX163"/>
    <mergeCell ref="AY163:BR163"/>
    <mergeCell ref="B164:C164"/>
    <mergeCell ref="D164:E164"/>
    <mergeCell ref="F164:G164"/>
    <mergeCell ref="H164:K164"/>
    <mergeCell ref="L164:M164"/>
    <mergeCell ref="N164:O164"/>
    <mergeCell ref="P164:Q164"/>
    <mergeCell ref="R164:U164"/>
    <mergeCell ref="AG164:AI164"/>
    <mergeCell ref="AJ164:AK164"/>
    <mergeCell ref="AL164:AM164"/>
    <mergeCell ref="AN164:AO164"/>
    <mergeCell ref="AP164:AQ164"/>
    <mergeCell ref="AR164:AS164"/>
    <mergeCell ref="B165:C165"/>
    <mergeCell ref="D165:E165"/>
    <mergeCell ref="F165:G165"/>
    <mergeCell ref="H165:K165"/>
    <mergeCell ref="L165:M165"/>
    <mergeCell ref="N165:O165"/>
    <mergeCell ref="P165:Q165"/>
    <mergeCell ref="R165:U165"/>
    <mergeCell ref="AG165:AI165"/>
    <mergeCell ref="AJ165:AK165"/>
    <mergeCell ref="AL165:AM165"/>
    <mergeCell ref="AN165:AO165"/>
    <mergeCell ref="AP165:AQ165"/>
    <mergeCell ref="AR165:AS165"/>
    <mergeCell ref="B166:C166"/>
    <mergeCell ref="D166:E166"/>
    <mergeCell ref="F166:G166"/>
    <mergeCell ref="H166:K166"/>
    <mergeCell ref="L166:M166"/>
    <mergeCell ref="N166:O166"/>
    <mergeCell ref="P166:Q166"/>
    <mergeCell ref="R166:U166"/>
    <mergeCell ref="AG166:AI166"/>
    <mergeCell ref="AJ166:AK166"/>
    <mergeCell ref="AL166:AM166"/>
    <mergeCell ref="AN166:AO166"/>
    <mergeCell ref="AP166:AQ166"/>
    <mergeCell ref="AR166:AS166"/>
    <mergeCell ref="B167:C167"/>
    <mergeCell ref="D167:E167"/>
    <mergeCell ref="F167:G167"/>
    <mergeCell ref="H167:K167"/>
    <mergeCell ref="L167:M167"/>
    <mergeCell ref="N167:O167"/>
    <mergeCell ref="P167:Q167"/>
    <mergeCell ref="R167:U167"/>
    <mergeCell ref="AG167:AI167"/>
    <mergeCell ref="AJ167:AK167"/>
    <mergeCell ref="AL167:AM167"/>
    <mergeCell ref="AN167:AO167"/>
    <mergeCell ref="AP167:AQ167"/>
    <mergeCell ref="AR167:AS167"/>
    <mergeCell ref="B168:K168"/>
    <mergeCell ref="L168:U168"/>
    <mergeCell ref="B169:U169"/>
    <mergeCell ref="W169:AS169"/>
    <mergeCell ref="B170:G170"/>
    <mergeCell ref="H170:K170"/>
    <mergeCell ref="L170:U170"/>
    <mergeCell ref="B171:G171"/>
    <mergeCell ref="H171:K171"/>
    <mergeCell ref="L171:U171"/>
    <mergeCell ref="B172:G172"/>
    <mergeCell ref="H172:K172"/>
    <mergeCell ref="L172:U172"/>
    <mergeCell ref="W172:AC172"/>
    <mergeCell ref="B173:G173"/>
    <mergeCell ref="H173:K173"/>
    <mergeCell ref="L173:U173"/>
    <mergeCell ref="W173:AC173"/>
    <mergeCell ref="B174:G174"/>
    <mergeCell ref="H174:K174"/>
    <mergeCell ref="L174:U174"/>
    <mergeCell ref="W174:AC174"/>
    <mergeCell ref="B175:G175"/>
    <mergeCell ref="H175:K175"/>
    <mergeCell ref="L175:U175"/>
    <mergeCell ref="W175:AC175"/>
    <mergeCell ref="B176:G176"/>
    <mergeCell ref="H176:K176"/>
    <mergeCell ref="L176:U176"/>
    <mergeCell ref="W176:AC176"/>
    <mergeCell ref="B177:G177"/>
    <mergeCell ref="H177:K177"/>
    <mergeCell ref="L177:U177"/>
    <mergeCell ref="W177:AC177"/>
    <mergeCell ref="B178:G178"/>
    <mergeCell ref="H178:K178"/>
    <mergeCell ref="L178:U178"/>
    <mergeCell ref="W178:AC178"/>
    <mergeCell ref="B179:G179"/>
    <mergeCell ref="H179:K179"/>
    <mergeCell ref="L179:U179"/>
    <mergeCell ref="W179:AC179"/>
    <mergeCell ref="AX72:AX73"/>
    <mergeCell ref="BA72:BA73"/>
    <mergeCell ref="BE51:BE52"/>
    <mergeCell ref="BF51:BF52"/>
    <mergeCell ref="BQ51:BQ52"/>
    <mergeCell ref="BR51:BR52"/>
    <mergeCell ref="AA77:AQ78"/>
    <mergeCell ref="B75:K79"/>
    <mergeCell ref="L75:U79"/>
    <mergeCell ref="BX9:BY10"/>
    <mergeCell ref="AD178:AS179"/>
    <mergeCell ref="AA83:AQ84"/>
    <mergeCell ref="W79:Z80"/>
    <mergeCell ref="AU5:BB6"/>
    <mergeCell ref="BC5:BJ6"/>
    <mergeCell ref="BK5:BR6"/>
    <mergeCell ref="AU3:BB4"/>
    <mergeCell ref="BC3:BJ4"/>
    <mergeCell ref="BK3:BR4"/>
    <mergeCell ref="B10:D11"/>
    <mergeCell ref="K10:M11"/>
    <mergeCell ref="T10:V11"/>
    <mergeCell ref="AC10:AE11"/>
    <mergeCell ref="AF10:AH11"/>
    <mergeCell ref="S5:T6"/>
    <mergeCell ref="U5:V6"/>
    <mergeCell ref="Y5:Z6"/>
    <mergeCell ref="AA5:AB6"/>
    <mergeCell ref="AE5:AF6"/>
    <mergeCell ref="AG5:AH6"/>
    <mergeCell ref="N10:O11"/>
    <mergeCell ref="P10:Q11"/>
    <mergeCell ref="AN10:AO11"/>
    <mergeCell ref="B181:M183"/>
    <mergeCell ref="AA79:AQ80"/>
    <mergeCell ref="AD174:AS175"/>
    <mergeCell ref="AD172:AS173"/>
    <mergeCell ref="W73:Z74"/>
    <mergeCell ref="S7:T8"/>
    <mergeCell ref="U7:V8"/>
    <mergeCell ref="Y7:Z8"/>
    <mergeCell ref="AA7:AB8"/>
    <mergeCell ref="AE7:AF8"/>
    <mergeCell ref="AG7:AH8"/>
    <mergeCell ref="W162:AB163"/>
    <mergeCell ref="B162:C163"/>
    <mergeCell ref="F162:G163"/>
    <mergeCell ref="J162:K163"/>
    <mergeCell ref="AC164:AF165"/>
    <mergeCell ref="AC162:AF163"/>
    <mergeCell ref="W164:AB165"/>
    <mergeCell ref="W89:AS106"/>
    <mergeCell ref="AU99:AX103"/>
    <mergeCell ref="AU7:BB8"/>
    <mergeCell ref="BC7:BJ8"/>
    <mergeCell ref="BK7:BR8"/>
    <mergeCell ref="BG51:BP52"/>
    <mergeCell ref="B149:U150"/>
    <mergeCell ref="B152:U153"/>
    <mergeCell ref="B155:U156"/>
    <mergeCell ref="AK10:AM11"/>
    <mergeCell ref="AA85:AQ86"/>
    <mergeCell ref="AU129:AX134"/>
    <mergeCell ref="AA75:AQ76"/>
    <mergeCell ref="AA73:AQ74"/>
    <mergeCell ref="W75:Z76"/>
    <mergeCell ref="AM67:AO68"/>
    <mergeCell ref="E10:F11"/>
    <mergeCell ref="G10:H11"/>
    <mergeCell ref="W10:X11"/>
    <mergeCell ref="Y10:Z11"/>
    <mergeCell ref="AM64:AO66"/>
    <mergeCell ref="AP67:AS68"/>
    <mergeCell ref="AC160:AF161"/>
    <mergeCell ref="AU164:AX179"/>
    <mergeCell ref="S3:T4"/>
    <mergeCell ref="U3:V4"/>
    <mergeCell ref="Y3:Z4"/>
    <mergeCell ref="AA3:AB4"/>
    <mergeCell ref="AE3:AF4"/>
    <mergeCell ref="AG3:AH4"/>
    <mergeCell ref="AC166:AF167"/>
    <mergeCell ref="AD170:AS171"/>
    <mergeCell ref="W166:AB167"/>
    <mergeCell ref="W170:AC171"/>
    <mergeCell ref="AL3:AS8"/>
    <mergeCell ref="W160:AB161"/>
    <mergeCell ref="BK28:BN34"/>
    <mergeCell ref="BO28:BR34"/>
    <mergeCell ref="W81:Z82"/>
    <mergeCell ref="W83:Z84"/>
    <mergeCell ref="AA81:AQ82"/>
    <mergeCell ref="W85:Z86"/>
    <mergeCell ref="AM69:AO70"/>
    <mergeCell ref="AY164:BR179"/>
    <mergeCell ref="AD176:AS177"/>
    <mergeCell ref="W77:Z78"/>
    <mergeCell ref="AP69:AQ70"/>
    <mergeCell ref="BO125:BR128"/>
    <mergeCell ref="AY39:BR43"/>
    <mergeCell ref="AP64:AS66"/>
    <mergeCell ref="AU51:BD52"/>
    <mergeCell ref="W87:Z88"/>
    <mergeCell ref="AA87:AQ88"/>
    <mergeCell ref="AY97:BR98"/>
    <mergeCell ref="AY129:BR134"/>
    <mergeCell ref="AU135:BR147"/>
    <mergeCell ref="BC127:BN128"/>
    <mergeCell ref="AU39:AX43"/>
    <mergeCell ref="AU19:AZ21"/>
    <mergeCell ref="BC30:BJ37"/>
    <mergeCell ref="B125:E128"/>
    <mergeCell ref="F125:I128"/>
    <mergeCell ref="AY99:BR103"/>
    <mergeCell ref="J125:U128"/>
    <mergeCell ref="AU97:AX98"/>
    <mergeCell ref="B146:U147"/>
    <mergeCell ref="B143:U144"/>
  </mergeCells>
  <conditionalFormatting sqref="AU22">
    <cfRule type="cellIs" dxfId="0" priority="212" operator="greaterThan">
      <formula>0</formula>
    </cfRule>
    <cfRule type="cellIs" dxfId="1" priority="211" operator="equal">
      <formula>"过多！"</formula>
    </cfRule>
    <cfRule type="cellIs" dxfId="2" priority="210" operator="equal">
      <formula>"无"</formula>
    </cfRule>
  </conditionalFormatting>
  <conditionalFormatting sqref="AB48:AE48">
    <cfRule type="containsText" dxfId="3" priority="44" operator="between" text="自定义">
      <formula>NOT(ISERROR(SEARCH("自定义",AB48)))</formula>
    </cfRule>
  </conditionalFormatting>
  <conditionalFormatting sqref="F57:I57">
    <cfRule type="containsText" dxfId="3" priority="8" operator="between" text="自定义">
      <formula>NOT(ISERROR(SEARCH("自定义",F57)))</formula>
    </cfRule>
  </conditionalFormatting>
  <conditionalFormatting sqref="AB57:AE57">
    <cfRule type="containsText" dxfId="3" priority="9" operator="between" text="自定义">
      <formula>NOT(ISERROR(SEARCH("自定义",AB57)))</formula>
    </cfRule>
  </conditionalFormatting>
  <conditionalFormatting sqref="F58:I58">
    <cfRule type="containsText" dxfId="3" priority="20" operator="between" text="自定义">
      <formula>NOT(ISERROR(SEARCH("自定义",F58)))</formula>
    </cfRule>
  </conditionalFormatting>
  <conditionalFormatting sqref="AB58:AE58">
    <cfRule type="containsText" dxfId="3" priority="21" operator="between" text="自定义">
      <formula>NOT(ISERROR(SEARCH("自定义",AB58)))</formula>
    </cfRule>
  </conditionalFormatting>
  <conditionalFormatting sqref="F59:I59">
    <cfRule type="containsText" dxfId="3" priority="32" operator="between" text="自定义">
      <formula>NOT(ISERROR(SEARCH("自定义",F59)))</formula>
    </cfRule>
  </conditionalFormatting>
  <conditionalFormatting sqref="AB59:AE59">
    <cfRule type="containsText" dxfId="3" priority="33" operator="between" text="自定义">
      <formula>NOT(ISERROR(SEARCH("自定义",AB59)))</formula>
    </cfRule>
  </conditionalFormatting>
  <conditionalFormatting sqref="F60:I60">
    <cfRule type="containsText" dxfId="3" priority="45" operator="between" text="自定义">
      <formula>NOT(ISERROR(SEARCH("自定义",F60)))</formula>
    </cfRule>
  </conditionalFormatting>
  <conditionalFormatting sqref="F61:I61">
    <cfRule type="containsText" dxfId="3" priority="47" operator="between" text="自定义">
      <formula>NOT(ISERROR(SEARCH("自定义",F61)))</formula>
    </cfRule>
  </conditionalFormatting>
  <conditionalFormatting sqref="AY67:AZ67">
    <cfRule type="cellIs" dxfId="4" priority="71" operator="greaterThan">
      <formula>$BB$67</formula>
    </cfRule>
    <cfRule type="cellIs" dxfId="5" priority="70" operator="greaterThan">
      <formula>$BB$67</formula>
    </cfRule>
  </conditionalFormatting>
  <conditionalFormatting sqref="AR74:AS74">
    <cfRule type="containsText" dxfId="6" priority="93" operator="between" text="已腐化">
      <formula>NOT(ISERROR(SEARCH("已腐化",AR74)))</formula>
    </cfRule>
  </conditionalFormatting>
  <conditionalFormatting sqref="AR76:AS76">
    <cfRule type="containsText" dxfId="6" priority="85" operator="between" text="已腐化">
      <formula>NOT(ISERROR(SEARCH("已腐化",AR76)))</formula>
    </cfRule>
  </conditionalFormatting>
  <conditionalFormatting sqref="AR78:AS78">
    <cfRule type="containsText" dxfId="6" priority="84" operator="between" text="已腐化">
      <formula>NOT(ISERROR(SEARCH("已腐化",AR78)))</formula>
    </cfRule>
  </conditionalFormatting>
  <conditionalFormatting sqref="AR80:AS80">
    <cfRule type="containsText" dxfId="6" priority="83" operator="between" text="已腐化">
      <formula>NOT(ISERROR(SEARCH("已腐化",AR80)))</formula>
    </cfRule>
  </conditionalFormatting>
  <conditionalFormatting sqref="AR82:AS82">
    <cfRule type="containsText" dxfId="6" priority="82" operator="between" text="已腐化">
      <formula>NOT(ISERROR(SEARCH("已腐化",AR82)))</formula>
    </cfRule>
  </conditionalFormatting>
  <conditionalFormatting sqref="AR84:AS84">
    <cfRule type="containsText" dxfId="6" priority="79" operator="between" text="已腐化">
      <formula>NOT(ISERROR(SEARCH("已腐化",AR84)))</formula>
    </cfRule>
  </conditionalFormatting>
  <conditionalFormatting sqref="AR86:AS86">
    <cfRule type="containsText" dxfId="6" priority="81" operator="between" text="已腐化">
      <formula>NOT(ISERROR(SEARCH("已腐化",AR86)))</formula>
    </cfRule>
  </conditionalFormatting>
  <conditionalFormatting sqref="AR88:AS88">
    <cfRule type="containsText" dxfId="6" priority="80" operator="between" text="已腐化">
      <formula>NOT(ISERROR(SEARCH("已腐化",AR88)))</formula>
    </cfRule>
  </conditionalFormatting>
  <conditionalFormatting sqref="D16:D26">
    <cfRule type="cellIs" dxfId="7" priority="239" operator="equal">
      <formula>"※"</formula>
    </cfRule>
    <cfRule type="cellIs" dxfId="8" priority="242" operator="equal">
      <formula>"★"</formula>
    </cfRule>
    <cfRule type="cellIs" dxfId="9" priority="238" operator="equal">
      <formula>"×"</formula>
    </cfRule>
    <cfRule type="cellIs" dxfId="10" priority="240" operator="equal">
      <formula>"⊙"</formula>
    </cfRule>
    <cfRule type="cellIs" dxfId="11" priority="241" operator="equal">
      <formula>"☆"</formula>
    </cfRule>
  </conditionalFormatting>
  <conditionalFormatting sqref="D27:D61">
    <cfRule type="cellIs" dxfId="9" priority="1" operator="equal">
      <formula>"×"</formula>
    </cfRule>
    <cfRule type="cellIs" dxfId="11" priority="4" operator="equal">
      <formula>"☆"</formula>
    </cfRule>
    <cfRule type="cellIs" dxfId="8" priority="5" operator="equal">
      <formula>"★"</formula>
    </cfRule>
    <cfRule type="cellIs" dxfId="7" priority="2" operator="equal">
      <formula>"※"</formula>
    </cfRule>
    <cfRule type="cellIs" dxfId="10" priority="3" operator="equal">
      <formula>"⊙"</formula>
    </cfRule>
  </conditionalFormatting>
  <conditionalFormatting sqref="Z16:Z61">
    <cfRule type="cellIs" dxfId="9" priority="223" operator="equal">
      <formula>"×"</formula>
    </cfRule>
    <cfRule type="cellIs" dxfId="11" priority="226" operator="equal">
      <formula>"☆"</formula>
    </cfRule>
    <cfRule type="cellIs" dxfId="7" priority="224" operator="equal">
      <formula>"※"</formula>
    </cfRule>
    <cfRule type="cellIs" dxfId="8" priority="227" operator="equal">
      <formula>"★"</formula>
    </cfRule>
    <cfRule type="cellIs" dxfId="10" priority="225" operator="equal">
      <formula>"⊙"</formula>
    </cfRule>
  </conditionalFormatting>
  <conditionalFormatting sqref="E10:F11">
    <cfRule type="cellIs" dxfId="5" priority="69" operator="equal">
      <formula>0</formula>
    </cfRule>
  </conditionalFormatting>
  <conditionalFormatting sqref="N10:O11">
    <cfRule type="cellIs" dxfId="5" priority="68" operator="equal">
      <formula>0</formula>
    </cfRule>
  </conditionalFormatting>
  <conditionalFormatting sqref="W10:X11">
    <cfRule type="cellIs" dxfId="5" priority="67" operator="equal">
      <formula>0</formula>
    </cfRule>
  </conditionalFormatting>
  <conditionalFormatting sqref="AJ19:AK19 R16:S61 AN16:AO61">
    <cfRule type="dataBar" priority="32767">
      <dataBar>
        <cfvo type="min"/>
        <cfvo type="max"/>
        <color indexed="65"/>
      </dataBar>
      <extLst>
        <ext xmlns:x14="http://schemas.microsoft.com/office/spreadsheetml/2009/9/main" uri="{B025F937-C7B1-47D3-B67F-A62EFF666E3E}">
          <x14:id>{721cef5b-2243-49ee-9fc2-b72620f5c790}</x14:id>
        </ext>
      </extLst>
    </cfRule>
    <cfRule type="dataBar" priority="7">
      <dataBar>
        <cfvo type="min"/>
        <cfvo type="max"/>
        <color rgb="FF638EC6"/>
      </dataBar>
      <extLst>
        <ext xmlns:x14="http://schemas.microsoft.com/office/spreadsheetml/2009/9/main" uri="{B025F937-C7B1-47D3-B67F-A62EFF666E3E}">
          <x14:id>{a1b88dcd-bcfd-45f7-a266-f57b8155ae47}</x14:id>
        </ext>
      </extLst>
    </cfRule>
    <cfRule type="dataBar" priority="32773">
      <dataBar>
        <cfvo type="min"/>
        <cfvo type="max"/>
        <color rgb="FF000000"/>
      </dataBar>
      <extLst>
        <ext xmlns:x14="http://schemas.microsoft.com/office/spreadsheetml/2009/9/main" uri="{B025F937-C7B1-47D3-B67F-A62EFF666E3E}">
          <x14:id>{fdd8f28c-0033-422e-9b98-4dfc97a3245a}</x14:id>
        </ext>
      </extLst>
    </cfRule>
  </conditionalFormatting>
  <conditionalFormatting sqref="AB60:AE61">
    <cfRule type="containsText" dxfId="3" priority="46" operator="between" text="自定义">
      <formula>NOT(ISERROR(SEARCH("自定义",AB60)))</formula>
    </cfRule>
  </conditionalFormatting>
  <conditionalFormatting sqref="AU68:BD68 AU69:BR72 AU73:AW73 AY73:AZ73 BB73:BR73 AU74:BR80 AU81:AY81 BA81:BR81 AU82:BR83">
    <cfRule type="duplicateValues" dxfId="12" priority="6"/>
  </conditionalFormatting>
  <dataValidations count="137">
    <dataValidation allowBlank="1" showInputMessage="1" showErrorMessage="1" sqref="AC2:AF2 J8 L8 N8 Q8 AG12 AU25 BC25 BK25 B27 AU27 BC27 AU29 AU31 AU33"/>
    <dataValidation type="list" allowBlank="1" showInputMessage="1" showErrorMessage="1" sqref="M4:N4">
      <formula1>"1920s,现代,其他"</formula1>
    </dataValidation>
    <dataValidation type="list" allowBlank="1" showInputMessage="1" showErrorMessage="1" sqref="M5:Q5">
      <formula1>职业列表!$A2:$A370</formula1>
    </dataValidation>
    <dataValidation type="whole" operator="between" allowBlank="1" showInputMessage="1" showErrorMessage="1" errorTitle="提示" error="人类年龄最高记录为122岁&#10;&#10;请输入整数" promptTitle="一般来说，年龄应在15-90之间" prompt="15-19:STR,SIZ共-5，EDU-5,幸运骰2选高&#10;20-39:EDU进步检定*1&#10;40+:进步检定*2,STR CON DEX中共-5 APP-5&#10;50+:进步检定*3, S C D中共-10 APP-10&#10;60+:进步检定*4, S C D中共-20 APP-15&#10;70+:进步检定*4, S C D中共-40 APP-20&#10;80+:进步检定*4, S C D中共-80 APP-25" sqref="E6:I6" errorStyle="warning">
      <formula1>1</formula1>
      <formula2>120</formula2>
    </dataValidation>
    <dataValidation type="list" allowBlank="1" showInputMessage="1" showErrorMessage="1" sqref="E8">
      <formula1>"公元,公元前"</formula1>
    </dataValidation>
    <dataValidation type="whole" operator="between" allowBlank="1" showInputMessage="1" showErrorMessage="1" sqref="G8:I8">
      <formula1>1</formula1>
      <formula2>9999</formula2>
    </dataValidation>
    <dataValidation type="list" allowBlank="1" showInputMessage="1" showErrorMessage="1" sqref="CH8">
      <formula1>"未启用,启用"</formula1>
    </dataValidation>
    <dataValidation allowBlank="1" showInputMessage="1" showErrorMessage="1" promptTitle="提示" prompt="MP是每小时恢复一次的&#10;人类一般来说都会一小时恢复1点&#10;但是有极少数人可以达到一小时恢复2点" sqref="AA10"/>
    <dataValidation allowBlank="1" showErrorMessage="1" sqref="AI10 H49 L73 N73:O73 R73:S73 B80:K80"/>
    <dataValidation type="list" allowBlank="1" showInputMessage="1" showErrorMessage="1" sqref="I11:J11">
      <formula1>附表!$R$17:$R$21</formula1>
    </dataValidation>
    <dataValidation type="list" allowBlank="1" showInputMessage="1" showErrorMessage="1" sqref="R11:S11">
      <formula1>"清醒,临时性疯狂,不定性疯狂,永久疯狂"</formula1>
    </dataValidation>
    <dataValidation type="list" allowBlank="1" showInputMessage="1" showErrorMessage="1" sqref="AA11:AB11">
      <formula1>"1,2,3,4,5,6,7,8,9,10"</formula1>
    </dataValidation>
    <dataValidation allowBlank="1" showInputMessage="1" showErrorMessage="1" promptTitle="提示" prompt="你可以在下方“法术一览”内输入法术并且在这里输入成功使用过的法术的编号" sqref="U12"/>
    <dataValidation type="list" allowBlank="1" showInputMessage="1" showErrorMessage="1" sqref="AE12">
      <formula1>"步式,轮式,履带,滑行,飞行,游泳,潜水,其他"</formula1>
    </dataValidation>
    <dataValidation type="list" allowBlank="1" showInputMessage="1" showErrorMessage="1" sqref="AI12">
      <formula1>"开,关"</formula1>
    </dataValidation>
    <dataValidation type="list" allowBlank="1" showInputMessage="1" showErrorMessage="1" sqref="AN12">
      <formula1>'防具表 载具表'!$B$2:$B$82</formula1>
    </dataValidation>
    <dataValidation allowBlank="1" showInputMessage="1" showErrorMessage="1" promptTitle="Accounting (05%)" prompt="- 使你理解会计工作的流程以及一个企业或者个人的金融职务。&#10;- 通过检查账簿，你可以发现做假账的员工，对资金的偷偷挪用，对行贿或者敲诈的款项支付，以及经济状况是否比表面陈述的更好或者更差。&#10;- 通过仔细检查旧账户，你可以了解过去的资金的得与失（谷物，奴隶贸易，威士忌酒的运营等）以及这些资金是付给了谁以及为了什么款项而支付。" sqref="F16:H16"/>
    <dataValidation allowBlank="1" showInputMessage="1" showErrorMessage="1" promptTitle="Law (05%)" prompt="- 代表你对相关法律、早期事件、法庭辩术或者法院程序了解的可能性。&#10;- 一个在法律实务上的专家可能会获得巨大的奖励以及政治事务所，但是这可能需要长达几年的认真申请——一个较高的信用评级在这关系&#10;上也十分重要。&#10;- 在美国，一个州的州法庭（State Bar）必须批准某人的法律实务。&#10;当到一个外国国家时，使用这项技能的难度等级可能会上升，除非这名角色花费数月的时间来学习这个国家的法律系统。" sqref="AB16:AC16"/>
    <dataValidation allowBlank="1" showInputMessage="1" showErrorMessage="1" promptTitle="Anthropology (01%)" prompt="- 使使用者能够通过观察来辨认和理解一个人的生活方式。&#10;- 如果技能使用者持续观察一个其他的文化一段时间，或者在有着关于某种已消失文化的正确资料环境下工作，那么他可以对文化方式以及道德习惯进行简单的预测，即使证据可能并不完整。&#10;- 通过学习文化一个月或者更久，人类学家开始理解这种文化是如何运作的以及，如果结合心理学，可以预测那些研究文化的行为和信仰。" sqref="F17:H17"/>
    <dataValidation allowBlank="1" showInputMessage="1" showErrorMessage="1" promptTitle="Library Use (20%)" prompt="- 图书馆使用使一名调查员能在图书馆找到一些信息，例如特定的一本书，新闻或者参考书，搜集文件或者资料库，假设需要的东西确实在那里的话。&#10;- 使用这个技能需要数小时的连续的调查。&#10;- 这项技能可以定位寻找一件隐藏的案例或者一本特殊收藏的稀有书籍，但是说服，话术，魅惑，恐吓，信用评级，或者特殊的证明书可能会需要来获得阅读这书或者信息的许可。" sqref="AB17:AC17"/>
    <dataValidation allowBlank="1" showInputMessage="1" showErrorMessage="1" promptTitle="Appraise (05%)" prompt="- 用来估计某种物品的价值，包括质量，使用的材料以及工艺。&#10;- 相关的，技能使用者可以准确地辨认出物品的年龄，评估它的历史关联性以及发现赝品。" sqref="F18:H18"/>
    <dataValidation allowBlank="1" showInputMessage="1" showErrorMessage="1" promptTitle="Listen (20%)" prompt="- 衡量一名调查员理解声音的能力，包括偶然听到&#10;的对话，一扇关着的门后的轻声嘀咕，以及咖啡厅里的私语。&#10;- KP 可以用这来决定一场即将发生的遭遇的形式：是你的调查员因被踩碎的树枝的声音而警觉到了到来的遭遇？&#10;- 甚至此外，一个较高的聆听技能可以指一名角色有着较高的警觉能力。" sqref="AB18:AC18"/>
    <dataValidation allowBlank="1" showInputMessage="1" showErrorMessage="1" promptTitle="Archaeology (01%)" prompt="- 允许从过去的文化中鉴定一件古董的年代以及辨别它，以及可以用来发现赝品。&#10;- 使获得建立以及开掘一个挖掘遗址的专业知识。&#10;通过对遗址的勘察，使用者可以推断留下这遗址的生物的目的和生活方式。&#10;- 人类学可能对此会有所帮助。&#10;- 考古学还有助于辨认已消失的人类语言的书面形式。" sqref="F19:H19"/>
    <dataValidation allowBlank="1" showInputMessage="1" showErrorMessage="1" promptTitle="Locksmith (01%)" prompt="- 锁匠技能可以打开车门，热线自动装置，用铁撬撬开图书馆的窗子，解决中国机关箱（比如鲁班锁），以及穿过常规的商用警报系统。&#10;- 使用者可能会修复锁，制作钥匙，或者在万能钥匙，开锁工具或者其他工具的帮助下打开锁。&#10;- 特别困难的锁可能会需要一个更高的难度等级。" sqref="AB19:AC19"/>
    <dataValidation allowBlank="1" showInputMessage="1" showErrorMessage="1" promptTitle="Art and Craft (05%)" prompt="- 许多这些例子都是与专业直接相联系的技能，但是这些技能可能只是休闲嗜好。你可以花费技能在任意专业化技能上。&#10;- 不可以加点在作为类属的“艺术与手艺”上。&#10;- 这项技能可能能使你制作或者修理一样东西—通常需要工具和时间，由 KP 来决定，如果必要的话。&#10;- 在适用成功程度分度的情况下，一个更高等级的成功表示这件物品有着高品质以及/或精致度高。&#10;（请点击下一个技艺）" sqref="F20:G20"/>
    <dataValidation allowBlank="1" showInputMessage="1" showErrorMessage="1" promptTitle="Mechanical Repair (10%)" prompt="- 这项技能允许调查员修理一个破损的机器或者制&#10;造一个新的。&#10;- 基础的木工手艺和管道项目也可以执行，制作物品也同样可以（例如一组滑轮系统）以及维修物品（例如蒸汽泵）。&#10;- 在使用技能中可能会需要特殊的工具或者部件。&#10;- 这项技能可以用来打开普通的家庭锁，但是更加专业的就不能了——见锁匠技能来打开更加复杂的锁。&#10;- 机械维修是一个与电气维修相伴随的技能，并且两者都可能需要来为了修理一个复杂的设备，例如汽车或者飞行器。" sqref="AB20:AC20"/>
    <dataValidation allowBlank="1" showInputMessage="1" showErrorMessage="1" promptTitle="Art and Craft (05%)" prompt="- 一个艺术或者手艺技能可能可以用于制作一个复&#10;制品或者赝品。在这情况下，难度等级将取决于需要复制的原品的复杂程度以及独特性。&#10;- 在伪造文件的场合下，将使用一个专门的专业化技能（伪造）。&#10;- 一个成功的检定可能可以提供一个物品的相关信&#10;息，例如这个物品在何时以及哪里被制造，与之相关的一些历史或者技艺，或者谁可能制作了它。拥有这个技能的专家将会在某个专门的领域里有着广泛的知识—对于物品本身，它的历史以及当代从事相关行业的人的知识，以及去实践知识的能力。" sqref="F21"/>
    <dataValidation allowBlank="1" showInputMessage="1" showErrorMessage="1" promptTitle="Medicine (01%)" prompt="- 使用者可以诊断并治疗事故，创伤，疾病，毒药&#10;等，并且可以提供公共健康建议。&#10;- 如果一个时代还并没有好的治疗某种疾病的疗法，那么这项技能的效果是有限的，不确定的，或者无效的。&#10;- 医学技能能给予大范围的对于药片以及药剂，是自然还是人造的知识，以及对副作用以及禁忌症状的理解。&#10;- 用医学技能来进行治疗最少要花费 1 小时时间，并且可以在造成了伤害后的任何时间进行处理，但是如果这并没有在同一天内进行处理，难度等级将会上升（需要一个困难难度的成功）。" sqref="AB21:AC21"/>
    <dataValidation allowBlank="1" showInputMessage="1" showErrorMessage="1" promptTitle="传统手工艺或艺术品(Shukogei)5% " prompt="一个艺术或手工艺的目标是制造出一件充满了简素、内敛、与高度精雕细琢的美的传统朴素作品。75%+的作品是一种特殊艺术的完美范例，也是映照出作者内心深处的独特镜子。&#10;传统家族掌握着日本传统艺术和手工艺的培训机构。&#10;这意味着为了正确的学习某种手工艺，必须找到一名专家或者老师。&#10;靠兴趣自我训练是根本做不到的。&#10;65%时，老师将会教授制作的秘密技巧&#10;80%以上，获得免许皆传，&#10;可以教授别人或者挑战更高的水平。" sqref="F22:G22"/>
    <dataValidation type="list" allowBlank="1" showInputMessage="1" showErrorMessage="1" sqref="H22:I22">
      <formula1>附表!$U$252:$U$274</formula1>
    </dataValidation>
    <dataValidation allowBlank="1" showInputMessage="1" showErrorMessage="1" promptTitle="Natural World (10%) 也译作“自然学”" prompt="- 起初指对于在自然环境中的植物以及动物生命的研究。&#10;- 直到 19 世纪，这门学科被分开到一系列的学术学科（生物学，植物学，等等）。&#10;- 作为一个技能，博物学达标了传统的（非科学的）知识以及农民，渔民，优秀的业余者，以及单纯的爱好者的个人观察。&#10;- 它可以一般地对物种，栖息地进行辨认，并且可以辨认踪迹、足迹以及叫声，也可以允许对什么事物可能对某种特定物种来说很重要进行猜测。&#10;- 如果要一个对自然世界的科学性的理解，那么应当去看生物学，植物学以及动物学技能。" sqref="AB22:AC22"/>
    <dataValidation type="list" allowBlank="1" showInputMessage="1" showErrorMessage="1" sqref="AU22">
      <formula1>"提示当前职业,停用提示(用于更改职业的角色)"</formula1>
    </dataValidation>
    <dataValidation allowBlank="1" showInputMessage="1" showErrorMessage="1" promptTitle="Charm (15%)" prompt="- 取悦允许通过许多形式来使用，包括肉体魅力、诱惑、奉承或是单纯令人感到温暖的人格魅力。&#10;- 取悦可能可以被用于迫使某人进行特定的行动，但是不会是与个人日常举止完全相反的行为。&#10;- 取悦或是心理学技能可以用于对抗取悦技能。&#10;- 取悦技能可以被用于讨价还价来使一件物品或者服务的价格降低。&#10;- 如果成功，使用者得到了卖家的赞同，并且他们可能乐意降低一点价格。" sqref="F23:I23"/>
    <dataValidation allowBlank="1" showInputMessage="1" showErrorMessage="1" promptTitle="Navigate (10%) " prompt="- 允许使用者在早上或者晚上，在暴风雨或者晴朗天气中认清自己的路。&#10;- 有着更高技能的人将对天文表图和工具，以及卫星定位装置十分熟悉，如果他们是在有着那些东西的时代的话。&#10;- 一名角色也可以用这项技能来测量以及对一块区域进行绘图（制图学），判断是有着几平方米的小岛或者是一块内陆区域—使用现代工具可以降低甚至取消难度等级。&#10;- KP 可以将这个技能的检定作为隐藏骰进行处理—调查员需要尝试去解决的一件事情，并且最后承受结果。&#10;- 如果角色对该区域十分熟悉，那么在这个检定上可以得到一个奖励骰。" sqref="AB23:AE23"/>
    <dataValidation allowBlank="1" showInputMessage="1" showErrorMessage="1" promptTitle="Climb (20%)" prompt="- 这项技能允许一名角色借助或者不借助绳索或者登山工具进行爬树、墙以及其他垂直表面。&#10;- 这项技能也同样包括用绳索下降。攀爬表面是否坚固，是否有可以用手握住的地方，风力，可见度，雨等等坏境状况都可能会影响难度等级。&#10;- 第一次在这个技能上失败可能意味着这攀爬超出了调查员的能力范围。在孤注一掷上失败则可能意味着摔落了下来，同时因此受到伤害。&#10;- 一个成功的攀爬检定应当允许调查员在任何场合下完成攀爬（而不是进行反复检定）。&#10;- 一次富有挑战性或者长距离的攀爬则应当增加难度等级。" sqref="F24:H24"/>
    <dataValidation allowBlank="1" showInputMessage="1" showErrorMessage="1" promptTitle="Occult (05%)" prompt="- 使用者可以识别出神秘学道具，用语和概念，以及民间传统，并且可以辨认魔法书以及神秘学记号。&#10;- 神秘学家对有着代代相传的神秘知识的家庭十分熟悉，包括从埃及和苏美尔，从中世纪和文艺复兴时期的西方，以及也许从亚洲或者非洲。&#10;- 理解特定的书籍可能可以增加神秘学技能的百分比。这项技能不能运用于与克苏鲁神话相关的咒术，书本，以及魔法，尽管旧日支配者的崇拜者对于神秘学有着很高的接受能力。" sqref="AB24:AC24"/>
    <dataValidation allowBlank="1" showInputMessage="1" showErrorMessage="1" promptTitle="Computer Use (05%)" prompt="- 这项技能允许调查员用各种不同的电脑语言进行编程；恢复或者分析隐藏的数据；解除被加了保护的系统；探索一个复杂的网络；或者发现别人的骇入、后门程序、病毒。对电脑系统的特殊操作可能会需要这个检定。&#10;- 互联网将大量的信息放置在了调查员的指尖上。&#10;- 使用互联网来找到高度详细以及/或模糊不清的咨询可能会需要一个计算机使用和图书馆使用的组合检定。&#10;- 这项技能在用电脑上网，检查电子邮件，或者运行一般的商品化软件时不需要使用。&#10;- 仅在现代可用。" sqref="F25:H25"/>
    <dataValidation allowBlank="1" showInputMessage="1" showErrorMessage="1" promptTitle="Operate Heavy Machinery (01%)" prompt="- 当驾驶以及操纵一辆坦克，反铲挖土机，蒸汽挖土机或者其他巨型建造机械时需要这个技能。&#10;- 对于种类非常不同的机械，KP 可以决定提高难度等级，如果遇到的问题是极大程度上不熟悉的；例如，过去常常开推土机的某人，不会立刻能够掌握对船的引擎舱中的蒸汽涡轮机的使用。" sqref="AB25:AC25"/>
    <dataValidation allowBlank="1" showInputMessage="1" showErrorMessage="1" promptTitle="Credit Rating (00%)" prompt="- 衡量了调查员表现出来的富裕程度以及经济上的&#10;自信度。&#10;- 钱是敲门砖；如果调查员尝试用他的经济地位来达成某个目标，那么也许使用信用评级技能会比较合适。&#10;- 信用评级可以被用来取代 APP 来评估第一印&#10;象。&#10;- 信用评级并不是一个被用于评估经济富裕度的技能，也不应该与其他技能挂钩。一个高信用评级在游戏中将会是一个有用的资源，并且应当在创造调查员时加上一定的点数。" sqref="F26:H26"/>
    <dataValidation allowBlank="1" showInputMessage="1" showErrorMessage="1" promptTitle="提示" prompt="信用评级至少要用职业点点至信用范围最低值才能使用兴趣点增加信用评级" sqref="P26"/>
    <dataValidation allowBlank="1" showInputMessage="1" showErrorMessage="1" promptTitle="Persuade (10%)" prompt="- 使用说服来通过一场有理有据的论述、争辩以及讨论让目标相信一个确切的想法，概念，或者信仰。&#10;说服并不一定需要涉及真实的内容。成功的说服技能的运用将花费不少的时间：至少半小时。&#10;- 如果你想快速地说服某人，你应该使用话术技能。&#10;取决于玩家表述的目标，如果调查员花费了足够的时间，说服造成的影响可能一直持续下去，并且无意识地影响着别人；可能会持续好几年，直到某件事件或者另一次得说服改变了目标的想法。&#10;- 说服可以被用于讨价还价，以此来削低某样物品或者服务的价格。如果成功，卖家将会完全地相信自己做了一场好买卖。" sqref="AB26:AC26"/>
    <dataValidation allowBlank="1" showInputMessage="1" showErrorMessage="1" promptTitle="Cthulhu Mythos (00%)" prompt="“我认为，人的思维缺乏将已知事物联系起来的能力，这是世上最仁慈的事了。人类居住在幽暗的海洋中一个名为无知的小岛上，这海洋浩淼无垠、蕴藏无穷秘密，但我们并不应该航行过远，探究太深。”&#10;               ——H·P·爱手艺" sqref="F27"/>
    <dataValidation allowBlank="1" showInputMessage="1" showErrorMessage="1" promptTitle="Pilot (01%)" prompt="- 相当于水上或者空中的汽车驾驶，这时使用空中飞行或者水上航行交通供给的技巧。你可以花费技能点来获得任何专业化技能。&#10;- 作为属类的驾驶技能不能被获得。一名调查员可以在调查员表格的空档下写上许多不同种的这一技巧（例如驾驶飞行器，驾驶飞艇等等）。&#10;- 每个的初始都是 01%。 &#10;- 不良的天气，极差的可见度，以及器材的损伤都可能会提高驾驶飞行器或水上航具的技能检定的难度等级。" sqref="AB27"/>
    <dataValidation type="list" allowBlank="1" showInputMessage="1" showErrorMessage="1" sqref="AD27:AE27">
      <formula1>附表!$S$219:$S$240</formula1>
    </dataValidation>
    <dataValidation allowBlank="1" showInputMessage="1" showErrorMessage="1" promptTitle="Disguise (05%)" prompt="- 使用在当你想要演出除你自己外的别人时。&#10;- 使用者改变了态度，习惯，以及/或声音来进行一个乔装，以另一个人或者另一类人的形象出现。&#10;- 戏剧化妆品可能会有所帮助，还有伪造的身份证。" sqref="F28:H28"/>
    <dataValidation allowBlank="1" showInputMessage="1" showErrorMessage="1" promptTitle="Psychoanalysis (01%)" prompt="这技能指广泛的情感上的治疗。精神分析可以恢复一名调查员的理智。单独的精神分析并不能加速不定时疯狂的恢复，但允许一名角色处理他人短期内的恐惧症状。心理治疗专家的治疗可以在不定式疯狂期间内回复理智。" sqref="AB28"/>
    <dataValidation allowBlank="1" showInputMessage="1" showErrorMessage="1" promptTitle="Dodge (DEX/2) [无法孤注一骰]" prompt="- 允许调查员本能地闪避攻击，投掷过来的投射物以及诸如此类的。&#10;- 一名角色可以尝试在一场战斗轮中使用任何次数的闪避（但是对抗一次特定的攻击只能一次）。&#10;- 闪避可以通过经验来提升，就像其他的技能一样。&#10;- 如果一次攻击可以被看见，一名角色可以尝试闪避开它。&#10;- 想要闪避子弹是不可能的，因为运动中的它们是不可能被看见的；一名角色所能做到的最好的是做逃避的行动来造成自己更难被命中（“寻找掩体（可以在武器列表的可选规则里看见）“）。" sqref="F29:H29"/>
    <dataValidation allowBlank="1" showInputMessage="1" showErrorMessage="1" promptTitle="Psychology (10%)" prompt="对所有人来说都很通用的察觉方面的技能，允许使用者研究个人并且形成对于其他某人动机和人格的了解。" sqref="AB29:AC29"/>
    <dataValidation allowBlank="1" showInputMessage="1" showErrorMessage="1" promptTitle="Drive Auto (20%)" prompt="- 任何有着这项技能的人都可以驾驶一辆汽车或者&#10;轻型卡车，进行常规的移动，并且处理机动车的一般毛病。&#10;- 如果调查员想要甩掉一名追踪者或者追踪某人，则需要一个汽车驾驶检定。&#10;- 一些其他的文化可能用相似的事物来取代这个技&#10;能；因纽特人可能使用狗撬驾驶，或者维多利亚人可能使用四轮马车驾驶。" sqref="F30:H30"/>
    <dataValidation allowBlank="1" showInputMessage="1" showErrorMessage="1" promptTitle="Ride (05%)" prompt="- 这项技能被用于给坐在鞍上驾驭马，驴子或者骡子，以及获得对这些骑乘动物、骑乘工具的基础照料知识，以及如何在疾驰中或困难地形上操纵坐骑。&#10;- 当坐骑出乎意外地抬起身子或失足时，骑手保持自己在坐骑上不摔落的几率等同于他的骑术技能。&#10;偏坐在马鞍上进行骑乘将会提高一个等级的难度等级。&#10;- 对于不熟悉的坐骑（例如骆驼）也可以成功地骑乘，但是可能会需要更高的难度等级。" sqref="AB30:AC30"/>
    <dataValidation allowBlank="1" showInputMessage="1" showErrorMessage="1" promptTitle="Electrical Repair (10%)" prompt="- 使调查员能够修理或者改装电气设备，例如自动点火装置，电动机，保险丝盒，以及防盗自动警铃。&#10;- 在现代，这项技能对现代电子器件几乎做不到什么。&#10;- 为了维修电气设备，可能需要特殊的部件或者工具。&#10;- 在 1920 年代的职业可能会需要这个技能，并且需要机械维修技能作为组合。&#10;- 电气维修也可能在现代的爆破上被使用，例如雷管，C-4 塑料炸弹，以及地雷。&#10;- 这些武器被设计得简单易用；只有一个大失败的结果才会造成不启动（记住这检定可以使用孤注一掷）。&#10;- 拆除爆炸物是远远更为复杂的，因为它们可能被安装了反" sqref="F31:H31"/>
    <dataValidation allowBlank="1" showInputMessage="1" showErrorMessage="1" promptTitle="Electronics (01%)" prompt="- 用来发现并对电子设备的故障进行维修。&#10;- 允许制作简单的电子设备。&#10;- 这是个现代技能——在 1920 年代则是使用物理学以及电气维修来应对电子设备。&#10;- 不像电气维修技能，电子学工作的部件通常是不&#10;能临时配备的：它们通过精密的工作被设计出来通&#10;常如果没有正确的微晶片或者电路板，技能的使用者就无法进行工作，除非他们可以策划出一些形式的应急方案。" sqref="F32:H32"/>
    <dataValidation allowBlank="1" showInputMessage="1" showErrorMessage="1" promptTitle="Fast Talk (05%) 也译作“快速交谈”" prompt="- 话术特别限定于言语上的哄骗，欺骗以及误导，例如迷惑一名门卫来让你进入一间俱乐部，误导警察看向另一边，以及诸如此类的。&#10;- 这项技能的对立技能为心理学或者话术。&#10;- 经过一段时间的相信期后（通常在使用话术的人离开场景之后），对方会意识到自己被欺骗了。如果达成了更高的难度等级可能会使这个时间更加长一点。&#10;- 可以被用来对一件物品或者服务的价格进行砍价。如果成功，卖家会暂时性地觉得这是一场不错得交易；然而，如果买家打算归还或者试图购买别的物品，卖家可能会拒绝继续降价，并且甚至可能会提高价格为了补回他们的损失" sqref="F33:H33"/>
    <dataValidation allowBlank="1" showInputMessage="1" showErrorMessage="1" promptTitle="Sleight of Hand (10%)" prompt="- 允许对物体进行视觉上的遮住，藏匿，或者掩盖，也许通过残害，衣服或者其他的干涉或促成错觉&#10;的材料，也许通过使用一个秘密的嵌板或者隔间。&#10;- 任何种类的巨大物件应当增加藏匿的难度。&#10;- 妙手包括偷窃，卡牌魔术，以及秘密使用手机。" sqref="AB34:AC34"/>
    <dataValidation allowBlank="1" showInputMessage="1" showErrorMessage="1" promptTitle="Spot Hidden (25%)" prompt="- 这项技能允许使用者发现密门或者秘密隔间，注意到隐藏的闯入者，发现并不明显的线索，发现重新涂过漆的汽车，意识到埋伏，注意到鼓出的口袋，或者任何类似的事情。&#10;- 对于调查员来说，这是一个重要的技能。" sqref="AB35:AC35"/>
    <dataValidation allowBlank="1" showInputMessage="1" showErrorMessage="1" promptTitle="Stealth (20%)" prompt="- 安静地移动以及/或者躲藏的技巧，不惊扰到那些可能在听或者看的人们。&#10;- 当尝试躲避探查，玩家应当进行一个潜行的技能检定。&#10;- 与这项技能相关的能力意味着要么角色能够安静地移动（轻声轻足）以及/或者在伪装技巧上有所训练。&#10;- 这项技能也同样意味着角色可以在长时间维持一定程度的谨慎心态以及冷静的头脑来使自己保持静止和隐秘。" sqref="AB36:AC36"/>
    <dataValidation allowBlank="1" showInputMessage="1" showErrorMessage="1" promptTitle="Survival (10%)" prompt="- 提供专业的如何在极端环境下生存的知识和技巧，例如在沙漠中或者极地环境，也包括海洋上或者荒野。&#10;- 内容包括狩猎的知识，搭建住所，可能遇到的危险的知识（例如如何避开有毒性的植物）等等，取决于所处的环境。&#10;- 你可以花费技能点来获得任何的专业化技能。&#10;- 作为属类的“生存”技能本身不能被获得。&#10;- 专业环境的生存技巧应当在技能选择时就决定下来，例如：生存（沙漠），（海洋），（极地），等等。" sqref="AB37"/>
    <dataValidation type="list" allowBlank="1" showInputMessage="1" showErrorMessage="1" sqref="AD37:AE37">
      <formula1>附表!$S$292:$S$310</formula1>
    </dataValidation>
    <dataValidation allowBlank="1" showInputMessage="1" showErrorMessage="1" promptTitle="Swim (20%)" prompt="- 有能力在水或者其他液体中漂浮以及移动。&#10;- 只有在遭遇危险的时候需要进行游泳技能检定，或者当 KP认为合适的时候。" sqref="AB38:AC38"/>
    <dataValidation allowBlank="1" showInputMessage="1" showErrorMessage="1" promptTitle="Throw (20%)" prompt="- 当需要用物体击中目标或者用物件的正确部分击中目标（例如小刀或者短柄小斧的刃）时，使用投掷技能。&#10;- 一件有着合理平衡构架的可以藏于手中大小的物品可以被投掷至多等同于 STR 码距离。" sqref="AB39:AC39"/>
    <dataValidation allowBlank="1" showInputMessage="1" showErrorMessage="1" promptTitle="Track (10%)" prompt="- 一名调查员可以凭借追踪技能来通过土壤上的脚&#10;印，或是物体通过植被时留下的印记来追踪别人，或者是交通工具以及地球上的动物。&#10;- 时间的经过，雨，以及土地的种类都可能会影响追踪的难度等级。" sqref="AB40:AC40"/>
    <dataValidation allowBlank="1" showInputMessage="1" showErrorMessage="1" promptTitle="Beast Training(05%)[非常规]" prompt="- 命令以及训练已驯化动物去完成一些简单任务的技能。&#10;- 这个技能最常用于狗上，但也包括鸟、猫、猴子以及其他（取决于 KP 的判断）。&#10;- 至于对动物的骑乘，例如马或者骆驼，则要用骑术技能来进行行动以及操控这些坐骑。" sqref="AB41:AC41"/>
    <dataValidation allowBlank="1" showInputMessage="1" showErrorMessage="1" promptTitle="First Aid (30%)" prompt="- 使用者可以提供紧急的医疗处理。这包括：对摔断了的腿用夹板进行处理，止血，处理烧伤，溺水复苏，包扎以及清理伤口等等。急救不能用于治疗疾病（这需要医学技能）。&#10;- 急救必须在一小时内进行，在这种情况能回复 1 生命值的损伤。&#10;- 这项技能可以尝试一次，后续的尝试将为进行孤注一掷。&#10;- 两个人可以合作进行急救，只要其中一人成功便可以让生命值回复。&#10;- 成功的急救可以将一名昏迷的角色唤醒过来。&#10;- 一名角色只能进行一次成功的急救或者医学，直到受到其他伤害。" sqref="F42:H42"/>
    <dataValidation allowBlank="1" showInputMessage="1" showErrorMessage="1" promptTitle="Diving (01%)[非常规]" prompt="- 使用者接受过在深海游泳的使用以及维持潜水设&#10;备的训练，水下导航，合适的下潜配重，以及应对紧急情况的方法。&#10;- 在 1942 年的水肺[潜水氧气筒]发明前，严格的潜水套装是装备着能从水面输送空气的连接管道。&#10;- 在现代，一名水肺潜水员将会熟悉当呼吸增压氧气时发生的潜水时的物理现象，气压，以及生理学的过程。" sqref="AB42:AC42"/>
    <dataValidation allowBlank="1" showInputMessage="1" showErrorMessage="1" promptTitle="History (05%)" prompt="- 让一名调查员能够记住一个国家，城市，区域或&#10;者个人及其相关的重要情报。&#10;- 一个成功的检定可以用来帮助辨认先祖所熟悉的工具，科技，或者想法，但是对当下的所知甚少。" sqref="F43:H43"/>
    <dataValidation allowBlank="1" showInputMessage="1" showErrorMessage="1" promptTitle="Demolitions (01%)[非常规]" prompt="- 在这项技能的帮助下，使用者将熟练于安全使用爆破，包括设置以及拆除炸药。&#10;- 地雷以及相似的设备被设计得容易设置（不需要检定）但是相对较为困难地进行除去或拆除。&#10;- 这项技能也包含军用等级的爆炸物（反人类地雷，塑料炸弹，等）。&#10;- 给予足够的时间和资源，这些专家可以装设炸药来摧毁一幢建筑，清除一个被堵住的隧道，以及赋予炸药不同用处（例如构造微量炸药，诡雷，以及其他）。" sqref="AB43:AC43"/>
    <dataValidation allowBlank="1" showInputMessage="1" showErrorMessage="1" promptTitle="Intimidate (15%)" prompt="- 恐吓可以以许多形式使用，包括武力威慑，心理操控，以及威胁。这通常被用来使某人害怕，并迫使其进行某种特定的行为。&#10;- 恐吓的对抗技能为恐吓或者心理学。&#10;- 携带武器或者其他的有力的威胁或诱因来协助恐吓可能可以降低难度等级。&#10;- 当在恐吓上使用孤注一掷时，失败的可能结果之一是对目标进行了远远超过本身意图的恐吓。&#10;- 恐吓可以被用于降低一件物品或者服务的价格。如果成功，卖家可能会降低价格，或者免费交出，但是根据情况，对方可能会将这事情举报给警察或者当地犯罪组织的成员。" sqref="F44:H44"/>
    <dataValidation allowBlank="1" showInputMessage="1" showErrorMessage="1" promptTitle="Read Lips (01%)[非常规]" prompt="- 这项技能允许好奇的调查员听懂一段交谈对话，而不需要听见对方说了什么。&#10;- 能看到对方的视线是必须的，并且如果只能看到其中一名说话者的唇（另一名可能只能看到背），那么只能辨认出一半的对话。&#10;- 读唇也可以用于与另一个人进行无声的交流（如果双方都是专家），允许相对更加复杂的短语以及含义。" sqref="AB44:AC44"/>
    <dataValidation allowBlank="1" showInputMessage="1" showErrorMessage="1" promptTitle="Jump (20%)" prompt="- 如果成功，调查员可以在垂直方向上跳起或跳下，或者从一个站立点或起步点水平向外跳。&#10;- 为了分辨哪些算在正常跳跃，困难跳跃以及极难跳跃，必须对判断进行训练。&#10;- 作为指导，当调查员想要安全地从垂直等同于其自身高度的地方跳下来时，需要一个常规难度的成功，或者水平地从其站立点跳过长度等同于他自身高度的坑，或者助跑后跳过两倍于其自身高度的距离。&#10;- 如果要达成两倍距离的跳跃，则需要一个极难难度的成功，牢记，最长跳跃的世界纪录为大约 8.95米。&#10;- 如果从高处摔落下来，一个成功的跳跃检定可以使对坠落有所准备，" sqref="F45:H45"/>
    <dataValidation allowBlank="1" showInputMessage="1" showErrorMessage="1" promptTitle="Hypnosis (01%)[非常规]" prompt="- 使用者可以在一名自愿并经历过高度暗示、放松的目标身上引出出神似的状态，并且可能回忆起忘却&#10;的记忆。&#10;- 对于催眠的限制应当由 KP 根据适应自己游戏的情况来制定；这可能是只有自愿的目标可以被催眠，或者 KP 可能会允许这项技能以一种更加富有侵略&#10;性的方式被用在非自愿的目标身上。&#10;- 对那些遭受了精神创伤的人，这项技能可以当&#10;做催眠疗法来使用，减轻一名病人的恐惧或者狂躁（成功的使用这个技能意味着这名病人在该场合克服了恐惧或者狂躁），需要1D6次疗程。" sqref="AB45:AC45"/>
    <dataValidation allowBlank="1" showInputMessage="1" showErrorMessage="1" promptTitle="Artillery (01%) [无法孤注一骰][非常规]" prompt="- 这项技能呈现出对一些形式的军事训练和经历。使用者具有在战争中操作战地武器的经验：可以在一个工作队或“派遣队”中工作，进行对超过个人武器射击距离的武器的操作。&#10;- 这些武器通常过于巨大以至于无法单人进行操作,并且个人无法再没有工作队支援的情况下使用这武器，或者应当提高难度等级（取决于KP 的判断，也取决于使用的武器类型）。&#10;- 存在着许多不同的专业化武器，取决于游戏设定的时期，包括加农炮、榴弹炮、迫击炮以及火箭发射&#10;器。&#10;-作为一个战斗技能，炮术不能孤注一掷。" sqref="AB46:AC46"/>
    <dataValidation allowBlank="1" showInputMessage="1" showErrorMessage="1" promptTitle="Language (EDU)" prompt="- 当选择这项技能时，必须明确一门具体的语言并&#10;且写在技能的后面。&#10;- 在婴儿期或者童年早期，大多数人使用单一一门语言。&#10;- 玩家所选择作为母语的语言自动地以等同于调查员教育（EDU）属性为起始；此后，调查员以那个百分比或者更高的来进行理解，说，读以及写（如果更多的技能点数在调查员创作时加了上去）。" sqref="F49"/>
    <dataValidation allowBlank="1" showInputMessage="1" showErrorMessage="1" promptTitle="通灵 05%" prompt="神主会作为让神出现的通道并让祂宣告祂们的意志和智慧。这可以非常危险，因为当人被占据的时候是无法控制的。&#10;—只有特定的神会接受一次次的呼唤。&#10;—可以尝试成为一件让无论是何种类型的、进入自已身体中的精神说话的容器。这种精神可以是一个死者、一个神、甚至是一个非地球生命体的存在。&#10;—通灵人将呼唤需要接触的实体名字，并进入 3d6 分钟的恍惚状态。检定是否成功接触或者离开。&#10;—大失败产生灾难性的后果，导致理智损失时需要sc" sqref="AB49:AE49"/>
    <dataValidation allowBlank="1" showInputMessage="1" showErrorMessage="1" promptTitle="传说 10% " prompt="与神秘学类似，但是一种亚洲思想学派。 &#10;必须选择一种熟悉的特定类型传说，包括:佛教、神道、道教或祖先崇拜。 &#10;有着传说知识的人会熟悉该信仰的戒律、教条、仪式内容与法器道具。 &#10;会意识到许多神话、无稽之谈、与传说中的文物之间的关连&#10;极难成功的检定允许获得可能以某种形式与克苏鲁神话有着堕落关联的少许秘教知识。" sqref="F50:G50"/>
    <dataValidation type="list" allowBlank="1" showInputMessage="1" showErrorMessage="1" sqref="H50:I50">
      <formula1>附表!$Q$296:$Q$301</formula1>
    </dataValidation>
    <dataValidation allowBlank="1" showInputMessage="1" showErrorMessage="1" promptTitle="风水 15%" prompt="凝神静气 3d6 分钟以仔细校准罗盘位置，让使用者感知构造或者系统的平衡状态。&#10;可以在事情出错或出现不协调感时以合理的准确度找到源头，同时得到补救的启示。&#10;当手持占卜工具并且有着 35%以上的风水技能时，可以找到人类遗骸、地下水与矿脉。&#10;拥有45%或更高的技能等级下，风水师可以检测到灵体、不可见的实体、特殊力量的连锁。&#10;拥有65%以上的技能可以检测到外星生命或深藏于地底的龙脉和特殊能源&#10;" sqref="AB50:AE50"/>
    <dataValidation allowBlank="1" showInputMessage="1" showErrorMessage="1" promptTitle="城市导航 10% " prompt="由于现代日本里大部份的城市都是杂乱无序地向外擴張的。&#10;这个技能能用于辨識出那些通常没有任何路標可供参考的，混乱并蜿蜒的小巷并且越过它们。&#10;这种城市技能的使用者能在典型的日本城市地图上辨读那些有如蜘蛛网般的街道。&#10;这种能力的另一个用途是理解公共交通系统那无数的路线与时刻表并且成功的利用它们。 &#10;城市导航可以更好的代替导航，顺利行走在陌生的现代都市或者小镇。" sqref="F51:I51"/>
    <dataValidation type="list" allowBlank="1" showInputMessage="1" showErrorMessage="1" sqref="AD51:AE51">
      <formula1>附表!$S$252:$S$265</formula1>
    </dataValidation>
    <dataValidation allowBlank="1" showInputMessage="1" showErrorMessage="1" promptTitle="传统技艺(お稽古kayco)5% " prompt="作为武士道的道德观延伸，武士们将期待自已的武术技能能透过角色的逐渐练习而能圆满。&#10;这种精链与文化提纯通过学习被称为『稽古』的传统艺术而流传至今。 &#10;除去让旁观者开心之外，这些艺术都没有任何有形的产品。&#10;学习審美或運動技能是一种被公司与机构鼓勵的文化修养。&#10;以制做艺术或工艺品为目的的『稽古』永远无法超过 65%。&#10;『稽古』也能取代低等的社交技能。" sqref="F52:G52"/>
    <dataValidation type="list" allowBlank="1" showInputMessage="1" showErrorMessage="1" sqref="H52:I52">
      <formula1>附表!$O$252:$O$271</formula1>
    </dataValidation>
    <dataValidation allowBlank="1" showInputMessage="1" showErrorMessage="1" promptTitle="东方医学 25% " prompt="东方医学 25% &#10;不同于至今仍只有几百年历史的西方医学，东方医学已经实行了几千年了。&#10;古代的医生已经对于人类的生命系统有了很深刻的理解。&#10;可以使用东方医学治疗替代医疗系的技能，或者结合草药加速愈合。&#10;45%+治疗 1d4 点 HP或是1/2的时间恢复 1d4 点 SAN 值。&#10;65%+东方医学能治疗 1d6 点的伤害或在正常 1/4 的时间内恢复 1d6 点 SAN 值。&#10;85%+东方医学能在西方医生眼前创造出对方无法理解的奇迹。" sqref="AB52:AC52"/>
    <dataValidation type="list" allowBlank="1" showInputMessage="1" showErrorMessage="1" sqref="AD52:AE52">
      <formula1>附表!$M$252:$M$261</formula1>
    </dataValidation>
    <dataValidation allowBlank="1" showInputMessage="1" showErrorMessage="1" promptTitle="瞑想(meisō)5%:" prompt="对沉思与消除世俗的依恋至关重要的步骤，冥想有助于人们集中精神并静下心来。 &#10;如果想从这些技能中获益的话则每天至少必须练习它两个小时的时间。&#10;一个失败的灵感检定可以在冥想后重投，但失败的灵感检定每5%的投出值就要静坐十分钟。&#10;技能值很高的人能在目击到神话存在时减少SAN值损失。&#10;45%+1 65%+2 85%+3&#10;透过冥想技能65％对非疯狂的病人进行指导治疗，使其理智恢复。&#10;冥想与对方的pow对抗，成功会使其恢复 1 点 SAN 值。&#10;大失败会导致病人会失去 1d6 点的 SAN 值，并接近宇宙真相。" sqref="F53:G53"/>
    <dataValidation type="list" allowBlank="1" showInputMessage="1" showErrorMessage="1" sqref="H53:I53">
      <formula1>附表!$Q$252:$Q$261</formula1>
    </dataValidation>
    <dataValidation allowBlank="1" showInputMessage="1" showErrorMessage="1" promptTitle="礼仪作法(Sahó)15%" prompt="日本文化的社会规则纠结的惯例、扭曲的风俗与矛盾的传统。&#10;—礼仪的基础能让外国人或日本人能够避免严重的社会常识性失误。&#10;—中等级的礼仪习得礼貌问候和敬语，待人接物，了解日本传统社会的结构。&#10;—高等级的礼仪能让调查员说出完美无瑕的的敬语来对上司表现出尊重、在纠纷、商业联合和婚礼中扮演传统上的见证人、操纵传统社会的结构以达到预期效果、并在皇帝与贵族的餐桌上展现出合适的礼仪&#10;—这会让取得某种至关重要的神话秘密的信息变得容易些。" sqref="AB53:AE53"/>
    <dataValidation type="list" allowBlank="1" showInputMessage="1" showErrorMessage="1" sqref="H54:I54">
      <formula1>附表!$M$292:$M$315</formula1>
    </dataValidation>
    <dataValidation allowBlank="1" showInputMessage="1" showErrorMessage="1" promptTitle="株式会社文化(KAISHA BUNKA)15%" prompt="熟悉这项技能的调查员了解企业世界的进进出出。它允许调查员迅速地突破庞大的官僚体系与繁文缛节以得到他们需要的东西。&#10;—花在诸如文书工作、行政公文、法律问题、许可证和执照的时间减半。&#10;—这个技能的百分比等级可以与【信誉】等级结合起来。&#10;—企业文化，只能应用在公司的环境之中，它在日常生活中是不着调的。" sqref="AB54:AE54"/>
    <dataValidation type="list" allowBlank="1" showInputMessage="1" showErrorMessage="1" sqref="H55:I55">
      <formula1>附表!$O$292:$O$314</formula1>
    </dataValidation>
    <dataValidation allowBlank="1" showInputMessage="1" showErrorMessage="1" promptTitle="武士道(Bushidō)10% " prompt="一种关于精神上的纪律与道德性的技能，关于坚持的生命哲学。&#10;—可以通过武士道检定，来看穿那些诸如话术交涉、信誉，说服，取悦，估价的欺骗行为。&#10;—可以获得50%的武术技能加成。&#10;—可以抑制临时疯狂状态。这个能力只能在一个特定的场景或模组里生效一次" sqref="AB55:AE55"/>
    <dataValidation allowBlank="1" showInputMessage="1" showErrorMessage="1" promptTitle="做梦 幻梦境" prompt="发动这项技能时必须消耗魔力值。&#10;创造物品时，消耗大于等于物品价值的魔力，以及成功的造梦检定。&#10;物品的价值等于属性的1/5，或者KP决定，优先考虑物品体型SIZ&#10;创造活物时消耗双倍的魔力值，改变已存在的物品消耗小于创造。&#10;创造物在离开梦境时消失，固化物品存在最低需要消耗5点POW&#10;对于那些高价值的创造物，需要消耗等价的POW固化物品。&#10;做梦技能可用于恢复生命，1d3点魔力恢复1点生命值。&#10;普通幻梦境居民没有做梦技能。" sqref="F56:I56"/>
    <dataValidation allowBlank="1" showInputMessage="1" showErrorMessage="1" promptTitle="梦知识 幻梦境" prompt="这个技能代表了角色掌握了多少与幻梦境有关的知识。&#10;梦学问能使调查员了解幻梦境中的特定地点，记起一些幻梦境的历史，识别出幻梦境内的土著生物或是判断一个实体是否属于克苏鲁神话的范畴内。&#10;这个新技能的基础数值是角色“克苏鲁神话”技能的一半（向下取整）。&#10;每当角色的“克苏鲁神话”提升 2 点，角色的“梦学问”就会提升 1 点，无论其变化是否与幻梦境有关。&#10;“梦识”技能值也可以通过经验鉴定增长，就像其他所有技能一样。" sqref="AB56:AE56"/>
    <dataValidation allowBlank="1" showInputMessage="1" showErrorMessage="1" promptTitle="关键连接" prompt="在背景故事中，选出你认为最重要的一个描述作为关键连接。&#10;关键连接不会被KP更改和设计、在你面对关键连接的危机时如果没有掷骰子的机会，那他就不能被KP摧毁、杀害、移除。玩家必须至少有一次掷骰子的机会来拯救该关键连接。&#10;&#10;·关键连接可以帮助调查员恢复san值，但是如果失去关键连接则会进行一个1/1D6的SC。&#10;&#10;·如果选择使用关键连接，会在SC的时候增加一个奖励骰，除了恢复1D6san还可以从不定性疯狂中恢复；但如果sc失败就会失去这个连接。&#10;&#10;·关键连接仅能在幕间成长时由玩家更改、替换。" sqref="AR72:AS72"/>
    <dataValidation type="list" allowBlank="1" showErrorMessage="1" sqref="AR73">
      <formula1>"☐,☑"</formula1>
    </dataValidation>
    <dataValidation type="list" allowBlank="1" showInputMessage="1" showErrorMessage="1" sqref="S74:U74">
      <formula1>附表!$Z$243:$Z$263</formula1>
    </dataValidation>
    <dataValidation type="list" allowBlank="1" showInputMessage="1" showErrorMessage="1" sqref="AR74:AS74 AR76:AS76 AR78:AS78 AR80:AS80 AR82:AS82 AR84:AS84 AR86:AS86 AR88:AS88">
      <formula1>"未腐化,已腐化"</formula1>
    </dataValidation>
    <dataValidation type="list" allowBlank="1" showInputMessage="1" showErrorMessage="1" sqref="AR75 AR77 AR79 AR81 AR83 AR85 AR87">
      <formula1>"☐,☑"</formula1>
    </dataValidation>
    <dataValidation type="list" allowBlank="1" showInputMessage="1" showErrorMessage="1" sqref="AU86:BA86">
      <formula1>$H$160:$M$160</formula1>
    </dataValidation>
    <dataValidation type="list" allowBlank="1" showInputMessage="1" showErrorMessage="1" sqref="R91:S91">
      <formula1>"敌对,陌生,熟悉,友善,尊敬"</formula1>
    </dataValidation>
    <dataValidation type="whole" operator="between" allowBlank="1" showInputMessage="1" showErrorMessage="1" sqref="BK95:BN95">
      <formula1>0</formula1>
      <formula2>1000</formula2>
    </dataValidation>
    <dataValidation type="list" allowBlank="1" showInputMessage="1" showErrorMessage="1" sqref="BO95:BQ95">
      <formula1>"启用,禁用"</formula1>
    </dataValidation>
    <dataValidation type="list" allowBlank="1" showInputMessage="1" showErrorMessage="1" sqref="AY126:BN126">
      <formula1>神话书籍!$A$13:$A$46</formula1>
    </dataValidation>
    <dataValidation type="list" allowBlank="1" showInputMessage="1" showErrorMessage="1" sqref="T130:U130 W126:X138">
      <formula1>"☑,☐"</formula1>
    </dataValidation>
    <dataValidation type="list" allowBlank="1" showInputMessage="1" showErrorMessage="1" sqref="B132:E132">
      <formula1>附表!$AA$270:$AA$284</formula1>
    </dataValidation>
    <dataValidation type="list" allowBlank="1" showInputMessage="1" showErrorMessage="1" sqref="F132:H132">
      <formula1>附表!$AC$270:$AC$415</formula1>
    </dataValidation>
    <dataValidation type="list" allowBlank="1" showInputMessage="1" showErrorMessage="1" sqref="O133:P133">
      <formula1>"普通,引燃,流血,截肢,感染,剧毒,压制,反射,破甲"</formula1>
    </dataValidation>
    <dataValidation type="list" allowBlank="1" showInputMessage="1" showErrorMessage="1" sqref="Q133:R133">
      <formula1>"贯穿,钝器,范围,魔法"</formula1>
    </dataValidation>
    <dataValidation type="list" allowBlank="1" showInputMessage="1" showErrorMessage="1" sqref="S133:U133">
      <formula1>"近战武器,远程武器,射击枪械,双手武器,长柄武器,奇门兵器,双持武器,单手专精,剑盾组合"</formula1>
    </dataValidation>
    <dataValidation type="list" allowBlank="1" showInputMessage="1" showErrorMessage="1" sqref="O134:P134">
      <formula1>"近战,中程,远程,超距"</formula1>
    </dataValidation>
    <dataValidation type="list" allowBlank="1" showInputMessage="1" showErrorMessage="1" sqref="Q134:R134">
      <formula1>"5码,15码,25码,50码,100码,150码,200码,250码,300码,400码,500码,800码,1000码,1500码"</formula1>
    </dataValidation>
    <dataValidation type="list" allowBlank="1" showInputMessage="1" showErrorMessage="1" sqref="S134:U134">
      <formula1>"对单/接触,群体/接触,手动/装填,三连/自动"</formula1>
    </dataValidation>
    <dataValidation type="list" allowBlank="1" showInputMessage="1" showErrorMessage="1" sqref="D142:I142 D145:I145 D148:I148 D151:I151 D154:I154">
      <formula1>附表!$P$84:$P$210</formula1>
    </dataValidation>
    <dataValidation type="list" allowBlank="1" showInputMessage="1" showErrorMessage="1" sqref="AC160:AF160 AC162:AF162 AC164:AF164 AC166:AF166">
      <formula1>'防具表 载具表'!$Q$2:$Q$68</formula1>
    </dataValidation>
    <dataValidation type="list" allowBlank="1" showInputMessage="1" showErrorMessage="1" sqref="AY161:BF161">
      <formula1>COC法术!$B138:$B1048558</formula1>
    </dataValidation>
    <dataValidation type="list" allowBlank="1" showInputMessage="1" showErrorMessage="1" sqref="W171:AC171 W173:AC173 W175:AC175 W177:AC177 W179:AC179">
      <formula1>"基础版本,深层版本,快速版本,增强版本,恐怖版本,仪式版本"</formula1>
    </dataValidation>
    <dataValidation type="list" allowBlank="1" showInputMessage="1" showErrorMessage="1" promptTitle="可成长标记" prompt="如果是短团，技能成功后可以选择勾号标记，在结束时KP宣布幕间成长，则成功技能可进行成长鉴定；&#10;如果是长团，技能成功后可以选择勾号标记，在每一章结束时KP宣布幕间成长，则成功技能可进行成长鉴定。" sqref="B16:B26 B28:B61 X16:X61">
      <formula1>"☐,☑"</formula1>
    </dataValidation>
    <dataValidation allowBlank="1" showInputMessage="1" showErrorMessage="1" promptTitle="Fighting (不定) [无法孤注一骰]" prompt="- 格斗技能指的是一名角色在近距离战斗上的技能。你可以花费一定的点数来获得任何的专业化技能。&#10;- 作为类属的“格斗”技能不能够获得。选择对你的调查员的职业以及当时历史合适的专业格斗技能。&#10;- 那些有着 50%或者以上的格斗（斗殴）技能的&#10;调查员可能会希望选择一种正规的训练，并且作为背景的一部分来对他们的技能程度进行解释。&#10;- 格斗方式存在着各种各样的。武术只是单纯的一种提升一个人战斗技巧的方式。决定角色是如何学习格斗的，是否是从正规的军队训练，武术教室，或者以自己的努力从街头格斗中学会。[例如跆拳道]" sqref="F34:F37"/>
    <dataValidation allowBlank="1" showInputMessage="1" showErrorMessage="1" promptTitle="Firearms (不定) [无法孤注一骰]" prompt="- 包括了各种形式的火器，也包括了弓箭和弩。&#10;- 你可以花费技能点数来获得任何专业化技能。&#10;- 作为属类的“射击”技能不能被获得。选择与你调查员的职业与时代历史相契合的专业化技能。" sqref="F38:F41"/>
    <dataValidation allowBlank="1" showInputMessage="1" showErrorMessage="1" promptTitle="Language (Other)[01%]" prompt="- 当选择这个技能，必须明确一个具体的语言并且&#10;写在技能后面。&#10;- 一个人可以了解任何数量的语言。这项技能代表使用者可以了解，说，读以及写一门不是他母语的语言的可能性。&#10;- 远古或者不知名语言（例如 Aklo，Hyperborean&#10;这两种神话语言）不能被选择（除非 KP 同意）&#10;- 通常意义上的早期语言可以被选择。KP 可以提高难度等级，如果遇见了用那门语言的古式的演讲或者写作。&#10;- 单次的其他语言技能检定的成功通常允许对整本书的理解。" sqref="F46:F48"/>
    <dataValidation allowBlank="1" showInputMessage="1" showErrorMessage="1" promptTitle="Science (01%)" prompt="- 科学专业上的理论和实践的能力，拥有这个技能的人接受过一定程度的正式的教育或者训练，尽管一名博览群书的业余科学家也是可能存在的。&#10;- 对于知识的理解和认识受到游戏时代的限制。你可以花费点数&#10;来获得任何你想要的专业化技能。&#10;- 作为属类的“科学”技能不能被获得。&#10;- 每个专业化技能包括了一门专门的学科，并且列表所给出的并不是全部。许多专业跨越了不同的知识领域，并且有所重叠，例如数学和密码学，植物学和生物学，化学和药学。" sqref="AB31:AB33"/>
    <dataValidation allowBlank="1" showInputMessage="1" showErrorMessage="1" promptTitle="Knowledge （不定）[非常规]" prompt="这项技能代表一名觉得对一个超出人类常规知识范畴的事物的专业理解。学问的专业化应该具体并且不同寻常，例如：&#10;·梦学问&#10;·死灵之书学问（e.g.历史的）&#10;·UFO 学问&#10;·吸血鬼学问&#10;·狼人学问&#10;·亚狄斯星人学问" sqref="AB47:AB48"/>
    <dataValidation type="list" allowBlank="1" showInputMessage="1" showErrorMessage="1" sqref="BA18:BR22">
      <formula1>本职技能!$A$8:$A$105</formula1>
    </dataValidation>
    <dataValidation type="list" allowBlank="1" showInputMessage="1" showErrorMessage="1" sqref="M91:Q97">
      <formula1>"外围成员,正式成员,精英成员,管理骨干,领袖首脑,特殊存在"</formula1>
    </dataValidation>
    <dataValidation type="list" allowBlank="1" showInputMessage="1" showErrorMessage="1" sqref="B82:E87">
      <formula1>"交通工具,住宅别墅,奢侈收藏,股票证券,其他资产"</formula1>
    </dataValidation>
    <dataValidation type="list" allowBlank="1" showInputMessage="1" showErrorMessage="1" sqref="G66:L70">
      <formula1>武器列表!$A:$A</formula1>
    </dataValidation>
    <dataValidation type="list" allowBlank="1" showInputMessage="1" showErrorMessage="1" sqref="H35:I37">
      <formula1>附表!$U$220:$U$248</formula1>
    </dataValidation>
    <dataValidation type="list" allowBlank="1" showInputMessage="1" showErrorMessage="1" sqref="H39:I41">
      <formula1>附表!$Q$220:$Q$233</formula1>
    </dataValidation>
    <dataValidation type="list" allowBlank="1" showInputMessage="1" showErrorMessage="1" sqref="G100:J106">
      <formula1>#REF!</formula1>
    </dataValidation>
    <dataValidation type="list" allowBlank="1" showInputMessage="1" showErrorMessage="1" sqref="AD47:AE48">
      <formula1>附表!$Q$292:$Q$321</formula1>
    </dataValidation>
    <dataValidation type="list" allowBlank="1" showInputMessage="1" showErrorMessage="1" sqref="H20:I21">
      <formula1>附表!$M$219:$M$265</formula1>
    </dataValidation>
    <dataValidation type="list" allowBlank="1" showInputMessage="1" showErrorMessage="1" sqref="R92:S97">
      <formula1>"敌对,陌生,友善,尊敬"</formula1>
    </dataValidation>
    <dataValidation type="list" allowBlank="1" showInputMessage="1" showErrorMessage="1" sqref="T91:U97">
      <formula1>"公开,秘密,毁灭"</formula1>
    </dataValidation>
    <dataValidation type="list" allowBlank="1" showInputMessage="1" showErrorMessage="1" sqref="BE69:BF83 BL69:BM83">
      <formula1>"饰品1,饰品2,头部,右肩,面部,左肩,左臂,右臂,左手,右手,武器1,武器2,武器3,武器4,颈部,胸口,腹部,腰部,左腿,右腿,重要,左膝,右膝,左脚,右脚,书籍,手指1,手指2,手指3,手指4,手指5,手指6,手指7,手指8,手指9,手指10"</formula1>
    </dataValidation>
    <dataValidation type="list" allowBlank="1" showInputMessage="1" showErrorMessage="1" sqref="AD31:AE33">
      <formula1>附表!$O$219:$O$247</formula1>
    </dataValidation>
    <dataValidation type="list" allowBlank="1" showInputMessage="1" showErrorMessage="1" sqref="H46:I48">
      <formula1>附表!$U$292:$U$322</formula1>
    </dataValidation>
    <dataValidation type="list" allowBlank="1" showInputMessage="1" showErrorMessage="1" sqref="AU87:BA93">
      <formula1>$H$202:$H$208</formula1>
    </dataValidation>
    <dataValidation type="list" allowBlank="1" showInputMessage="1" showErrorMessage="1" sqref="G91:J97">
      <formula1>"官方机构,民间组织,校园组织,帮派社团,信仰教团,家族企业"</formula1>
    </dataValidation>
    <dataValidation type="list" allowBlank="1" showInputMessage="1" showErrorMessage="1" sqref="F125:I128">
      <formula1>附表!$B$20:$B$26</formula1>
    </dataValidation>
  </dataValidations>
  <pageMargins left="0.75" right="0.75" top="1" bottom="1" header="0.509027777777778" footer="0.509027777777778"/>
  <headerFooter/>
  <ignoredErrors>
    <ignoredError sqref="B133 E10" unlockedFormula="1" emptyCellReference="1"/>
    <ignoredError sqref="AI7:AJ8 AE5:AF5 W4:X8" formula="1"/>
    <ignoredError sqref="AC8:AH8 AC7:AF7 AH7 AH5:AJ5 AC4 AC6:AJ6" formula="1" emptyCellReference="1"/>
    <ignoredError sqref="A10:D10 A59:AA59 AC59:CI59 J10:M10 A28:CI38 A41:CI55 A56:AI56 AK56 AM56:CI56 A57:C57 A26:CI26 O10:CI10 AG39:CI40 AG16:CI16 C143 A6:V6 A11:CI11 A39:AE40 A16:AA17 E12:H12 A19:CI19 A12:C12 A27:AE27 AG20:CI20 AC16:AE16 AC17:CI17 AG18:CI18 N132:CI132 J132:L132 A70:CI131 BF69:CI69 A69:BD69 H66:CI68 A66:F68 A60:CI65 S12:CI12 A170:V170 A142:A156 A13:CI15 A21:CI24 J12:M12 A18:AE18 AG25:CI25 A20:AE20 A25:AE25 V145:CI156 E142:CI143 O12:Q12 C144:CI144 A141:CI141 C138:CI140 A138:A140 A135:CI137 R134:CI134 P134 M134:N134 J134:K134 C134:H134 AG27:CI27 A171:CI234 X170:CI170 E57 A157:CI169 A132:A134 T133:CI133 J133:R133 G132:H133 C132:E133 F10:H10 Y6:AB6 AK6:CI6" emptyCellReference="1"/>
  </ignoredErrors>
  <drawing r:id="rId2"/>
  <legacyDrawing r:id="rId3"/>
  <extLst>
    <ext xmlns:x14="http://schemas.microsoft.com/office/spreadsheetml/2009/9/main" uri="{78C0D931-6437-407d-A8EE-F0AAD7539E65}">
      <x14:conditionalFormattings>
        <x14:conditionalFormatting xmlns:xm="http://schemas.microsoft.com/office/excel/2006/main">
          <x14:cfRule type="dataBar" id="{721cef5b-2243-49ee-9fc2-b72620f5c790}">
            <x14:dataBar minLength="10" maxLength="90" negativeBarColorSameAsPositive="1" axisPosition="none">
              <x14:cfvo type="min"/>
              <x14:cfvo type="max"/>
              <x14:axisColor indexed="65"/>
            </x14:dataBar>
          </x14:cfRule>
          <x14:cfRule type="dataBar" id="{a1b88dcd-bcfd-45f7-a266-f57b8155ae47}">
            <x14:dataBar minLength="10" maxLength="90" negativeBarColorSameAsPositive="1" axisPosition="none">
              <x14:cfvo type="min"/>
              <x14:cfvo type="max"/>
              <x14:axisColor indexed="65"/>
            </x14:dataBar>
          </x14:cfRule>
          <x14:cfRule type="dataBar" id="{fdd8f28c-0033-422e-9b98-4dfc97a3245a}">
            <x14:dataBar minLength="10" maxLength="90" negativeBarColorSameAsPositive="1" axisPosition="none">
              <x14:cfvo type="min"/>
              <x14:cfvo type="max"/>
              <x14:axisColor indexed="65"/>
            </x14:dataBar>
          </x14:cfRule>
          <xm:sqref>AJ19:AK19 R16:S61 AN16:AO61</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zoomScale="98" zoomScaleNormal="98" topLeftCell="A7" workbookViewId="0">
      <selection activeCell="C67" sqref="C67"/>
    </sheetView>
  </sheetViews>
  <sheetFormatPr defaultColWidth="10" defaultRowHeight="14"/>
  <cols>
    <col min="1" max="1" width="43" customWidth="1"/>
    <col min="2" max="2" width="54.8181818181818" customWidth="1"/>
    <col min="3" max="3" width="35.5454545454545" customWidth="1"/>
    <col min="4" max="4" width="25.7272727272727" customWidth="1"/>
  </cols>
  <sheetData>
    <row r="1" spans="1:1">
      <c r="A1" s="42" t="s">
        <v>5231</v>
      </c>
    </row>
    <row r="2" spans="1:5">
      <c r="A2" s="43" t="s">
        <v>5232</v>
      </c>
      <c r="B2" t="s">
        <v>5233</v>
      </c>
      <c r="C2" t="s">
        <v>5234</v>
      </c>
      <c r="D2" t="s">
        <v>5235</v>
      </c>
      <c r="E2" t="s">
        <v>5236</v>
      </c>
    </row>
    <row r="3" spans="1:5">
      <c r="A3" s="43" t="s">
        <v>5237</v>
      </c>
      <c r="B3" t="s">
        <v>5238</v>
      </c>
      <c r="C3" t="s">
        <v>5239</v>
      </c>
      <c r="D3" t="s">
        <v>5235</v>
      </c>
      <c r="E3" t="s">
        <v>5240</v>
      </c>
    </row>
    <row r="4" spans="1:5">
      <c r="A4" s="43" t="s">
        <v>5241</v>
      </c>
      <c r="B4" t="s">
        <v>5242</v>
      </c>
      <c r="C4" t="s">
        <v>5243</v>
      </c>
      <c r="D4" t="s">
        <v>5244</v>
      </c>
      <c r="E4" t="s">
        <v>5245</v>
      </c>
    </row>
    <row r="5" spans="1:5">
      <c r="A5" s="43" t="s">
        <v>5246</v>
      </c>
      <c r="B5" t="s">
        <v>5247</v>
      </c>
      <c r="C5" t="s">
        <v>5248</v>
      </c>
      <c r="D5" t="s">
        <v>5235</v>
      </c>
      <c r="E5" t="s">
        <v>5249</v>
      </c>
    </row>
    <row r="6" spans="1:5">
      <c r="A6" s="43" t="s">
        <v>5250</v>
      </c>
      <c r="B6" t="s">
        <v>5251</v>
      </c>
      <c r="C6" t="s">
        <v>5252</v>
      </c>
      <c r="D6" t="s">
        <v>5235</v>
      </c>
      <c r="E6" t="s">
        <v>5253</v>
      </c>
    </row>
    <row r="7" spans="1:5">
      <c r="A7" s="43" t="s">
        <v>5254</v>
      </c>
      <c r="B7" t="s">
        <v>5255</v>
      </c>
      <c r="C7" t="s">
        <v>5256</v>
      </c>
      <c r="D7" t="s">
        <v>5235</v>
      </c>
      <c r="E7" t="s">
        <v>5245</v>
      </c>
    </row>
    <row r="8" spans="1:5">
      <c r="A8" s="43" t="s">
        <v>5257</v>
      </c>
      <c r="B8" t="s">
        <v>5258</v>
      </c>
      <c r="C8" t="s">
        <v>5259</v>
      </c>
      <c r="D8" t="s">
        <v>5235</v>
      </c>
      <c r="E8" t="s">
        <v>5260</v>
      </c>
    </row>
    <row r="9" spans="1:5">
      <c r="A9" s="44" t="s">
        <v>5261</v>
      </c>
      <c r="B9" t="s">
        <v>5262</v>
      </c>
      <c r="C9" t="s">
        <v>5263</v>
      </c>
      <c r="D9" t="s">
        <v>5235</v>
      </c>
      <c r="E9" t="s">
        <v>5240</v>
      </c>
    </row>
    <row r="10" spans="1:5">
      <c r="A10" s="43" t="s">
        <v>5264</v>
      </c>
      <c r="B10" t="s">
        <v>5265</v>
      </c>
      <c r="C10" t="s">
        <v>5266</v>
      </c>
      <c r="D10" t="s">
        <v>5235</v>
      </c>
      <c r="E10" t="s">
        <v>5240</v>
      </c>
    </row>
    <row r="11" spans="1:5">
      <c r="A11" s="43" t="s">
        <v>5267</v>
      </c>
      <c r="B11" t="s">
        <v>5268</v>
      </c>
      <c r="C11" t="s">
        <v>5269</v>
      </c>
      <c r="D11" t="s">
        <v>5270</v>
      </c>
      <c r="E11" t="s">
        <v>5271</v>
      </c>
    </row>
    <row r="12" spans="1:1">
      <c r="A12" s="42" t="s">
        <v>5272</v>
      </c>
    </row>
    <row r="13" spans="1:8">
      <c r="A13" s="43" t="s">
        <v>5273</v>
      </c>
      <c r="B13" t="s">
        <v>5274</v>
      </c>
      <c r="C13" t="s">
        <v>5275</v>
      </c>
      <c r="D13" t="s">
        <v>5276</v>
      </c>
      <c r="E13" t="s">
        <v>5277</v>
      </c>
      <c r="F13" t="s">
        <v>5278</v>
      </c>
      <c r="G13" t="s">
        <v>5279</v>
      </c>
      <c r="H13" t="s">
        <v>5280</v>
      </c>
    </row>
    <row r="14" spans="1:8">
      <c r="A14" s="43" t="s">
        <v>5281</v>
      </c>
      <c r="B14" t="s">
        <v>5282</v>
      </c>
      <c r="C14" t="s">
        <v>5283</v>
      </c>
      <c r="D14" t="s">
        <v>5284</v>
      </c>
      <c r="E14" t="s">
        <v>5285</v>
      </c>
      <c r="F14" t="s">
        <v>5286</v>
      </c>
      <c r="G14" t="s">
        <v>5287</v>
      </c>
      <c r="H14" t="s">
        <v>5288</v>
      </c>
    </row>
    <row r="15" spans="1:8">
      <c r="A15" s="44" t="s">
        <v>322</v>
      </c>
      <c r="B15" t="s">
        <v>5289</v>
      </c>
      <c r="C15" t="s">
        <v>5290</v>
      </c>
      <c r="D15" t="s">
        <v>5291</v>
      </c>
      <c r="E15" t="s">
        <v>5292</v>
      </c>
      <c r="F15" t="s">
        <v>5293</v>
      </c>
      <c r="G15" t="s">
        <v>5294</v>
      </c>
      <c r="H15" t="s">
        <v>5295</v>
      </c>
    </row>
    <row r="16" spans="1:8">
      <c r="A16" s="44" t="s">
        <v>5296</v>
      </c>
      <c r="B16" t="s">
        <v>5297</v>
      </c>
      <c r="C16" t="s">
        <v>5298</v>
      </c>
      <c r="D16" t="s">
        <v>5291</v>
      </c>
      <c r="E16" t="s">
        <v>5299</v>
      </c>
      <c r="F16" t="s">
        <v>5300</v>
      </c>
      <c r="G16" t="s">
        <v>5301</v>
      </c>
      <c r="H16" t="s">
        <v>5302</v>
      </c>
    </row>
    <row r="17" spans="1:8">
      <c r="A17" s="44" t="s">
        <v>5303</v>
      </c>
      <c r="B17" t="s">
        <v>5304</v>
      </c>
      <c r="C17" t="s">
        <v>5305</v>
      </c>
      <c r="D17" t="s">
        <v>5291</v>
      </c>
      <c r="E17" t="s">
        <v>5306</v>
      </c>
      <c r="F17" t="s">
        <v>5307</v>
      </c>
      <c r="G17" t="s">
        <v>5301</v>
      </c>
      <c r="H17" t="s">
        <v>5302</v>
      </c>
    </row>
    <row r="18" spans="1:8">
      <c r="A18" s="43" t="s">
        <v>5308</v>
      </c>
      <c r="B18" t="s">
        <v>5309</v>
      </c>
      <c r="C18" t="s">
        <v>5310</v>
      </c>
      <c r="D18" t="s">
        <v>5311</v>
      </c>
      <c r="E18" t="s">
        <v>5285</v>
      </c>
      <c r="F18" t="s">
        <v>5286</v>
      </c>
      <c r="G18" t="s">
        <v>5312</v>
      </c>
      <c r="H18" t="s">
        <v>5313</v>
      </c>
    </row>
    <row r="19" spans="1:8">
      <c r="A19" s="43" t="s">
        <v>5314</v>
      </c>
      <c r="B19" t="s">
        <v>5315</v>
      </c>
      <c r="C19" t="s">
        <v>5316</v>
      </c>
      <c r="D19" t="s">
        <v>5317</v>
      </c>
      <c r="E19" t="s">
        <v>5285</v>
      </c>
      <c r="F19" t="s">
        <v>5286</v>
      </c>
      <c r="G19" t="s">
        <v>5318</v>
      </c>
      <c r="H19" t="s">
        <v>5319</v>
      </c>
    </row>
    <row r="20" spans="1:8">
      <c r="A20" s="44" t="s">
        <v>5320</v>
      </c>
      <c r="B20" t="s">
        <v>5321</v>
      </c>
      <c r="C20" t="s">
        <v>5322</v>
      </c>
      <c r="D20" t="s">
        <v>5323</v>
      </c>
      <c r="E20" t="s">
        <v>5299</v>
      </c>
      <c r="F20" t="s">
        <v>5300</v>
      </c>
      <c r="G20" t="s">
        <v>5324</v>
      </c>
      <c r="H20" t="s">
        <v>5325</v>
      </c>
    </row>
    <row r="21" spans="1:8">
      <c r="A21" s="44" t="s">
        <v>5326</v>
      </c>
      <c r="B21" t="s">
        <v>5327</v>
      </c>
      <c r="C21" t="s">
        <v>5328</v>
      </c>
      <c r="D21" t="s">
        <v>5291</v>
      </c>
      <c r="E21" t="s">
        <v>5329</v>
      </c>
      <c r="F21" t="s">
        <v>5330</v>
      </c>
      <c r="G21" t="s">
        <v>5318</v>
      </c>
      <c r="H21" t="s">
        <v>5331</v>
      </c>
    </row>
    <row r="22" spans="1:8">
      <c r="A22" s="44" t="s">
        <v>5332</v>
      </c>
      <c r="B22" t="s">
        <v>5333</v>
      </c>
      <c r="C22" t="s">
        <v>5334</v>
      </c>
      <c r="D22" t="s">
        <v>5284</v>
      </c>
      <c r="E22" t="s">
        <v>5329</v>
      </c>
      <c r="F22" t="s">
        <v>5330</v>
      </c>
      <c r="G22" t="s">
        <v>5287</v>
      </c>
      <c r="H22" t="s">
        <v>5335</v>
      </c>
    </row>
    <row r="23" spans="1:8">
      <c r="A23" s="43" t="s">
        <v>5336</v>
      </c>
      <c r="B23" t="s">
        <v>5337</v>
      </c>
      <c r="C23" t="s">
        <v>5338</v>
      </c>
      <c r="D23" t="s">
        <v>5339</v>
      </c>
      <c r="E23" t="s">
        <v>5306</v>
      </c>
      <c r="F23" t="s">
        <v>5307</v>
      </c>
      <c r="G23" t="s">
        <v>5340</v>
      </c>
      <c r="H23" t="s">
        <v>5341</v>
      </c>
    </row>
    <row r="24" spans="1:8">
      <c r="A24" s="43" t="s">
        <v>5342</v>
      </c>
      <c r="B24" t="s">
        <v>5343</v>
      </c>
      <c r="C24" t="s">
        <v>5344</v>
      </c>
      <c r="D24" t="s">
        <v>5317</v>
      </c>
      <c r="E24" t="s">
        <v>5306</v>
      </c>
      <c r="F24" t="s">
        <v>5307</v>
      </c>
      <c r="G24" t="s">
        <v>5345</v>
      </c>
      <c r="H24" t="s">
        <v>5346</v>
      </c>
    </row>
    <row r="25" spans="1:8">
      <c r="A25" s="43" t="s">
        <v>5347</v>
      </c>
      <c r="B25" t="s">
        <v>5348</v>
      </c>
      <c r="C25" t="s">
        <v>5349</v>
      </c>
      <c r="D25" t="s">
        <v>5311</v>
      </c>
      <c r="E25" t="s">
        <v>5292</v>
      </c>
      <c r="F25" t="s">
        <v>5293</v>
      </c>
      <c r="G25" t="s">
        <v>5350</v>
      </c>
      <c r="H25" t="s">
        <v>5351</v>
      </c>
    </row>
    <row r="26" spans="1:8">
      <c r="A26" s="43" t="s">
        <v>5352</v>
      </c>
      <c r="B26" t="s">
        <v>5353</v>
      </c>
      <c r="C26" t="s">
        <v>5354</v>
      </c>
      <c r="D26" t="s">
        <v>5339</v>
      </c>
      <c r="E26" t="s">
        <v>5355</v>
      </c>
      <c r="F26" t="s">
        <v>5356</v>
      </c>
      <c r="G26" t="s">
        <v>5357</v>
      </c>
      <c r="H26" t="s">
        <v>5358</v>
      </c>
    </row>
    <row r="27" spans="1:8">
      <c r="A27" s="43" t="s">
        <v>5359</v>
      </c>
      <c r="B27" t="s">
        <v>5360</v>
      </c>
      <c r="C27" t="s">
        <v>5361</v>
      </c>
      <c r="D27" t="s">
        <v>5339</v>
      </c>
      <c r="E27" t="s">
        <v>5362</v>
      </c>
      <c r="F27" t="s">
        <v>5363</v>
      </c>
      <c r="G27" t="s">
        <v>5279</v>
      </c>
      <c r="H27" t="s">
        <v>5280</v>
      </c>
    </row>
    <row r="28" spans="1:8">
      <c r="A28" s="43" t="s">
        <v>5364</v>
      </c>
      <c r="B28" t="s">
        <v>5365</v>
      </c>
      <c r="C28" t="s">
        <v>5366</v>
      </c>
      <c r="D28" t="s">
        <v>5284</v>
      </c>
      <c r="E28" t="s">
        <v>5277</v>
      </c>
      <c r="F28" t="s">
        <v>5278</v>
      </c>
      <c r="G28" t="s">
        <v>5367</v>
      </c>
      <c r="H28" t="s">
        <v>5368</v>
      </c>
    </row>
    <row r="29" spans="1:8">
      <c r="A29" s="43" t="s">
        <v>5369</v>
      </c>
      <c r="B29" t="s">
        <v>5370</v>
      </c>
      <c r="C29" t="s">
        <v>5371</v>
      </c>
      <c r="D29" t="s">
        <v>5311</v>
      </c>
      <c r="E29" t="s">
        <v>5372</v>
      </c>
      <c r="F29" t="s">
        <v>5373</v>
      </c>
      <c r="G29" t="s">
        <v>5301</v>
      </c>
      <c r="H29" t="s">
        <v>5374</v>
      </c>
    </row>
    <row r="30" spans="1:8">
      <c r="A30" s="44" t="s">
        <v>5375</v>
      </c>
      <c r="B30" t="s">
        <v>5376</v>
      </c>
      <c r="C30" t="s">
        <v>5377</v>
      </c>
      <c r="D30" t="s">
        <v>5323</v>
      </c>
      <c r="E30" t="s">
        <v>5378</v>
      </c>
      <c r="F30" t="s">
        <v>5379</v>
      </c>
      <c r="G30" t="s">
        <v>5380</v>
      </c>
      <c r="H30" t="s">
        <v>5381</v>
      </c>
    </row>
    <row r="31" spans="1:8">
      <c r="A31" s="44" t="s">
        <v>5382</v>
      </c>
      <c r="B31" t="s">
        <v>5383</v>
      </c>
      <c r="C31" t="s">
        <v>5384</v>
      </c>
      <c r="D31" t="s">
        <v>5323</v>
      </c>
      <c r="E31" t="s">
        <v>5306</v>
      </c>
      <c r="F31" t="s">
        <v>5307</v>
      </c>
      <c r="G31" t="s">
        <v>5345</v>
      </c>
      <c r="H31" t="s">
        <v>5385</v>
      </c>
    </row>
    <row r="32" spans="1:8">
      <c r="A32" s="44" t="s">
        <v>5386</v>
      </c>
      <c r="B32" t="s">
        <v>5387</v>
      </c>
      <c r="C32" t="s">
        <v>5388</v>
      </c>
      <c r="D32" t="s">
        <v>5323</v>
      </c>
      <c r="E32" t="s">
        <v>5285</v>
      </c>
      <c r="F32" t="s">
        <v>5286</v>
      </c>
      <c r="G32" t="s">
        <v>5389</v>
      </c>
      <c r="H32" t="s">
        <v>5280</v>
      </c>
    </row>
    <row r="33" spans="1:8">
      <c r="A33" s="44" t="s">
        <v>5390</v>
      </c>
      <c r="B33" t="s">
        <v>5391</v>
      </c>
      <c r="C33" t="s">
        <v>5392</v>
      </c>
      <c r="D33" t="s">
        <v>5393</v>
      </c>
      <c r="E33" t="s">
        <v>5394</v>
      </c>
      <c r="F33" t="s">
        <v>5395</v>
      </c>
      <c r="G33" t="s">
        <v>5396</v>
      </c>
      <c r="H33" t="s">
        <v>5397</v>
      </c>
    </row>
    <row r="34" spans="1:8">
      <c r="A34" s="44" t="s">
        <v>5398</v>
      </c>
      <c r="B34" t="s">
        <v>5399</v>
      </c>
      <c r="C34" t="s">
        <v>5400</v>
      </c>
      <c r="D34" t="s">
        <v>5393</v>
      </c>
      <c r="E34" t="s">
        <v>5401</v>
      </c>
      <c r="F34" t="s">
        <v>5402</v>
      </c>
      <c r="G34" t="s">
        <v>5396</v>
      </c>
      <c r="H34" t="s">
        <v>5397</v>
      </c>
    </row>
    <row r="35" spans="1:8">
      <c r="A35" s="44" t="s">
        <v>5403</v>
      </c>
      <c r="B35" t="s">
        <v>5404</v>
      </c>
      <c r="C35" t="s">
        <v>5405</v>
      </c>
      <c r="D35" t="s">
        <v>5393</v>
      </c>
      <c r="E35" t="s">
        <v>5406</v>
      </c>
      <c r="F35" t="s">
        <v>5407</v>
      </c>
      <c r="G35" t="s">
        <v>5396</v>
      </c>
      <c r="H35" t="s">
        <v>5397</v>
      </c>
    </row>
    <row r="36" spans="1:10">
      <c r="A36" s="44" t="s">
        <v>5408</v>
      </c>
      <c r="B36" t="s">
        <v>5409</v>
      </c>
      <c r="C36" t="s">
        <v>5410</v>
      </c>
      <c r="D36" t="s">
        <v>5393</v>
      </c>
      <c r="E36" t="s">
        <v>5378</v>
      </c>
      <c r="F36" t="s">
        <v>5379</v>
      </c>
      <c r="G36" t="s">
        <v>5411</v>
      </c>
      <c r="H36" t="s">
        <v>5412</v>
      </c>
      <c r="I36" t="s">
        <v>5413</v>
      </c>
      <c r="J36" t="s">
        <v>5414</v>
      </c>
    </row>
    <row r="37" spans="1:8">
      <c r="A37" s="43" t="s">
        <v>5415</v>
      </c>
      <c r="B37" t="s">
        <v>5416</v>
      </c>
      <c r="C37" t="s">
        <v>5417</v>
      </c>
      <c r="D37" t="s">
        <v>5284</v>
      </c>
      <c r="E37" t="s">
        <v>5418</v>
      </c>
      <c r="F37" t="s">
        <v>5419</v>
      </c>
      <c r="G37" t="s">
        <v>5301</v>
      </c>
      <c r="H37" t="s">
        <v>5420</v>
      </c>
    </row>
    <row r="38" spans="1:8">
      <c r="A38" s="43" t="s">
        <v>5421</v>
      </c>
      <c r="B38" t="s">
        <v>5422</v>
      </c>
      <c r="C38" t="s">
        <v>5423</v>
      </c>
      <c r="D38" t="s">
        <v>5424</v>
      </c>
      <c r="E38" t="s">
        <v>5425</v>
      </c>
      <c r="F38" t="s">
        <v>5426</v>
      </c>
      <c r="G38" t="s">
        <v>5279</v>
      </c>
      <c r="H38" t="s">
        <v>5280</v>
      </c>
    </row>
    <row r="39" spans="1:8">
      <c r="A39" s="43" t="s">
        <v>5427</v>
      </c>
      <c r="B39" t="s">
        <v>5428</v>
      </c>
      <c r="C39" t="s">
        <v>5429</v>
      </c>
      <c r="D39" t="s">
        <v>5311</v>
      </c>
      <c r="E39" t="s">
        <v>5355</v>
      </c>
      <c r="F39" t="s">
        <v>5356</v>
      </c>
      <c r="G39" t="s">
        <v>5430</v>
      </c>
      <c r="H39" t="s">
        <v>5431</v>
      </c>
    </row>
    <row r="40" spans="1:8">
      <c r="A40" s="43" t="s">
        <v>5432</v>
      </c>
      <c r="B40" t="s">
        <v>5433</v>
      </c>
      <c r="C40" t="s">
        <v>5434</v>
      </c>
      <c r="D40" t="s">
        <v>5284</v>
      </c>
      <c r="E40" t="s">
        <v>5362</v>
      </c>
      <c r="F40" t="s">
        <v>5363</v>
      </c>
      <c r="G40" t="s">
        <v>5435</v>
      </c>
      <c r="H40" t="s">
        <v>5436</v>
      </c>
    </row>
    <row r="41" spans="1:8">
      <c r="A41" s="43" t="s">
        <v>5437</v>
      </c>
      <c r="B41" t="s">
        <v>5438</v>
      </c>
      <c r="C41" t="s">
        <v>5439</v>
      </c>
      <c r="D41" t="s">
        <v>5284</v>
      </c>
      <c r="E41" t="s">
        <v>5277</v>
      </c>
      <c r="F41" t="s">
        <v>5278</v>
      </c>
      <c r="G41" t="s">
        <v>5440</v>
      </c>
      <c r="H41" t="s">
        <v>5441</v>
      </c>
    </row>
    <row r="42" spans="1:8">
      <c r="A42" s="43" t="s">
        <v>5442</v>
      </c>
      <c r="B42" t="s">
        <v>5443</v>
      </c>
      <c r="C42" t="s">
        <v>5444</v>
      </c>
      <c r="D42" t="s">
        <v>5311</v>
      </c>
      <c r="E42" t="s">
        <v>5329</v>
      </c>
      <c r="F42" t="s">
        <v>5330</v>
      </c>
      <c r="G42" t="s">
        <v>5445</v>
      </c>
      <c r="H42" t="s">
        <v>5446</v>
      </c>
    </row>
    <row r="43" spans="1:8">
      <c r="A43" s="44" t="s">
        <v>5447</v>
      </c>
      <c r="B43" t="s">
        <v>5448</v>
      </c>
      <c r="C43" t="s">
        <v>5449</v>
      </c>
      <c r="D43" t="s">
        <v>5311</v>
      </c>
      <c r="E43" t="s">
        <v>5372</v>
      </c>
      <c r="F43" t="s">
        <v>5373</v>
      </c>
      <c r="G43" t="s">
        <v>5450</v>
      </c>
      <c r="H43" t="s">
        <v>5451</v>
      </c>
    </row>
    <row r="44" spans="1:8">
      <c r="A44" s="43" t="s">
        <v>5452</v>
      </c>
      <c r="B44" t="s">
        <v>5453</v>
      </c>
      <c r="C44" t="s">
        <v>5454</v>
      </c>
      <c r="D44" t="s">
        <v>5284</v>
      </c>
      <c r="E44" t="s">
        <v>5425</v>
      </c>
      <c r="F44" t="s">
        <v>5426</v>
      </c>
      <c r="G44" t="s">
        <v>5440</v>
      </c>
      <c r="H44" t="s">
        <v>5455</v>
      </c>
    </row>
    <row r="45" spans="1:8">
      <c r="A45" s="43" t="s">
        <v>5456</v>
      </c>
      <c r="B45" t="s">
        <v>5457</v>
      </c>
      <c r="C45" t="s">
        <v>5458</v>
      </c>
      <c r="D45" t="s">
        <v>5323</v>
      </c>
      <c r="E45" t="s">
        <v>5378</v>
      </c>
      <c r="F45" t="s">
        <v>5379</v>
      </c>
      <c r="G45" t="s">
        <v>5294</v>
      </c>
      <c r="H45" t="s">
        <v>5459</v>
      </c>
    </row>
    <row r="46" spans="1:8">
      <c r="A46" s="43" t="s">
        <v>5460</v>
      </c>
      <c r="B46" t="s">
        <v>5461</v>
      </c>
      <c r="C46" t="s">
        <v>5462</v>
      </c>
      <c r="D46" t="s">
        <v>5317</v>
      </c>
      <c r="E46" t="s">
        <v>5378</v>
      </c>
      <c r="F46" t="s">
        <v>5379</v>
      </c>
      <c r="G46" t="s">
        <v>5463</v>
      </c>
      <c r="H46" t="s">
        <v>5464</v>
      </c>
    </row>
    <row r="47" spans="1:1">
      <c r="A47" s="45"/>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64"/>
  <sheetViews>
    <sheetView zoomScale="78" zoomScaleNormal="78" workbookViewId="0">
      <pane xSplit="1" topLeftCell="X1" activePane="topRight" state="frozen"/>
      <selection/>
      <selection pane="topRight" activeCell="AU11" sqref="AU11"/>
    </sheetView>
  </sheetViews>
  <sheetFormatPr defaultColWidth="10" defaultRowHeight="14"/>
  <cols>
    <col min="1" max="1" width="12.1181818181818" style="13" customWidth="1"/>
    <col min="2" max="2" width="10" style="13"/>
    <col min="3" max="3" width="11.7636363636364" style="14" customWidth="1"/>
    <col min="4" max="4" width="10" style="13"/>
    <col min="5" max="5" width="10" style="14" customWidth="1"/>
    <col min="6" max="6" width="10" style="13"/>
    <col min="7" max="7" width="10" style="14" customWidth="1"/>
    <col min="8" max="8" width="10" style="13"/>
    <col min="9" max="9" width="10" style="14" customWidth="1"/>
    <col min="10" max="10" width="10" style="13"/>
    <col min="11" max="11" width="10" style="14" customWidth="1"/>
    <col min="12" max="12" width="10" style="13"/>
    <col min="13" max="13" width="10" style="14" customWidth="1"/>
    <col min="14" max="14" width="9.57272727272727" style="13" customWidth="1"/>
    <col min="15" max="15" width="10" style="14" customWidth="1"/>
    <col min="16" max="16" width="10" style="15" customWidth="1"/>
    <col min="17" max="20" width="10" style="16" customWidth="1"/>
    <col min="21" max="21" width="5.78181818181818" style="17" customWidth="1"/>
    <col min="22" max="22" width="10" style="18" customWidth="1"/>
    <col min="23" max="23" width="10" style="14" customWidth="1"/>
    <col min="24" max="24" width="38.3090909090909" style="14" customWidth="1"/>
    <col min="25" max="25" width="10" style="18" customWidth="1"/>
    <col min="26" max="27" width="10" style="13" customWidth="1"/>
    <col min="28" max="28" width="10" style="18" customWidth="1"/>
    <col min="29" max="29" width="10" style="13"/>
    <col min="30" max="30" width="9.78181818181818" style="13" customWidth="1"/>
    <col min="31" max="31" width="10" style="18" customWidth="1"/>
    <col min="32" max="32" width="10" style="13" customWidth="1"/>
    <col min="33" max="33" width="10" style="13"/>
    <col min="34" max="34" width="10" style="18"/>
    <col min="35" max="36" width="10" style="13"/>
    <col min="37" max="37" width="10" style="18"/>
    <col min="38" max="42" width="10" style="13"/>
    <col min="43" max="16384" width="10" style="14"/>
  </cols>
  <sheetData>
    <row r="1" s="9" customFormat="1" ht="26" customHeight="1" spans="1:45">
      <c r="A1" s="19" t="s">
        <v>296</v>
      </c>
      <c r="B1" s="19" t="s">
        <v>197</v>
      </c>
      <c r="C1" s="19" t="s">
        <v>2278</v>
      </c>
      <c r="D1" s="19" t="s">
        <v>5465</v>
      </c>
      <c r="E1" s="19"/>
      <c r="F1" s="19" t="s">
        <v>5466</v>
      </c>
      <c r="G1" s="19"/>
      <c r="H1" s="19" t="s">
        <v>5467</v>
      </c>
      <c r="I1" s="19"/>
      <c r="J1" s="19" t="s">
        <v>5468</v>
      </c>
      <c r="K1" s="19"/>
      <c r="L1" s="19" t="s">
        <v>5469</v>
      </c>
      <c r="M1" s="19"/>
      <c r="N1" s="19" t="s">
        <v>5470</v>
      </c>
      <c r="O1" s="19"/>
      <c r="P1" s="25" t="s">
        <v>365</v>
      </c>
      <c r="Q1" s="25" t="s">
        <v>367</v>
      </c>
      <c r="R1" s="25" t="s">
        <v>5471</v>
      </c>
      <c r="S1" s="25" t="s">
        <v>195</v>
      </c>
      <c r="T1" s="25" t="s">
        <v>334</v>
      </c>
      <c r="U1" s="25" t="s">
        <v>105</v>
      </c>
      <c r="V1" s="29" t="s">
        <v>2310</v>
      </c>
      <c r="W1" s="19" t="s">
        <v>5472</v>
      </c>
      <c r="X1" s="19" t="s">
        <v>5473</v>
      </c>
      <c r="Y1" s="29" t="s">
        <v>391</v>
      </c>
      <c r="Z1" s="19" t="s">
        <v>5474</v>
      </c>
      <c r="AA1" s="19" t="s">
        <v>345</v>
      </c>
      <c r="AB1" s="29" t="s">
        <v>394</v>
      </c>
      <c r="AC1" s="19" t="s">
        <v>5475</v>
      </c>
      <c r="AD1" s="19" t="s">
        <v>350</v>
      </c>
      <c r="AE1" s="29" t="s">
        <v>396</v>
      </c>
      <c r="AF1" s="19" t="s">
        <v>5476</v>
      </c>
      <c r="AG1" s="19" t="s">
        <v>351</v>
      </c>
      <c r="AH1" s="29" t="s">
        <v>398</v>
      </c>
      <c r="AI1" s="19" t="s">
        <v>5477</v>
      </c>
      <c r="AJ1" s="19" t="s">
        <v>5473</v>
      </c>
      <c r="AK1" s="29" t="s">
        <v>392</v>
      </c>
      <c r="AL1" s="19" t="s">
        <v>5478</v>
      </c>
      <c r="AM1" s="19" t="s">
        <v>357</v>
      </c>
      <c r="AN1" s="19" t="s">
        <v>395</v>
      </c>
      <c r="AO1" s="19" t="s">
        <v>5479</v>
      </c>
      <c r="AP1" s="19" t="s">
        <v>5480</v>
      </c>
      <c r="AQ1" s="19" t="s">
        <v>5481</v>
      </c>
      <c r="AR1" s="19" t="s">
        <v>5482</v>
      </c>
      <c r="AS1" s="19" t="s">
        <v>5483</v>
      </c>
    </row>
    <row r="2" s="10" customFormat="1" spans="1:47">
      <c r="A2" s="20" t="s">
        <v>5484</v>
      </c>
      <c r="B2" s="20" t="str">
        <f t="shared" ref="B2:B55" si="0">IF(I2&lt;100,"小型",IF(I2&lt;=150,"中型",IF(I2&gt;150,"大型")))</f>
        <v>大型</v>
      </c>
      <c r="C2" s="21" t="s">
        <v>5485</v>
      </c>
      <c r="D2" s="20">
        <f t="shared" ref="D2:D56" si="1">E2/5*2</f>
        <v>72</v>
      </c>
      <c r="E2" s="21">
        <v>180</v>
      </c>
      <c r="F2" s="20">
        <f t="shared" ref="F2:F56" si="2">G2/5*3</f>
        <v>84</v>
      </c>
      <c r="G2" s="21">
        <v>140</v>
      </c>
      <c r="H2" s="20">
        <f t="shared" ref="H2:H56" si="3">I2/5*2</f>
        <v>72</v>
      </c>
      <c r="I2" s="21">
        <v>180</v>
      </c>
      <c r="J2" s="20">
        <f t="shared" ref="J2:J56" si="4">K2/5*3</f>
        <v>36</v>
      </c>
      <c r="K2" s="21">
        <v>60</v>
      </c>
      <c r="L2" s="20">
        <f t="shared" ref="L2:L56" si="5">M2/5*3</f>
        <v>69</v>
      </c>
      <c r="M2" s="21">
        <v>115</v>
      </c>
      <c r="N2" s="20">
        <f t="shared" ref="N2:N56" si="6">O2/5</f>
        <v>12</v>
      </c>
      <c r="O2" s="21">
        <v>60</v>
      </c>
      <c r="P2" s="26" t="s">
        <v>5486</v>
      </c>
      <c r="Q2" s="30">
        <v>5</v>
      </c>
      <c r="R2" s="30">
        <v>1</v>
      </c>
      <c r="S2" s="30">
        <v>50</v>
      </c>
      <c r="T2" s="30" t="s">
        <v>5487</v>
      </c>
      <c r="U2" s="31">
        <v>17</v>
      </c>
      <c r="V2" s="32" t="s">
        <v>5488</v>
      </c>
      <c r="W2" s="21" t="s">
        <v>5489</v>
      </c>
      <c r="X2" s="21" t="s">
        <v>5490</v>
      </c>
      <c r="Y2" s="32" t="s">
        <v>5491</v>
      </c>
      <c r="Z2" s="20">
        <v>50</v>
      </c>
      <c r="AA2" s="20" t="s">
        <v>5492</v>
      </c>
      <c r="AB2" s="32" t="s">
        <v>127</v>
      </c>
      <c r="AC2" s="20">
        <v>60</v>
      </c>
      <c r="AD2" s="20" t="s">
        <v>5493</v>
      </c>
      <c r="AE2" s="32" t="s">
        <v>5494</v>
      </c>
      <c r="AF2" s="20">
        <v>80</v>
      </c>
      <c r="AG2" s="20" t="s">
        <v>5495</v>
      </c>
      <c r="AH2" s="32"/>
      <c r="AI2" s="20"/>
      <c r="AJ2" s="20"/>
      <c r="AK2" s="32"/>
      <c r="AL2" s="20"/>
      <c r="AM2" s="20"/>
      <c r="AN2" s="20"/>
      <c r="AO2" s="20"/>
      <c r="AP2" s="20"/>
      <c r="AQ2" s="21" t="s">
        <v>5496</v>
      </c>
      <c r="AR2" s="21" t="s">
        <v>5497</v>
      </c>
      <c r="AS2" s="21" t="s">
        <v>5498</v>
      </c>
      <c r="AU2" s="21"/>
    </row>
    <row r="3" s="10" customFormat="1" spans="1:47">
      <c r="A3" s="20" t="s">
        <v>5499</v>
      </c>
      <c r="B3" s="20" t="str">
        <f t="shared" si="0"/>
        <v>大型</v>
      </c>
      <c r="C3" s="21" t="s">
        <v>5485</v>
      </c>
      <c r="D3" s="20">
        <f t="shared" si="1"/>
        <v>72</v>
      </c>
      <c r="E3" s="21">
        <v>180</v>
      </c>
      <c r="F3" s="20">
        <f t="shared" si="2"/>
        <v>84</v>
      </c>
      <c r="G3" s="21">
        <v>140</v>
      </c>
      <c r="H3" s="20">
        <f t="shared" si="3"/>
        <v>72</v>
      </c>
      <c r="I3" s="21">
        <v>180</v>
      </c>
      <c r="J3" s="20">
        <f t="shared" si="4"/>
        <v>54</v>
      </c>
      <c r="K3" s="21">
        <v>90</v>
      </c>
      <c r="L3" s="20">
        <f t="shared" si="5"/>
        <v>54</v>
      </c>
      <c r="M3" s="21">
        <v>90</v>
      </c>
      <c r="N3" s="20">
        <f t="shared" si="6"/>
        <v>12</v>
      </c>
      <c r="O3" s="21">
        <v>60</v>
      </c>
      <c r="P3" s="26" t="s">
        <v>5486</v>
      </c>
      <c r="Q3" s="30">
        <v>5</v>
      </c>
      <c r="R3" s="30">
        <v>1</v>
      </c>
      <c r="S3" s="30">
        <v>50</v>
      </c>
      <c r="T3" s="30" t="s">
        <v>5487</v>
      </c>
      <c r="U3" s="31">
        <v>17</v>
      </c>
      <c r="V3" s="32" t="s">
        <v>5488</v>
      </c>
      <c r="W3" s="21" t="s">
        <v>5489</v>
      </c>
      <c r="X3" s="21" t="s">
        <v>5490</v>
      </c>
      <c r="Y3" s="32" t="s">
        <v>5491</v>
      </c>
      <c r="Z3" s="20">
        <v>50</v>
      </c>
      <c r="AA3" s="20" t="s">
        <v>5492</v>
      </c>
      <c r="AB3" s="32" t="s">
        <v>127</v>
      </c>
      <c r="AC3" s="20">
        <v>60</v>
      </c>
      <c r="AD3" s="20" t="s">
        <v>5493</v>
      </c>
      <c r="AE3" s="32" t="s">
        <v>5494</v>
      </c>
      <c r="AF3" s="20">
        <v>80</v>
      </c>
      <c r="AG3" s="20" t="s">
        <v>5495</v>
      </c>
      <c r="AH3" s="32"/>
      <c r="AI3" s="20"/>
      <c r="AJ3" s="20"/>
      <c r="AK3" s="32"/>
      <c r="AL3" s="20"/>
      <c r="AM3" s="20"/>
      <c r="AN3" s="20"/>
      <c r="AO3" s="20"/>
      <c r="AP3" s="20"/>
      <c r="AQ3" s="21" t="s">
        <v>5496</v>
      </c>
      <c r="AR3" s="21" t="s">
        <v>5497</v>
      </c>
      <c r="AS3" s="21" t="s">
        <v>5500</v>
      </c>
      <c r="AU3" s="21"/>
    </row>
    <row r="4" s="10" customFormat="1" spans="1:47">
      <c r="A4" s="20" t="s">
        <v>5501</v>
      </c>
      <c r="B4" s="20" t="str">
        <f t="shared" si="0"/>
        <v>中型</v>
      </c>
      <c r="C4" s="21" t="s">
        <v>5502</v>
      </c>
      <c r="D4" s="20">
        <f t="shared" si="1"/>
        <v>60</v>
      </c>
      <c r="E4" s="21">
        <v>150</v>
      </c>
      <c r="F4" s="20">
        <f t="shared" si="2"/>
        <v>54</v>
      </c>
      <c r="G4" s="21">
        <v>90</v>
      </c>
      <c r="H4" s="20">
        <f t="shared" si="3"/>
        <v>48</v>
      </c>
      <c r="I4" s="21">
        <v>120</v>
      </c>
      <c r="J4" s="20">
        <f t="shared" si="4"/>
        <v>72</v>
      </c>
      <c r="K4" s="21">
        <v>120</v>
      </c>
      <c r="L4" s="20">
        <f t="shared" si="5"/>
        <v>54</v>
      </c>
      <c r="M4" s="21">
        <v>90</v>
      </c>
      <c r="N4" s="20">
        <f t="shared" si="6"/>
        <v>16</v>
      </c>
      <c r="O4" s="21">
        <v>80</v>
      </c>
      <c r="P4" s="26" t="s">
        <v>5503</v>
      </c>
      <c r="Q4" s="30">
        <v>1</v>
      </c>
      <c r="R4" s="30">
        <v>1</v>
      </c>
      <c r="S4" s="30">
        <v>45</v>
      </c>
      <c r="T4" s="30" t="s">
        <v>5504</v>
      </c>
      <c r="U4" s="31">
        <v>47</v>
      </c>
      <c r="V4" s="32" t="s">
        <v>5505</v>
      </c>
      <c r="W4" s="21" t="s">
        <v>5506</v>
      </c>
      <c r="X4" s="21" t="s">
        <v>5507</v>
      </c>
      <c r="Y4" s="32" t="s">
        <v>5508</v>
      </c>
      <c r="Z4" s="20">
        <v>90</v>
      </c>
      <c r="AA4" s="20" t="s">
        <v>5509</v>
      </c>
      <c r="AB4" s="32" t="s">
        <v>140</v>
      </c>
      <c r="AC4" s="20">
        <v>70</v>
      </c>
      <c r="AD4" s="20" t="s">
        <v>5510</v>
      </c>
      <c r="AE4" s="32"/>
      <c r="AF4" s="20"/>
      <c r="AG4" s="20"/>
      <c r="AH4" s="32"/>
      <c r="AI4" s="20"/>
      <c r="AJ4" s="20"/>
      <c r="AK4" s="32"/>
      <c r="AL4" s="20"/>
      <c r="AM4" s="20"/>
      <c r="AN4" s="20"/>
      <c r="AO4" s="20"/>
      <c r="AP4" s="20"/>
      <c r="AQ4" s="21" t="s">
        <v>5511</v>
      </c>
      <c r="AR4" s="21" t="s">
        <v>5512</v>
      </c>
      <c r="AU4" s="21"/>
    </row>
    <row r="5" s="10" customFormat="1" spans="1:47">
      <c r="A5" s="20" t="s">
        <v>5513</v>
      </c>
      <c r="B5" s="20" t="str">
        <f t="shared" si="0"/>
        <v>小型</v>
      </c>
      <c r="C5" s="21" t="s">
        <v>5514</v>
      </c>
      <c r="D5" s="20">
        <f t="shared" si="1"/>
        <v>16</v>
      </c>
      <c r="E5" s="21">
        <v>40</v>
      </c>
      <c r="F5" s="20">
        <f t="shared" si="2"/>
        <v>36</v>
      </c>
      <c r="G5" s="21">
        <v>60</v>
      </c>
      <c r="H5" s="20">
        <f t="shared" si="3"/>
        <v>16</v>
      </c>
      <c r="I5" s="21">
        <v>40</v>
      </c>
      <c r="J5" s="20">
        <f t="shared" si="4"/>
        <v>72</v>
      </c>
      <c r="K5" s="21">
        <v>120</v>
      </c>
      <c r="L5" s="20">
        <f t="shared" si="5"/>
        <v>36</v>
      </c>
      <c r="M5" s="21">
        <v>60</v>
      </c>
      <c r="N5" s="20">
        <f t="shared" si="6"/>
        <v>12</v>
      </c>
      <c r="O5" s="21">
        <v>60</v>
      </c>
      <c r="P5" s="26" t="s">
        <v>5515</v>
      </c>
      <c r="Q5" s="30">
        <v>0</v>
      </c>
      <c r="R5" s="30">
        <v>1</v>
      </c>
      <c r="S5" s="30">
        <v>40</v>
      </c>
      <c r="T5" s="30" t="s">
        <v>5516</v>
      </c>
      <c r="U5" s="31">
        <v>52</v>
      </c>
      <c r="V5" s="32" t="s">
        <v>5517</v>
      </c>
      <c r="W5" s="21" t="s">
        <v>5506</v>
      </c>
      <c r="X5" s="21" t="s">
        <v>5518</v>
      </c>
      <c r="Y5" s="32" t="s">
        <v>5519</v>
      </c>
      <c r="Z5" s="20">
        <v>75</v>
      </c>
      <c r="AA5" s="20" t="s">
        <v>5520</v>
      </c>
      <c r="AB5" s="32"/>
      <c r="AC5" s="20"/>
      <c r="AD5" s="20"/>
      <c r="AE5" s="32"/>
      <c r="AF5" s="20"/>
      <c r="AG5" s="20"/>
      <c r="AH5" s="32"/>
      <c r="AI5" s="20"/>
      <c r="AJ5" s="20"/>
      <c r="AK5" s="32"/>
      <c r="AL5" s="20"/>
      <c r="AM5" s="20"/>
      <c r="AN5" s="20"/>
      <c r="AO5" s="20"/>
      <c r="AP5" s="20"/>
      <c r="AQ5" s="21" t="s">
        <v>5521</v>
      </c>
      <c r="AR5" s="21" t="s">
        <v>5522</v>
      </c>
      <c r="AU5" s="21"/>
    </row>
    <row r="6" s="10" customFormat="1" spans="1:47">
      <c r="A6" s="20" t="s">
        <v>5523</v>
      </c>
      <c r="B6" s="20" t="str">
        <f t="shared" si="0"/>
        <v>中型</v>
      </c>
      <c r="C6" s="21" t="s">
        <v>5524</v>
      </c>
      <c r="D6" s="20">
        <f t="shared" si="1"/>
        <v>56</v>
      </c>
      <c r="E6" s="21">
        <v>140</v>
      </c>
      <c r="F6" s="20">
        <f t="shared" si="2"/>
        <v>54</v>
      </c>
      <c r="G6" s="21">
        <v>90</v>
      </c>
      <c r="H6" s="20">
        <f t="shared" si="3"/>
        <v>56</v>
      </c>
      <c r="I6" s="21">
        <v>140</v>
      </c>
      <c r="J6" s="20">
        <f t="shared" si="4"/>
        <v>54</v>
      </c>
      <c r="K6" s="21">
        <v>90</v>
      </c>
      <c r="L6" s="20">
        <f t="shared" si="5"/>
        <v>54</v>
      </c>
      <c r="M6" s="21">
        <v>90</v>
      </c>
      <c r="N6" s="20">
        <f t="shared" si="6"/>
        <v>17</v>
      </c>
      <c r="O6" s="21">
        <v>85</v>
      </c>
      <c r="P6" s="26" t="s">
        <v>5525</v>
      </c>
      <c r="Q6" s="30">
        <v>3</v>
      </c>
      <c r="R6" s="30">
        <v>2</v>
      </c>
      <c r="S6" s="30">
        <v>40</v>
      </c>
      <c r="T6" s="30" t="s">
        <v>5504</v>
      </c>
      <c r="U6" s="31">
        <v>25</v>
      </c>
      <c r="V6" s="32" t="s">
        <v>5526</v>
      </c>
      <c r="W6" s="21" t="s">
        <v>5527</v>
      </c>
      <c r="X6" s="21" t="s">
        <v>5528</v>
      </c>
      <c r="Y6" s="32" t="s">
        <v>82</v>
      </c>
      <c r="Z6" s="20">
        <v>70</v>
      </c>
      <c r="AA6" s="20" t="s">
        <v>5529</v>
      </c>
      <c r="AB6" s="32" t="s">
        <v>66</v>
      </c>
      <c r="AC6" s="20">
        <v>75</v>
      </c>
      <c r="AD6" s="20" t="s">
        <v>5510</v>
      </c>
      <c r="AE6" s="32" t="s">
        <v>5530</v>
      </c>
      <c r="AF6" s="20">
        <v>70</v>
      </c>
      <c r="AG6" s="20" t="s">
        <v>5531</v>
      </c>
      <c r="AH6" s="32" t="s">
        <v>134</v>
      </c>
      <c r="AI6" s="20">
        <v>80</v>
      </c>
      <c r="AJ6" s="20" t="s">
        <v>5510</v>
      </c>
      <c r="AK6" s="32"/>
      <c r="AL6" s="20"/>
      <c r="AM6" s="20"/>
      <c r="AN6" s="20"/>
      <c r="AO6" s="20"/>
      <c r="AP6" s="20"/>
      <c r="AQ6" s="21" t="s">
        <v>5532</v>
      </c>
      <c r="AR6" s="21" t="s">
        <v>5533</v>
      </c>
      <c r="AU6" s="21"/>
    </row>
    <row r="7" s="10" customFormat="1" spans="1:47">
      <c r="A7" s="20" t="s">
        <v>2274</v>
      </c>
      <c r="B7" s="20" t="str">
        <f t="shared" si="0"/>
        <v>小型</v>
      </c>
      <c r="C7" s="21" t="s">
        <v>5514</v>
      </c>
      <c r="D7" s="20">
        <f t="shared" si="1"/>
        <v>24</v>
      </c>
      <c r="E7" s="21">
        <v>60</v>
      </c>
      <c r="F7" s="20">
        <f t="shared" si="2"/>
        <v>54</v>
      </c>
      <c r="G7" s="21">
        <v>90</v>
      </c>
      <c r="H7" s="20">
        <f t="shared" si="3"/>
        <v>24</v>
      </c>
      <c r="I7" s="21">
        <v>60</v>
      </c>
      <c r="J7" s="20">
        <f t="shared" si="4"/>
        <v>72</v>
      </c>
      <c r="K7" s="21">
        <v>120</v>
      </c>
      <c r="L7" s="20">
        <f t="shared" si="5"/>
        <v>36</v>
      </c>
      <c r="M7" s="21">
        <v>60</v>
      </c>
      <c r="N7" s="20">
        <f t="shared" si="6"/>
        <v>18</v>
      </c>
      <c r="O7" s="21">
        <v>90</v>
      </c>
      <c r="P7" s="26" t="s">
        <v>5534</v>
      </c>
      <c r="Q7" s="30">
        <v>0</v>
      </c>
      <c r="R7" s="30">
        <v>1</v>
      </c>
      <c r="S7" s="30">
        <v>50</v>
      </c>
      <c r="T7" s="30" t="s">
        <v>4096</v>
      </c>
      <c r="U7" s="31">
        <v>42</v>
      </c>
      <c r="V7" s="32" t="s">
        <v>5535</v>
      </c>
      <c r="W7" s="21" t="s">
        <v>5536</v>
      </c>
      <c r="X7" s="21" t="s">
        <v>5537</v>
      </c>
      <c r="Y7" s="32" t="s">
        <v>66</v>
      </c>
      <c r="Z7" s="20">
        <v>75</v>
      </c>
      <c r="AA7" s="20" t="s">
        <v>5510</v>
      </c>
      <c r="AB7" s="32" t="s">
        <v>5530</v>
      </c>
      <c r="AC7" s="20">
        <v>90</v>
      </c>
      <c r="AD7" s="20" t="s">
        <v>5538</v>
      </c>
      <c r="AE7" s="32"/>
      <c r="AF7" s="20"/>
      <c r="AG7" s="20"/>
      <c r="AH7" s="32"/>
      <c r="AI7" s="20"/>
      <c r="AJ7" s="20"/>
      <c r="AK7" s="32"/>
      <c r="AL7" s="20"/>
      <c r="AM7" s="20"/>
      <c r="AN7" s="20"/>
      <c r="AO7" s="20"/>
      <c r="AP7" s="20"/>
      <c r="AQ7" s="21" t="s">
        <v>5539</v>
      </c>
      <c r="AR7" s="21" t="s">
        <v>5540</v>
      </c>
      <c r="AU7" s="21"/>
    </row>
    <row r="8" s="10" customFormat="1" spans="1:47">
      <c r="A8" s="20" t="s">
        <v>5541</v>
      </c>
      <c r="B8" s="20" t="str">
        <f t="shared" si="0"/>
        <v>小型</v>
      </c>
      <c r="C8" s="21" t="s">
        <v>5542</v>
      </c>
      <c r="D8" s="20">
        <f t="shared" si="1"/>
        <v>36</v>
      </c>
      <c r="E8" s="21">
        <v>90</v>
      </c>
      <c r="F8" s="20">
        <f t="shared" si="2"/>
        <v>54</v>
      </c>
      <c r="G8" s="21">
        <v>90</v>
      </c>
      <c r="H8" s="20">
        <f t="shared" si="3"/>
        <v>26</v>
      </c>
      <c r="I8" s="21">
        <v>65</v>
      </c>
      <c r="J8" s="20">
        <f t="shared" si="4"/>
        <v>54</v>
      </c>
      <c r="K8" s="21">
        <v>90</v>
      </c>
      <c r="L8" s="20">
        <f t="shared" si="5"/>
        <v>54</v>
      </c>
      <c r="M8" s="21">
        <v>90</v>
      </c>
      <c r="N8" s="20">
        <f t="shared" si="6"/>
        <v>16</v>
      </c>
      <c r="O8" s="21">
        <v>80</v>
      </c>
      <c r="P8" s="26" t="s">
        <v>5534</v>
      </c>
      <c r="Q8" s="30">
        <v>1</v>
      </c>
      <c r="R8" s="30">
        <v>1</v>
      </c>
      <c r="S8" s="30">
        <v>50</v>
      </c>
      <c r="T8" s="30" t="s">
        <v>5543</v>
      </c>
      <c r="U8" s="31">
        <v>32</v>
      </c>
      <c r="V8" s="32" t="s">
        <v>5544</v>
      </c>
      <c r="W8" s="21" t="s">
        <v>5527</v>
      </c>
      <c r="X8" s="21" t="s">
        <v>5545</v>
      </c>
      <c r="Y8" s="32" t="s">
        <v>140</v>
      </c>
      <c r="Z8" s="20">
        <v>90</v>
      </c>
      <c r="AA8" s="20" t="s">
        <v>5510</v>
      </c>
      <c r="AB8" s="32" t="s">
        <v>5508</v>
      </c>
      <c r="AC8" s="20">
        <v>60</v>
      </c>
      <c r="AD8" s="20" t="s">
        <v>5510</v>
      </c>
      <c r="AE8" s="32" t="s">
        <v>5546</v>
      </c>
      <c r="AF8" s="20">
        <v>90</v>
      </c>
      <c r="AG8" s="20" t="s">
        <v>5547</v>
      </c>
      <c r="AH8" s="32"/>
      <c r="AI8" s="20"/>
      <c r="AJ8" s="20"/>
      <c r="AK8" s="32"/>
      <c r="AL8" s="20"/>
      <c r="AM8" s="20"/>
      <c r="AN8" s="20"/>
      <c r="AO8" s="20"/>
      <c r="AP8" s="20"/>
      <c r="AQ8" s="21" t="s">
        <v>5548</v>
      </c>
      <c r="AR8" s="21" t="s">
        <v>5549</v>
      </c>
      <c r="AU8" s="21"/>
    </row>
    <row r="9" s="10" customFormat="1" spans="1:47">
      <c r="A9" s="20" t="s">
        <v>5550</v>
      </c>
      <c r="B9" s="20" t="str">
        <f t="shared" si="0"/>
        <v>大型</v>
      </c>
      <c r="C9" s="21" t="s">
        <v>5551</v>
      </c>
      <c r="D9" s="20">
        <f t="shared" si="1"/>
        <v>72</v>
      </c>
      <c r="E9" s="21">
        <v>180</v>
      </c>
      <c r="F9" s="20">
        <f t="shared" si="2"/>
        <v>54</v>
      </c>
      <c r="G9" s="21">
        <v>90</v>
      </c>
      <c r="H9" s="20">
        <f t="shared" si="3"/>
        <v>96</v>
      </c>
      <c r="I9" s="21">
        <v>240</v>
      </c>
      <c r="J9" s="20">
        <f t="shared" si="4"/>
        <v>54</v>
      </c>
      <c r="K9" s="21">
        <v>90</v>
      </c>
      <c r="L9" s="20">
        <f t="shared" si="5"/>
        <v>54</v>
      </c>
      <c r="M9" s="21">
        <v>90</v>
      </c>
      <c r="N9" s="20">
        <f t="shared" si="6"/>
        <v>16</v>
      </c>
      <c r="O9" s="21">
        <v>80</v>
      </c>
      <c r="P9" s="26">
        <v>12</v>
      </c>
      <c r="Q9" s="30">
        <v>0</v>
      </c>
      <c r="R9" s="30">
        <v>1</v>
      </c>
      <c r="S9" s="30">
        <v>25</v>
      </c>
      <c r="T9" s="30" t="s">
        <v>5543</v>
      </c>
      <c r="U9" s="31">
        <v>25</v>
      </c>
      <c r="V9" s="32" t="s">
        <v>5552</v>
      </c>
      <c r="W9" s="21" t="s">
        <v>5527</v>
      </c>
      <c r="X9" s="21" t="s">
        <v>5553</v>
      </c>
      <c r="Y9" s="32" t="s">
        <v>150</v>
      </c>
      <c r="Z9" s="20">
        <v>70</v>
      </c>
      <c r="AA9" s="20" t="s">
        <v>5554</v>
      </c>
      <c r="AB9" s="32"/>
      <c r="AC9" s="20"/>
      <c r="AD9" s="20"/>
      <c r="AE9" s="32"/>
      <c r="AF9" s="20"/>
      <c r="AG9" s="20"/>
      <c r="AH9" s="32"/>
      <c r="AI9" s="20"/>
      <c r="AJ9" s="20"/>
      <c r="AK9" s="32"/>
      <c r="AL9" s="20"/>
      <c r="AM9" s="20"/>
      <c r="AN9" s="20"/>
      <c r="AO9" s="20"/>
      <c r="AP9" s="20"/>
      <c r="AQ9" s="21" t="s">
        <v>5555</v>
      </c>
      <c r="AR9" s="21" t="s">
        <v>5556</v>
      </c>
      <c r="AU9" s="21"/>
    </row>
    <row r="10" s="10" customFormat="1" spans="1:47">
      <c r="A10" s="20" t="s">
        <v>5557</v>
      </c>
      <c r="B10" s="20" t="str">
        <f t="shared" si="0"/>
        <v>中型</v>
      </c>
      <c r="C10" s="21" t="s">
        <v>5558</v>
      </c>
      <c r="D10" s="20">
        <f t="shared" si="1"/>
        <v>60</v>
      </c>
      <c r="E10" s="21">
        <v>150</v>
      </c>
      <c r="F10" s="20">
        <f t="shared" si="2"/>
        <v>90</v>
      </c>
      <c r="G10" s="21">
        <v>150</v>
      </c>
      <c r="H10" s="20">
        <f t="shared" si="3"/>
        <v>60</v>
      </c>
      <c r="I10" s="21">
        <v>150</v>
      </c>
      <c r="J10" s="20">
        <f t="shared" si="4"/>
        <v>54</v>
      </c>
      <c r="K10" s="21">
        <v>90</v>
      </c>
      <c r="L10" s="20">
        <f t="shared" si="5"/>
        <v>54</v>
      </c>
      <c r="M10" s="21">
        <v>90</v>
      </c>
      <c r="N10" s="20">
        <f t="shared" si="6"/>
        <v>12</v>
      </c>
      <c r="O10" s="21">
        <v>60</v>
      </c>
      <c r="P10" s="26" t="s">
        <v>5559</v>
      </c>
      <c r="Q10" s="30">
        <v>5</v>
      </c>
      <c r="R10" s="30">
        <v>2</v>
      </c>
      <c r="S10" s="30">
        <v>75</v>
      </c>
      <c r="T10" s="30" t="s">
        <v>5560</v>
      </c>
      <c r="U10" s="31">
        <v>25</v>
      </c>
      <c r="V10" s="32" t="s">
        <v>5561</v>
      </c>
      <c r="W10" s="21" t="s">
        <v>5489</v>
      </c>
      <c r="X10" s="21" t="s">
        <v>5562</v>
      </c>
      <c r="Y10" s="32" t="s">
        <v>5563</v>
      </c>
      <c r="Z10" s="20">
        <v>95</v>
      </c>
      <c r="AA10" s="20" t="s">
        <v>5564</v>
      </c>
      <c r="AB10" s="32" t="s">
        <v>5530</v>
      </c>
      <c r="AC10" s="20">
        <v>90</v>
      </c>
      <c r="AD10" s="20" t="s">
        <v>5565</v>
      </c>
      <c r="AE10" s="32"/>
      <c r="AF10" s="20"/>
      <c r="AG10" s="20"/>
      <c r="AH10" s="32"/>
      <c r="AI10" s="20"/>
      <c r="AJ10" s="20"/>
      <c r="AK10" s="32"/>
      <c r="AL10" s="20"/>
      <c r="AM10" s="20"/>
      <c r="AN10" s="20"/>
      <c r="AO10" s="20"/>
      <c r="AP10" s="20"/>
      <c r="AQ10" s="21" t="s">
        <v>5566</v>
      </c>
      <c r="AR10" s="21" t="s">
        <v>5567</v>
      </c>
      <c r="AU10" s="21"/>
    </row>
    <row r="11" s="10" customFormat="1" spans="1:47">
      <c r="A11" s="20" t="s">
        <v>5568</v>
      </c>
      <c r="B11" s="20" t="str">
        <f t="shared" si="0"/>
        <v>小型</v>
      </c>
      <c r="C11" s="21" t="s">
        <v>5514</v>
      </c>
      <c r="D11" s="20">
        <f t="shared" si="1"/>
        <v>20</v>
      </c>
      <c r="E11" s="21">
        <v>50</v>
      </c>
      <c r="F11" s="20">
        <f t="shared" si="2"/>
        <v>48</v>
      </c>
      <c r="G11" s="21">
        <v>80</v>
      </c>
      <c r="H11" s="20">
        <f t="shared" si="3"/>
        <v>20</v>
      </c>
      <c r="I11" s="21">
        <v>50</v>
      </c>
      <c r="J11" s="20">
        <f t="shared" si="4"/>
        <v>72</v>
      </c>
      <c r="K11" s="21">
        <v>120</v>
      </c>
      <c r="L11" s="20">
        <f t="shared" si="5"/>
        <v>54</v>
      </c>
      <c r="M11" s="21">
        <v>90</v>
      </c>
      <c r="N11" s="20">
        <f t="shared" si="6"/>
        <v>16</v>
      </c>
      <c r="O11" s="21">
        <v>80</v>
      </c>
      <c r="P11" s="26">
        <v>9</v>
      </c>
      <c r="Q11" s="30">
        <v>0</v>
      </c>
      <c r="R11" s="30">
        <v>1</v>
      </c>
      <c r="S11" s="30">
        <v>40</v>
      </c>
      <c r="T11" s="30" t="s">
        <v>4092</v>
      </c>
      <c r="U11" s="31">
        <v>42</v>
      </c>
      <c r="V11" s="32" t="s">
        <v>5569</v>
      </c>
      <c r="W11" s="21" t="s">
        <v>5506</v>
      </c>
      <c r="X11" s="21" t="s">
        <v>5570</v>
      </c>
      <c r="Y11" s="32" t="s">
        <v>127</v>
      </c>
      <c r="Z11" s="20">
        <v>70</v>
      </c>
      <c r="AA11" s="20" t="s">
        <v>5571</v>
      </c>
      <c r="AB11" s="32" t="s">
        <v>5530</v>
      </c>
      <c r="AC11" s="20">
        <v>50</v>
      </c>
      <c r="AD11" s="20" t="s">
        <v>5572</v>
      </c>
      <c r="AE11" s="32"/>
      <c r="AF11" s="20"/>
      <c r="AG11" s="20"/>
      <c r="AH11" s="32"/>
      <c r="AI11" s="20"/>
      <c r="AJ11" s="20"/>
      <c r="AK11" s="32"/>
      <c r="AL11" s="20"/>
      <c r="AM11" s="20"/>
      <c r="AN11" s="20"/>
      <c r="AO11" s="20"/>
      <c r="AP11" s="20"/>
      <c r="AQ11" s="21" t="s">
        <v>5521</v>
      </c>
      <c r="AR11" s="21" t="s">
        <v>5573</v>
      </c>
      <c r="AU11" s="21"/>
    </row>
    <row r="12" s="10" customFormat="1" spans="1:47">
      <c r="A12" s="20" t="s">
        <v>5574</v>
      </c>
      <c r="B12" s="20" t="str">
        <f t="shared" si="0"/>
        <v>中型</v>
      </c>
      <c r="C12" s="21" t="s">
        <v>5485</v>
      </c>
      <c r="D12" s="20">
        <f t="shared" si="1"/>
        <v>60</v>
      </c>
      <c r="E12" s="21">
        <v>150</v>
      </c>
      <c r="F12" s="20">
        <f t="shared" si="2"/>
        <v>54</v>
      </c>
      <c r="G12" s="21">
        <v>90</v>
      </c>
      <c r="H12" s="20">
        <f t="shared" si="3"/>
        <v>48</v>
      </c>
      <c r="I12" s="21">
        <v>120</v>
      </c>
      <c r="J12" s="20">
        <f t="shared" si="4"/>
        <v>54</v>
      </c>
      <c r="K12" s="21">
        <v>90</v>
      </c>
      <c r="L12" s="20">
        <f t="shared" si="5"/>
        <v>54</v>
      </c>
      <c r="M12" s="21">
        <v>90</v>
      </c>
      <c r="N12" s="20">
        <f t="shared" si="6"/>
        <v>12</v>
      </c>
      <c r="O12" s="21">
        <v>60</v>
      </c>
      <c r="P12" s="26">
        <v>6</v>
      </c>
      <c r="Q12" s="30">
        <v>2</v>
      </c>
      <c r="R12" s="30">
        <v>1</v>
      </c>
      <c r="S12" s="30">
        <v>50</v>
      </c>
      <c r="T12" s="30" t="s">
        <v>5504</v>
      </c>
      <c r="U12" s="31">
        <v>32</v>
      </c>
      <c r="V12" s="32" t="s">
        <v>5575</v>
      </c>
      <c r="W12" s="21" t="s">
        <v>5489</v>
      </c>
      <c r="X12" s="21" t="s">
        <v>5576</v>
      </c>
      <c r="Y12" s="32" t="s">
        <v>127</v>
      </c>
      <c r="Z12" s="20">
        <v>90</v>
      </c>
      <c r="AA12" s="20" t="s">
        <v>5577</v>
      </c>
      <c r="AB12" s="32" t="s">
        <v>5578</v>
      </c>
      <c r="AC12" s="20">
        <v>50</v>
      </c>
      <c r="AD12" s="20" t="s">
        <v>5579</v>
      </c>
      <c r="AE12" s="32"/>
      <c r="AF12" s="20"/>
      <c r="AG12" s="20"/>
      <c r="AH12" s="32"/>
      <c r="AI12" s="20"/>
      <c r="AJ12" s="20"/>
      <c r="AK12" s="32"/>
      <c r="AL12" s="20"/>
      <c r="AM12" s="20"/>
      <c r="AN12" s="20"/>
      <c r="AO12" s="20"/>
      <c r="AP12" s="20"/>
      <c r="AQ12" s="21" t="s">
        <v>5496</v>
      </c>
      <c r="AR12" s="21" t="s">
        <v>5497</v>
      </c>
      <c r="AU12" s="21"/>
    </row>
    <row r="13" s="10" customFormat="1" spans="1:47">
      <c r="A13" s="20" t="s">
        <v>5580</v>
      </c>
      <c r="B13" s="20" t="str">
        <f t="shared" si="0"/>
        <v>小型</v>
      </c>
      <c r="C13" s="21" t="s">
        <v>5581</v>
      </c>
      <c r="D13" s="20">
        <f t="shared" si="1"/>
        <v>24</v>
      </c>
      <c r="E13" s="21">
        <v>60</v>
      </c>
      <c r="F13" s="20">
        <f t="shared" si="2"/>
        <v>36</v>
      </c>
      <c r="G13" s="21">
        <v>60</v>
      </c>
      <c r="H13" s="20">
        <f t="shared" si="3"/>
        <v>12</v>
      </c>
      <c r="I13" s="21">
        <v>30</v>
      </c>
      <c r="J13" s="20">
        <f t="shared" si="4"/>
        <v>90</v>
      </c>
      <c r="K13" s="21">
        <v>150</v>
      </c>
      <c r="L13" s="20">
        <f t="shared" si="5"/>
        <v>54</v>
      </c>
      <c r="M13" s="21">
        <v>90</v>
      </c>
      <c r="N13" s="20">
        <f t="shared" si="6"/>
        <v>12</v>
      </c>
      <c r="O13" s="21">
        <v>60</v>
      </c>
      <c r="P13" s="26">
        <v>8</v>
      </c>
      <c r="Q13" s="30">
        <v>0</v>
      </c>
      <c r="R13" s="30">
        <v>1</v>
      </c>
      <c r="S13" s="30">
        <v>40</v>
      </c>
      <c r="T13" s="30" t="s">
        <v>5582</v>
      </c>
      <c r="U13" s="31">
        <v>45</v>
      </c>
      <c r="V13" s="32" t="s">
        <v>5583</v>
      </c>
      <c r="W13" s="21" t="s">
        <v>5584</v>
      </c>
      <c r="X13" s="21" t="s">
        <v>5585</v>
      </c>
      <c r="Y13" s="32" t="s">
        <v>127</v>
      </c>
      <c r="Z13" s="20">
        <v>90</v>
      </c>
      <c r="AA13" s="20" t="s">
        <v>5577</v>
      </c>
      <c r="AB13" s="32" t="s">
        <v>5586</v>
      </c>
      <c r="AC13" s="20">
        <v>30</v>
      </c>
      <c r="AD13" s="20" t="s">
        <v>5587</v>
      </c>
      <c r="AE13" s="32"/>
      <c r="AF13" s="20"/>
      <c r="AG13" s="20"/>
      <c r="AH13" s="32"/>
      <c r="AI13" s="20"/>
      <c r="AJ13" s="20"/>
      <c r="AK13" s="32"/>
      <c r="AL13" s="20"/>
      <c r="AM13" s="20"/>
      <c r="AN13" s="20"/>
      <c r="AO13" s="20"/>
      <c r="AP13" s="20"/>
      <c r="AQ13" s="21" t="s">
        <v>5496</v>
      </c>
      <c r="AR13" s="21" t="s">
        <v>5497</v>
      </c>
      <c r="AU13" s="21"/>
    </row>
    <row r="14" s="10" customFormat="1" spans="1:47">
      <c r="A14" s="20" t="s">
        <v>5588</v>
      </c>
      <c r="B14" s="20" t="str">
        <f t="shared" si="0"/>
        <v>大型</v>
      </c>
      <c r="C14" s="21" t="s">
        <v>5589</v>
      </c>
      <c r="D14" s="20">
        <f t="shared" si="1"/>
        <v>72</v>
      </c>
      <c r="E14" s="21">
        <v>180</v>
      </c>
      <c r="F14" s="20">
        <f t="shared" si="2"/>
        <v>54</v>
      </c>
      <c r="G14" s="21">
        <v>90</v>
      </c>
      <c r="H14" s="20">
        <f t="shared" si="3"/>
        <v>72</v>
      </c>
      <c r="I14" s="21">
        <v>180</v>
      </c>
      <c r="J14" s="20">
        <f t="shared" si="4"/>
        <v>72</v>
      </c>
      <c r="K14" s="21">
        <v>120</v>
      </c>
      <c r="L14" s="20">
        <f t="shared" si="5"/>
        <v>54</v>
      </c>
      <c r="M14" s="21">
        <v>90</v>
      </c>
      <c r="N14" s="20">
        <f t="shared" si="6"/>
        <v>18</v>
      </c>
      <c r="O14" s="21">
        <v>90</v>
      </c>
      <c r="P14" s="26" t="s">
        <v>5590</v>
      </c>
      <c r="Q14" s="30">
        <v>2</v>
      </c>
      <c r="R14" s="30">
        <v>4</v>
      </c>
      <c r="S14" s="30">
        <v>45</v>
      </c>
      <c r="T14" s="30" t="s">
        <v>5504</v>
      </c>
      <c r="U14" s="31">
        <v>47</v>
      </c>
      <c r="V14" s="32" t="s">
        <v>5591</v>
      </c>
      <c r="W14" s="21" t="s">
        <v>5489</v>
      </c>
      <c r="X14" s="21" t="s">
        <v>5592</v>
      </c>
      <c r="Y14" s="32" t="s">
        <v>127</v>
      </c>
      <c r="Z14" s="20">
        <v>70</v>
      </c>
      <c r="AA14" s="20" t="s">
        <v>5593</v>
      </c>
      <c r="AB14" s="32" t="s">
        <v>5594</v>
      </c>
      <c r="AC14" s="20">
        <v>45</v>
      </c>
      <c r="AD14" s="20" t="s">
        <v>5595</v>
      </c>
      <c r="AE14" s="32"/>
      <c r="AF14" s="20"/>
      <c r="AG14" s="20"/>
      <c r="AH14" s="32"/>
      <c r="AI14" s="20"/>
      <c r="AJ14" s="20"/>
      <c r="AK14" s="32"/>
      <c r="AL14" s="20"/>
      <c r="AM14" s="20"/>
      <c r="AN14" s="20"/>
      <c r="AO14" s="20"/>
      <c r="AP14" s="20"/>
      <c r="AQ14" s="21" t="s">
        <v>5593</v>
      </c>
      <c r="AR14" s="21" t="s">
        <v>5596</v>
      </c>
      <c r="AU14" s="21"/>
    </row>
    <row r="15" s="10" customFormat="1" spans="1:47">
      <c r="A15" s="20" t="s">
        <v>5597</v>
      </c>
      <c r="B15" s="20" t="str">
        <f t="shared" si="0"/>
        <v>中型</v>
      </c>
      <c r="C15" s="21" t="s">
        <v>5542</v>
      </c>
      <c r="D15" s="20">
        <f t="shared" si="1"/>
        <v>48</v>
      </c>
      <c r="E15" s="21">
        <v>120</v>
      </c>
      <c r="F15" s="20">
        <f t="shared" si="2"/>
        <v>54</v>
      </c>
      <c r="G15" s="21">
        <v>90</v>
      </c>
      <c r="H15" s="20">
        <f t="shared" si="3"/>
        <v>48</v>
      </c>
      <c r="I15" s="21">
        <v>120</v>
      </c>
      <c r="J15" s="20">
        <f t="shared" si="4"/>
        <v>72</v>
      </c>
      <c r="K15" s="21">
        <v>120</v>
      </c>
      <c r="L15" s="20">
        <f t="shared" si="5"/>
        <v>54</v>
      </c>
      <c r="M15" s="21">
        <v>90</v>
      </c>
      <c r="N15" s="20">
        <f t="shared" si="6"/>
        <v>16</v>
      </c>
      <c r="O15" s="21">
        <v>80</v>
      </c>
      <c r="P15" s="26">
        <v>10</v>
      </c>
      <c r="Q15" s="30">
        <v>2</v>
      </c>
      <c r="R15" s="30">
        <v>2</v>
      </c>
      <c r="S15" s="30">
        <v>60</v>
      </c>
      <c r="T15" s="30" t="s">
        <v>5598</v>
      </c>
      <c r="U15" s="31">
        <v>25</v>
      </c>
      <c r="V15" s="32" t="s">
        <v>5526</v>
      </c>
      <c r="W15" s="21" t="s">
        <v>5527</v>
      </c>
      <c r="X15" s="21" t="s">
        <v>5599</v>
      </c>
      <c r="Y15" s="32" t="s">
        <v>127</v>
      </c>
      <c r="Z15" s="20">
        <v>30</v>
      </c>
      <c r="AA15" s="20" t="s">
        <v>5510</v>
      </c>
      <c r="AB15" s="32" t="s">
        <v>140</v>
      </c>
      <c r="AC15" s="20">
        <v>25</v>
      </c>
      <c r="AD15" s="20" t="s">
        <v>5510</v>
      </c>
      <c r="AE15" s="32"/>
      <c r="AF15" s="20"/>
      <c r="AG15" s="20"/>
      <c r="AH15" s="32"/>
      <c r="AI15" s="20"/>
      <c r="AJ15" s="20"/>
      <c r="AK15" s="32"/>
      <c r="AL15" s="20"/>
      <c r="AM15" s="20"/>
      <c r="AN15" s="20"/>
      <c r="AO15" s="20"/>
      <c r="AP15" s="20"/>
      <c r="AQ15" s="21" t="s">
        <v>5600</v>
      </c>
      <c r="AR15" s="21" t="s">
        <v>5601</v>
      </c>
      <c r="AU15" s="21"/>
    </row>
    <row r="16" customFormat="1" spans="1:47">
      <c r="A16" s="22" t="s">
        <v>5602</v>
      </c>
      <c r="B16" s="22" t="str">
        <f t="shared" si="0"/>
        <v>小型</v>
      </c>
      <c r="C16" s="23" t="s">
        <v>5502</v>
      </c>
      <c r="D16" s="22">
        <f t="shared" si="1"/>
        <v>34</v>
      </c>
      <c r="E16" s="23">
        <v>85</v>
      </c>
      <c r="F16" s="22">
        <f t="shared" si="2"/>
        <v>51</v>
      </c>
      <c r="G16" s="23">
        <v>85</v>
      </c>
      <c r="H16" s="22">
        <f t="shared" si="3"/>
        <v>34</v>
      </c>
      <c r="I16" s="23">
        <v>85</v>
      </c>
      <c r="J16" s="22">
        <f t="shared" si="4"/>
        <v>72</v>
      </c>
      <c r="K16" s="23">
        <v>120</v>
      </c>
      <c r="L16" s="22">
        <f t="shared" si="5"/>
        <v>51</v>
      </c>
      <c r="M16" s="23">
        <v>85</v>
      </c>
      <c r="N16" s="22">
        <f t="shared" si="6"/>
        <v>16</v>
      </c>
      <c r="O16" s="23">
        <v>80</v>
      </c>
      <c r="P16" s="27" t="s">
        <v>5503</v>
      </c>
      <c r="Q16" s="33">
        <v>1</v>
      </c>
      <c r="R16" s="33">
        <v>1</v>
      </c>
      <c r="S16" s="33">
        <v>45</v>
      </c>
      <c r="T16" s="33" t="s">
        <v>5603</v>
      </c>
      <c r="U16" s="34">
        <v>47</v>
      </c>
      <c r="V16" s="35" t="s">
        <v>5505</v>
      </c>
      <c r="W16" s="23" t="s">
        <v>5506</v>
      </c>
      <c r="X16" s="23" t="s">
        <v>5604</v>
      </c>
      <c r="Y16" s="35" t="s">
        <v>5508</v>
      </c>
      <c r="Z16" s="22">
        <v>90</v>
      </c>
      <c r="AA16" s="22" t="s">
        <v>5510</v>
      </c>
      <c r="AB16" s="35"/>
      <c r="AC16" s="22"/>
      <c r="AD16" s="22"/>
      <c r="AE16" s="35"/>
      <c r="AF16" s="22"/>
      <c r="AG16" s="22"/>
      <c r="AH16" s="35"/>
      <c r="AI16" s="22"/>
      <c r="AJ16" s="22"/>
      <c r="AK16" s="35"/>
      <c r="AL16" s="22"/>
      <c r="AM16" s="22"/>
      <c r="AN16" s="22"/>
      <c r="AO16" s="22"/>
      <c r="AP16" s="22"/>
      <c r="AQ16" s="23" t="s">
        <v>5605</v>
      </c>
      <c r="AR16" s="23" t="s">
        <v>5606</v>
      </c>
      <c r="AU16" s="23"/>
    </row>
    <row r="17" customFormat="1" spans="1:47">
      <c r="A17" s="22" t="s">
        <v>5607</v>
      </c>
      <c r="B17" s="22" t="str">
        <f t="shared" si="0"/>
        <v>小型</v>
      </c>
      <c r="C17" s="23" t="s">
        <v>5502</v>
      </c>
      <c r="D17" s="22">
        <f t="shared" si="1"/>
        <v>14</v>
      </c>
      <c r="E17" s="23">
        <v>35</v>
      </c>
      <c r="F17" s="22">
        <f t="shared" si="2"/>
        <v>45</v>
      </c>
      <c r="G17" s="23">
        <v>75</v>
      </c>
      <c r="H17" s="22">
        <f t="shared" si="3"/>
        <v>32</v>
      </c>
      <c r="I17" s="23">
        <v>80</v>
      </c>
      <c r="J17" s="22">
        <f t="shared" si="4"/>
        <v>60</v>
      </c>
      <c r="K17" s="23">
        <v>100</v>
      </c>
      <c r="L17" s="22">
        <f t="shared" si="5"/>
        <v>51</v>
      </c>
      <c r="M17" s="23">
        <v>85</v>
      </c>
      <c r="N17" s="22">
        <f t="shared" si="6"/>
        <v>16</v>
      </c>
      <c r="O17" s="23">
        <v>80</v>
      </c>
      <c r="P17" s="27" t="s">
        <v>5503</v>
      </c>
      <c r="Q17" s="33">
        <v>1</v>
      </c>
      <c r="R17" s="33">
        <v>1</v>
      </c>
      <c r="S17" s="33">
        <v>45</v>
      </c>
      <c r="T17" s="33" t="s">
        <v>5608</v>
      </c>
      <c r="U17" s="34">
        <v>32</v>
      </c>
      <c r="V17" s="35" t="s">
        <v>5505</v>
      </c>
      <c r="W17" s="23" t="s">
        <v>5506</v>
      </c>
      <c r="X17" s="23" t="s">
        <v>5604</v>
      </c>
      <c r="Y17" s="35" t="s">
        <v>5508</v>
      </c>
      <c r="Z17" s="22">
        <v>90</v>
      </c>
      <c r="AA17" s="22" t="s">
        <v>5510</v>
      </c>
      <c r="AB17" s="35"/>
      <c r="AC17" s="22"/>
      <c r="AD17" s="22"/>
      <c r="AE17" s="35"/>
      <c r="AF17" s="22"/>
      <c r="AG17" s="22"/>
      <c r="AH17" s="35"/>
      <c r="AI17" s="22"/>
      <c r="AJ17" s="22"/>
      <c r="AK17" s="35"/>
      <c r="AL17" s="22"/>
      <c r="AM17" s="22"/>
      <c r="AN17" s="22"/>
      <c r="AO17" s="22"/>
      <c r="AP17" s="22"/>
      <c r="AQ17" s="23" t="s">
        <v>5609</v>
      </c>
      <c r="AR17" s="23" t="s">
        <v>5610</v>
      </c>
      <c r="AU17" s="23"/>
    </row>
    <row r="18" customFormat="1" spans="1:47">
      <c r="A18" s="22" t="s">
        <v>5611</v>
      </c>
      <c r="B18" s="22" t="str">
        <f t="shared" si="0"/>
        <v>中型</v>
      </c>
      <c r="C18" s="23" t="s">
        <v>5502</v>
      </c>
      <c r="D18" s="22">
        <f t="shared" si="1"/>
        <v>64</v>
      </c>
      <c r="E18" s="23">
        <v>160</v>
      </c>
      <c r="F18" s="22">
        <f t="shared" si="2"/>
        <v>48</v>
      </c>
      <c r="G18" s="23">
        <v>80</v>
      </c>
      <c r="H18" s="22">
        <f t="shared" si="3"/>
        <v>52</v>
      </c>
      <c r="I18" s="23">
        <v>130</v>
      </c>
      <c r="J18" s="22">
        <f t="shared" si="4"/>
        <v>72</v>
      </c>
      <c r="K18" s="23">
        <v>120</v>
      </c>
      <c r="L18" s="22">
        <f t="shared" si="5"/>
        <v>54</v>
      </c>
      <c r="M18" s="23">
        <v>90</v>
      </c>
      <c r="N18" s="22">
        <f t="shared" si="6"/>
        <v>16</v>
      </c>
      <c r="O18" s="23">
        <v>80</v>
      </c>
      <c r="P18" s="27" t="s">
        <v>5503</v>
      </c>
      <c r="Q18" s="33">
        <v>1</v>
      </c>
      <c r="R18" s="33">
        <v>1</v>
      </c>
      <c r="S18" s="33">
        <v>45</v>
      </c>
      <c r="T18" s="33" t="s">
        <v>5504</v>
      </c>
      <c r="U18" s="34">
        <v>47</v>
      </c>
      <c r="V18" s="35" t="s">
        <v>5505</v>
      </c>
      <c r="W18" s="23" t="s">
        <v>5506</v>
      </c>
      <c r="X18" s="23" t="s">
        <v>5507</v>
      </c>
      <c r="Y18" s="35" t="s">
        <v>5508</v>
      </c>
      <c r="Z18" s="22">
        <v>90</v>
      </c>
      <c r="AA18" s="22" t="s">
        <v>5510</v>
      </c>
      <c r="AB18" s="35"/>
      <c r="AC18" s="22"/>
      <c r="AD18" s="22"/>
      <c r="AE18" s="35"/>
      <c r="AF18" s="22"/>
      <c r="AG18" s="22"/>
      <c r="AH18" s="35"/>
      <c r="AI18" s="22"/>
      <c r="AJ18" s="22"/>
      <c r="AK18" s="35"/>
      <c r="AL18" s="22"/>
      <c r="AM18" s="22"/>
      <c r="AN18" s="22"/>
      <c r="AO18" s="22"/>
      <c r="AP18" s="22"/>
      <c r="AQ18" s="23" t="s">
        <v>5612</v>
      </c>
      <c r="AR18" s="23" t="s">
        <v>5613</v>
      </c>
      <c r="AU18" s="23"/>
    </row>
    <row r="19" customFormat="1" spans="1:47">
      <c r="A19" s="22" t="s">
        <v>5614</v>
      </c>
      <c r="B19" s="22" t="str">
        <f t="shared" si="0"/>
        <v>中型</v>
      </c>
      <c r="C19" s="23" t="s">
        <v>5615</v>
      </c>
      <c r="D19" s="22">
        <f t="shared" si="1"/>
        <v>60</v>
      </c>
      <c r="E19" s="23">
        <v>150</v>
      </c>
      <c r="F19" s="22">
        <f t="shared" si="2"/>
        <v>54</v>
      </c>
      <c r="G19" s="23">
        <v>90</v>
      </c>
      <c r="H19" s="22">
        <f t="shared" si="3"/>
        <v>60</v>
      </c>
      <c r="I19" s="23">
        <v>150</v>
      </c>
      <c r="J19" s="22">
        <f t="shared" si="4"/>
        <v>48</v>
      </c>
      <c r="K19" s="23">
        <v>80</v>
      </c>
      <c r="L19" s="22">
        <f t="shared" si="5"/>
        <v>54</v>
      </c>
      <c r="M19" s="23">
        <v>90</v>
      </c>
      <c r="N19" s="22">
        <f t="shared" si="6"/>
        <v>17</v>
      </c>
      <c r="O19" s="23">
        <v>85</v>
      </c>
      <c r="P19" s="27" t="s">
        <v>5525</v>
      </c>
      <c r="Q19" s="33">
        <v>3</v>
      </c>
      <c r="R19" s="33">
        <v>2</v>
      </c>
      <c r="S19" s="33">
        <v>40</v>
      </c>
      <c r="T19" s="33" t="s">
        <v>4096</v>
      </c>
      <c r="U19" s="34">
        <v>27</v>
      </c>
      <c r="V19" s="35" t="s">
        <v>5488</v>
      </c>
      <c r="W19" s="23" t="s">
        <v>5489</v>
      </c>
      <c r="X19" s="23" t="s">
        <v>5490</v>
      </c>
      <c r="Y19" s="35" t="s">
        <v>82</v>
      </c>
      <c r="Z19" s="22">
        <v>60</v>
      </c>
      <c r="AA19" s="22" t="s">
        <v>5510</v>
      </c>
      <c r="AB19" s="35" t="s">
        <v>66</v>
      </c>
      <c r="AC19" s="22">
        <v>70</v>
      </c>
      <c r="AD19" s="22" t="s">
        <v>5510</v>
      </c>
      <c r="AE19" s="35" t="s">
        <v>5530</v>
      </c>
      <c r="AF19" s="22">
        <v>80</v>
      </c>
      <c r="AG19" s="22" t="s">
        <v>5510</v>
      </c>
      <c r="AH19" s="35" t="s">
        <v>134</v>
      </c>
      <c r="AI19" s="22">
        <v>80</v>
      </c>
      <c r="AJ19" s="22" t="s">
        <v>5510</v>
      </c>
      <c r="AK19" s="35"/>
      <c r="AL19" s="22"/>
      <c r="AM19" s="22"/>
      <c r="AN19" s="22"/>
      <c r="AO19" s="22"/>
      <c r="AP19" s="22"/>
      <c r="AQ19" s="23" t="s">
        <v>5616</v>
      </c>
      <c r="AR19" s="23" t="s">
        <v>5617</v>
      </c>
      <c r="AU19" s="23"/>
    </row>
    <row r="20" customFormat="1" spans="1:47">
      <c r="A20" s="22" t="s">
        <v>5618</v>
      </c>
      <c r="B20" s="22" t="str">
        <f t="shared" si="0"/>
        <v>大型</v>
      </c>
      <c r="C20" s="23" t="s">
        <v>5615</v>
      </c>
      <c r="D20" s="22">
        <f t="shared" si="1"/>
        <v>68</v>
      </c>
      <c r="E20" s="23">
        <v>170</v>
      </c>
      <c r="F20" s="22">
        <f t="shared" si="2"/>
        <v>60</v>
      </c>
      <c r="G20" s="23">
        <v>100</v>
      </c>
      <c r="H20" s="22">
        <f t="shared" si="3"/>
        <v>68</v>
      </c>
      <c r="I20" s="23">
        <v>170</v>
      </c>
      <c r="J20" s="22">
        <f t="shared" si="4"/>
        <v>48</v>
      </c>
      <c r="K20" s="23">
        <v>80</v>
      </c>
      <c r="L20" s="22">
        <f t="shared" si="5"/>
        <v>54</v>
      </c>
      <c r="M20" s="23">
        <v>90</v>
      </c>
      <c r="N20" s="22">
        <f t="shared" si="6"/>
        <v>17</v>
      </c>
      <c r="O20" s="23">
        <v>85</v>
      </c>
      <c r="P20" s="27" t="s">
        <v>5525</v>
      </c>
      <c r="Q20" s="33">
        <v>4</v>
      </c>
      <c r="R20" s="33">
        <v>2</v>
      </c>
      <c r="S20" s="33">
        <v>50</v>
      </c>
      <c r="T20" s="33" t="s">
        <v>5487</v>
      </c>
      <c r="U20" s="34">
        <v>27</v>
      </c>
      <c r="V20" s="35" t="s">
        <v>5488</v>
      </c>
      <c r="W20" s="23" t="s">
        <v>5489</v>
      </c>
      <c r="X20" s="23" t="s">
        <v>5490</v>
      </c>
      <c r="Y20" s="35" t="s">
        <v>82</v>
      </c>
      <c r="Z20" s="22">
        <v>50</v>
      </c>
      <c r="AA20" s="22" t="s">
        <v>5510</v>
      </c>
      <c r="AB20" s="35" t="s">
        <v>66</v>
      </c>
      <c r="AC20" s="22">
        <v>80</v>
      </c>
      <c r="AD20" s="22" t="s">
        <v>5510</v>
      </c>
      <c r="AE20" s="35" t="s">
        <v>5530</v>
      </c>
      <c r="AF20" s="22">
        <v>60</v>
      </c>
      <c r="AG20" s="22" t="s">
        <v>5510</v>
      </c>
      <c r="AH20" s="35" t="s">
        <v>134</v>
      </c>
      <c r="AI20" s="22">
        <v>80</v>
      </c>
      <c r="AJ20" s="22" t="s">
        <v>5510</v>
      </c>
      <c r="AK20" s="35"/>
      <c r="AL20" s="22"/>
      <c r="AM20" s="22"/>
      <c r="AN20" s="22"/>
      <c r="AO20" s="22"/>
      <c r="AP20" s="22"/>
      <c r="AQ20" s="23" t="s">
        <v>5619</v>
      </c>
      <c r="AR20" s="23" t="s">
        <v>5620</v>
      </c>
      <c r="AU20" s="23"/>
    </row>
    <row r="21" customFormat="1" spans="1:47">
      <c r="A21" s="22" t="s">
        <v>5621</v>
      </c>
      <c r="B21" s="22" t="str">
        <f t="shared" si="0"/>
        <v>大型</v>
      </c>
      <c r="C21" s="23" t="s">
        <v>5615</v>
      </c>
      <c r="D21" s="22">
        <f t="shared" si="1"/>
        <v>76</v>
      </c>
      <c r="E21" s="23">
        <v>190</v>
      </c>
      <c r="F21" s="22">
        <f t="shared" si="2"/>
        <v>69</v>
      </c>
      <c r="G21" s="23">
        <v>115</v>
      </c>
      <c r="H21" s="22">
        <f t="shared" si="3"/>
        <v>76</v>
      </c>
      <c r="I21" s="23">
        <v>190</v>
      </c>
      <c r="J21" s="22">
        <f t="shared" si="4"/>
        <v>54</v>
      </c>
      <c r="K21" s="23">
        <v>90</v>
      </c>
      <c r="L21" s="22">
        <f t="shared" si="5"/>
        <v>54</v>
      </c>
      <c r="M21" s="23">
        <v>90</v>
      </c>
      <c r="N21" s="22">
        <f t="shared" si="6"/>
        <v>17</v>
      </c>
      <c r="O21" s="23">
        <v>85</v>
      </c>
      <c r="P21" s="27" t="s">
        <v>5622</v>
      </c>
      <c r="Q21" s="33">
        <v>6</v>
      </c>
      <c r="R21" s="33">
        <v>2</v>
      </c>
      <c r="S21" s="33">
        <v>50</v>
      </c>
      <c r="T21" s="33" t="s">
        <v>5623</v>
      </c>
      <c r="U21" s="34">
        <v>32</v>
      </c>
      <c r="V21" s="35" t="s">
        <v>5488</v>
      </c>
      <c r="W21" s="23" t="s">
        <v>5489</v>
      </c>
      <c r="X21" s="23" t="s">
        <v>5490</v>
      </c>
      <c r="Y21" s="35" t="s">
        <v>82</v>
      </c>
      <c r="Z21" s="22">
        <v>40</v>
      </c>
      <c r="AA21" s="22" t="s">
        <v>5510</v>
      </c>
      <c r="AB21" s="35" t="s">
        <v>66</v>
      </c>
      <c r="AC21" s="22">
        <v>70</v>
      </c>
      <c r="AD21" s="22" t="s">
        <v>5510</v>
      </c>
      <c r="AE21" s="35" t="s">
        <v>5530</v>
      </c>
      <c r="AF21" s="22">
        <v>70</v>
      </c>
      <c r="AG21" s="22" t="s">
        <v>5510</v>
      </c>
      <c r="AH21" s="35" t="s">
        <v>134</v>
      </c>
      <c r="AI21" s="22">
        <v>90</v>
      </c>
      <c r="AJ21" s="22" t="s">
        <v>5510</v>
      </c>
      <c r="AK21" s="35"/>
      <c r="AL21" s="22"/>
      <c r="AM21" s="22"/>
      <c r="AN21" s="22"/>
      <c r="AO21" s="22"/>
      <c r="AP21" s="22"/>
      <c r="AQ21" s="23" t="s">
        <v>5624</v>
      </c>
      <c r="AR21" s="23" t="s">
        <v>5625</v>
      </c>
      <c r="AU21" s="23"/>
    </row>
    <row r="22" customFormat="1" spans="1:47">
      <c r="A22" s="22" t="s">
        <v>5626</v>
      </c>
      <c r="B22" s="22" t="str">
        <f t="shared" si="0"/>
        <v>大型</v>
      </c>
      <c r="C22" s="23" t="s">
        <v>5551</v>
      </c>
      <c r="D22" s="22">
        <f t="shared" si="1"/>
        <v>104</v>
      </c>
      <c r="E22" s="23">
        <v>260</v>
      </c>
      <c r="F22" s="22">
        <f t="shared" si="2"/>
        <v>84</v>
      </c>
      <c r="G22" s="23">
        <v>140</v>
      </c>
      <c r="H22" s="22">
        <f t="shared" si="3"/>
        <v>110</v>
      </c>
      <c r="I22" s="23">
        <v>275</v>
      </c>
      <c r="J22" s="22">
        <f t="shared" si="4"/>
        <v>48</v>
      </c>
      <c r="K22" s="23">
        <v>80</v>
      </c>
      <c r="L22" s="22">
        <f t="shared" si="5"/>
        <v>54</v>
      </c>
      <c r="M22" s="23">
        <v>90</v>
      </c>
      <c r="N22" s="22">
        <f t="shared" si="6"/>
        <v>15</v>
      </c>
      <c r="O22" s="23">
        <v>75</v>
      </c>
      <c r="P22" s="27">
        <v>10</v>
      </c>
      <c r="Q22" s="33">
        <v>1</v>
      </c>
      <c r="R22" s="33">
        <v>1</v>
      </c>
      <c r="S22" s="33">
        <v>30</v>
      </c>
      <c r="T22" s="33" t="s">
        <v>5627</v>
      </c>
      <c r="U22" s="34">
        <v>27</v>
      </c>
      <c r="V22" s="35" t="s">
        <v>5628</v>
      </c>
      <c r="W22" s="23" t="s">
        <v>5506</v>
      </c>
      <c r="X22" s="23" t="s">
        <v>5629</v>
      </c>
      <c r="Y22" s="35" t="s">
        <v>5630</v>
      </c>
      <c r="Z22" s="22">
        <v>90</v>
      </c>
      <c r="AA22" s="22" t="s">
        <v>5631</v>
      </c>
      <c r="AB22" s="35"/>
      <c r="AC22" s="22"/>
      <c r="AD22" s="22"/>
      <c r="AE22" s="35"/>
      <c r="AF22" s="22"/>
      <c r="AG22" s="22"/>
      <c r="AH22" s="35"/>
      <c r="AI22" s="22"/>
      <c r="AJ22" s="22"/>
      <c r="AK22" s="35"/>
      <c r="AL22" s="22"/>
      <c r="AM22" s="22"/>
      <c r="AN22" s="22"/>
      <c r="AO22" s="22"/>
      <c r="AP22" s="22"/>
      <c r="AQ22" s="23" t="s">
        <v>5632</v>
      </c>
      <c r="AR22" s="23" t="s">
        <v>5633</v>
      </c>
      <c r="AU22" s="23"/>
    </row>
    <row r="23" customFormat="1" spans="1:47">
      <c r="A23" s="22" t="s">
        <v>5634</v>
      </c>
      <c r="B23" s="22" t="str">
        <f t="shared" si="0"/>
        <v>小型</v>
      </c>
      <c r="C23" s="23" t="s">
        <v>5514</v>
      </c>
      <c r="D23" s="22">
        <f t="shared" si="1"/>
        <v>24</v>
      </c>
      <c r="E23" s="23">
        <v>60</v>
      </c>
      <c r="F23" s="22">
        <f t="shared" si="2"/>
        <v>54</v>
      </c>
      <c r="G23" s="23">
        <v>90</v>
      </c>
      <c r="H23" s="22">
        <f t="shared" si="3"/>
        <v>16</v>
      </c>
      <c r="I23" s="23">
        <v>40</v>
      </c>
      <c r="J23" s="22">
        <f t="shared" si="4"/>
        <v>72</v>
      </c>
      <c r="K23" s="23">
        <v>120</v>
      </c>
      <c r="L23" s="22">
        <f t="shared" si="5"/>
        <v>36</v>
      </c>
      <c r="M23" s="23">
        <v>60</v>
      </c>
      <c r="N23" s="22">
        <f t="shared" si="6"/>
        <v>12</v>
      </c>
      <c r="O23" s="23">
        <v>60</v>
      </c>
      <c r="P23" s="27">
        <v>12</v>
      </c>
      <c r="Q23" s="33">
        <v>0</v>
      </c>
      <c r="R23" s="33">
        <v>2</v>
      </c>
      <c r="S23" s="33">
        <v>50</v>
      </c>
      <c r="T23" s="33" t="s">
        <v>5635</v>
      </c>
      <c r="U23" s="34">
        <v>47</v>
      </c>
      <c r="V23" s="35" t="s">
        <v>5636</v>
      </c>
      <c r="W23" s="23" t="s">
        <v>5489</v>
      </c>
      <c r="X23" s="23" t="s">
        <v>5637</v>
      </c>
      <c r="Y23" s="35" t="s">
        <v>82</v>
      </c>
      <c r="Z23" s="22">
        <v>90</v>
      </c>
      <c r="AA23" s="22" t="s">
        <v>5510</v>
      </c>
      <c r="AB23" s="35" t="s">
        <v>150</v>
      </c>
      <c r="AC23" s="22">
        <v>80</v>
      </c>
      <c r="AD23" s="22" t="s">
        <v>5510</v>
      </c>
      <c r="AE23" s="35" t="s">
        <v>127</v>
      </c>
      <c r="AF23" s="22">
        <v>90</v>
      </c>
      <c r="AG23" s="22" t="s">
        <v>5510</v>
      </c>
      <c r="AH23" s="35" t="s">
        <v>140</v>
      </c>
      <c r="AI23" s="22">
        <v>60</v>
      </c>
      <c r="AJ23" s="22" t="s">
        <v>5510</v>
      </c>
      <c r="AK23" s="35"/>
      <c r="AL23" s="22"/>
      <c r="AM23" s="22"/>
      <c r="AN23" s="22"/>
      <c r="AO23" s="22"/>
      <c r="AP23" s="22"/>
      <c r="AQ23" s="23" t="s">
        <v>5638</v>
      </c>
      <c r="AR23" s="23" t="s">
        <v>5639</v>
      </c>
      <c r="AU23" s="23"/>
    </row>
    <row r="24" customFormat="1" spans="1:47">
      <c r="A24" s="22" t="s">
        <v>5640</v>
      </c>
      <c r="B24" s="22" t="str">
        <f t="shared" si="0"/>
        <v>中型</v>
      </c>
      <c r="C24" s="23" t="s">
        <v>5514</v>
      </c>
      <c r="D24" s="22">
        <f t="shared" si="1"/>
        <v>52</v>
      </c>
      <c r="E24" s="23">
        <v>130</v>
      </c>
      <c r="F24" s="22">
        <f t="shared" si="2"/>
        <v>48</v>
      </c>
      <c r="G24" s="23">
        <v>80</v>
      </c>
      <c r="H24" s="22">
        <f t="shared" si="3"/>
        <v>40</v>
      </c>
      <c r="I24" s="23">
        <v>100</v>
      </c>
      <c r="J24" s="22">
        <f t="shared" si="4"/>
        <v>72</v>
      </c>
      <c r="K24" s="23">
        <v>120</v>
      </c>
      <c r="L24" s="22">
        <f t="shared" si="5"/>
        <v>54</v>
      </c>
      <c r="M24" s="23">
        <v>90</v>
      </c>
      <c r="N24" s="22">
        <f t="shared" si="6"/>
        <v>15</v>
      </c>
      <c r="O24" s="23">
        <v>75</v>
      </c>
      <c r="P24" s="27">
        <v>12</v>
      </c>
      <c r="Q24" s="33">
        <v>1</v>
      </c>
      <c r="R24" s="33">
        <v>2</v>
      </c>
      <c r="S24" s="33">
        <v>50</v>
      </c>
      <c r="T24" s="33" t="s">
        <v>5641</v>
      </c>
      <c r="U24" s="34">
        <v>47</v>
      </c>
      <c r="V24" s="35" t="s">
        <v>5636</v>
      </c>
      <c r="W24" s="23" t="s">
        <v>5489</v>
      </c>
      <c r="X24" s="23" t="s">
        <v>5642</v>
      </c>
      <c r="Y24" s="35" t="s">
        <v>82</v>
      </c>
      <c r="Z24" s="22">
        <v>80</v>
      </c>
      <c r="AA24" s="22" t="s">
        <v>5510</v>
      </c>
      <c r="AB24" s="35" t="s">
        <v>150</v>
      </c>
      <c r="AC24" s="22">
        <v>70</v>
      </c>
      <c r="AD24" s="22" t="s">
        <v>5510</v>
      </c>
      <c r="AE24" s="35" t="s">
        <v>127</v>
      </c>
      <c r="AF24" s="22">
        <v>80</v>
      </c>
      <c r="AG24" s="22" t="s">
        <v>5510</v>
      </c>
      <c r="AH24" s="35" t="s">
        <v>140</v>
      </c>
      <c r="AI24" s="22">
        <v>90</v>
      </c>
      <c r="AJ24" s="22" t="s">
        <v>5510</v>
      </c>
      <c r="AK24" s="35"/>
      <c r="AL24" s="22"/>
      <c r="AM24" s="22"/>
      <c r="AN24" s="22"/>
      <c r="AO24" s="22"/>
      <c r="AP24" s="22"/>
      <c r="AQ24" s="23" t="s">
        <v>5643</v>
      </c>
      <c r="AR24" s="23" t="s">
        <v>5644</v>
      </c>
      <c r="AU24" s="23"/>
    </row>
    <row r="25" customFormat="1" spans="1:47">
      <c r="A25" s="22" t="s">
        <v>5645</v>
      </c>
      <c r="B25" s="22" t="str">
        <f t="shared" si="0"/>
        <v>中型</v>
      </c>
      <c r="C25" s="23" t="s">
        <v>5514</v>
      </c>
      <c r="D25" s="22">
        <f t="shared" si="1"/>
        <v>60</v>
      </c>
      <c r="E25" s="23">
        <v>150</v>
      </c>
      <c r="F25" s="22">
        <f t="shared" si="2"/>
        <v>51</v>
      </c>
      <c r="G25" s="23">
        <v>85</v>
      </c>
      <c r="H25" s="22">
        <f t="shared" si="3"/>
        <v>52</v>
      </c>
      <c r="I25" s="23">
        <v>130</v>
      </c>
      <c r="J25" s="22">
        <f t="shared" si="4"/>
        <v>72</v>
      </c>
      <c r="K25" s="23">
        <v>120</v>
      </c>
      <c r="L25" s="22">
        <f t="shared" si="5"/>
        <v>54</v>
      </c>
      <c r="M25" s="23">
        <v>90</v>
      </c>
      <c r="N25" s="22">
        <f t="shared" si="6"/>
        <v>16</v>
      </c>
      <c r="O25" s="23">
        <v>80</v>
      </c>
      <c r="P25" s="27">
        <v>10</v>
      </c>
      <c r="Q25" s="33">
        <v>2</v>
      </c>
      <c r="R25" s="33">
        <v>2</v>
      </c>
      <c r="S25" s="33">
        <v>60</v>
      </c>
      <c r="T25" s="33" t="s">
        <v>5646</v>
      </c>
      <c r="U25" s="34">
        <v>47</v>
      </c>
      <c r="V25" s="35" t="s">
        <v>5647</v>
      </c>
      <c r="W25" s="23" t="s">
        <v>5489</v>
      </c>
      <c r="X25" s="23" t="s">
        <v>5648</v>
      </c>
      <c r="Y25" s="35" t="s">
        <v>82</v>
      </c>
      <c r="Z25" s="22">
        <v>50</v>
      </c>
      <c r="AA25" s="22" t="s">
        <v>5510</v>
      </c>
      <c r="AB25" s="35" t="s">
        <v>150</v>
      </c>
      <c r="AC25" s="22">
        <v>60</v>
      </c>
      <c r="AD25" s="22" t="s">
        <v>5510</v>
      </c>
      <c r="AE25" s="35" t="s">
        <v>127</v>
      </c>
      <c r="AF25" s="22">
        <v>80</v>
      </c>
      <c r="AG25" s="22" t="s">
        <v>5510</v>
      </c>
      <c r="AH25" s="35" t="s">
        <v>140</v>
      </c>
      <c r="AI25" s="22">
        <v>80</v>
      </c>
      <c r="AJ25" s="22" t="s">
        <v>5510</v>
      </c>
      <c r="AK25" s="35"/>
      <c r="AL25" s="22"/>
      <c r="AM25" s="22"/>
      <c r="AN25" s="22"/>
      <c r="AO25" s="22"/>
      <c r="AP25" s="22"/>
      <c r="AQ25" s="23" t="s">
        <v>5649</v>
      </c>
      <c r="AR25" s="23" t="s">
        <v>5650</v>
      </c>
      <c r="AU25" s="23"/>
    </row>
    <row r="26" customFormat="1" spans="1:47">
      <c r="A26" s="22" t="s">
        <v>5651</v>
      </c>
      <c r="B26" s="22" t="str">
        <f t="shared" si="0"/>
        <v>中型</v>
      </c>
      <c r="C26" s="23" t="s">
        <v>5514</v>
      </c>
      <c r="D26" s="22">
        <f t="shared" si="1"/>
        <v>66</v>
      </c>
      <c r="E26" s="23">
        <v>165</v>
      </c>
      <c r="F26" s="22">
        <f t="shared" si="2"/>
        <v>54</v>
      </c>
      <c r="G26" s="23">
        <v>90</v>
      </c>
      <c r="H26" s="22">
        <f t="shared" si="3"/>
        <v>52</v>
      </c>
      <c r="I26" s="23">
        <v>130</v>
      </c>
      <c r="J26" s="22">
        <f t="shared" si="4"/>
        <v>72</v>
      </c>
      <c r="K26" s="23">
        <v>120</v>
      </c>
      <c r="L26" s="22">
        <f t="shared" si="5"/>
        <v>54</v>
      </c>
      <c r="M26" s="23">
        <v>90</v>
      </c>
      <c r="N26" s="22">
        <f t="shared" si="6"/>
        <v>17</v>
      </c>
      <c r="O26" s="23">
        <v>85</v>
      </c>
      <c r="P26" s="27">
        <v>10</v>
      </c>
      <c r="Q26" s="33">
        <v>2</v>
      </c>
      <c r="R26" s="33">
        <v>2</v>
      </c>
      <c r="S26" s="33">
        <v>70</v>
      </c>
      <c r="T26" s="33" t="s">
        <v>1959</v>
      </c>
      <c r="U26" s="34">
        <v>47</v>
      </c>
      <c r="V26" s="35" t="s">
        <v>5647</v>
      </c>
      <c r="W26" s="23" t="s">
        <v>5489</v>
      </c>
      <c r="X26" s="23" t="s">
        <v>5648</v>
      </c>
      <c r="Y26" s="35" t="s">
        <v>82</v>
      </c>
      <c r="Z26" s="22">
        <v>80</v>
      </c>
      <c r="AA26" s="22" t="s">
        <v>5510</v>
      </c>
      <c r="AB26" s="35" t="s">
        <v>150</v>
      </c>
      <c r="AC26" s="22">
        <v>70</v>
      </c>
      <c r="AD26" s="22" t="s">
        <v>5510</v>
      </c>
      <c r="AE26" s="35" t="s">
        <v>127</v>
      </c>
      <c r="AF26" s="22">
        <v>60</v>
      </c>
      <c r="AG26" s="22" t="s">
        <v>5510</v>
      </c>
      <c r="AH26" s="35" t="s">
        <v>140</v>
      </c>
      <c r="AI26" s="22">
        <v>80</v>
      </c>
      <c r="AJ26" s="22" t="s">
        <v>5510</v>
      </c>
      <c r="AK26" s="35"/>
      <c r="AL26" s="22"/>
      <c r="AM26" s="22"/>
      <c r="AN26" s="22"/>
      <c r="AO26" s="22"/>
      <c r="AP26" s="22"/>
      <c r="AQ26" s="23" t="s">
        <v>5652</v>
      </c>
      <c r="AR26" s="23" t="s">
        <v>5653</v>
      </c>
      <c r="AU26" s="23"/>
    </row>
    <row r="27" customFormat="1" spans="1:47">
      <c r="A27" s="22" t="s">
        <v>5654</v>
      </c>
      <c r="B27" s="22" t="str">
        <f t="shared" si="0"/>
        <v>小型</v>
      </c>
      <c r="C27" s="23" t="s">
        <v>5514</v>
      </c>
      <c r="D27" s="22">
        <f t="shared" si="1"/>
        <v>72</v>
      </c>
      <c r="E27" s="23">
        <v>180</v>
      </c>
      <c r="F27" s="22">
        <f t="shared" si="2"/>
        <v>51</v>
      </c>
      <c r="G27" s="23">
        <v>85</v>
      </c>
      <c r="H27" s="22">
        <f t="shared" si="3"/>
        <v>16</v>
      </c>
      <c r="I27" s="23">
        <v>40</v>
      </c>
      <c r="J27" s="22">
        <f t="shared" si="4"/>
        <v>57</v>
      </c>
      <c r="K27" s="23">
        <v>95</v>
      </c>
      <c r="L27" s="22">
        <f t="shared" si="5"/>
        <v>51</v>
      </c>
      <c r="M27" s="23">
        <v>85</v>
      </c>
      <c r="N27" s="22">
        <f t="shared" si="6"/>
        <v>18</v>
      </c>
      <c r="O27" s="23">
        <v>90</v>
      </c>
      <c r="P27" s="27">
        <v>12</v>
      </c>
      <c r="Q27" s="33">
        <v>0</v>
      </c>
      <c r="R27" s="33">
        <v>1</v>
      </c>
      <c r="S27" s="33">
        <v>40</v>
      </c>
      <c r="T27" s="33" t="s">
        <v>5608</v>
      </c>
      <c r="U27" s="34">
        <v>40</v>
      </c>
      <c r="V27" s="35" t="s">
        <v>5655</v>
      </c>
      <c r="W27" s="23" t="s">
        <v>5489</v>
      </c>
      <c r="X27" s="23" t="s">
        <v>5656</v>
      </c>
      <c r="Y27" s="35" t="s">
        <v>150</v>
      </c>
      <c r="Z27" s="22">
        <v>70</v>
      </c>
      <c r="AA27" s="22" t="s">
        <v>5510</v>
      </c>
      <c r="AB27" s="35" t="s">
        <v>66</v>
      </c>
      <c r="AC27" s="22">
        <v>70</v>
      </c>
      <c r="AD27" s="22" t="s">
        <v>5510</v>
      </c>
      <c r="AE27" s="35" t="s">
        <v>5508</v>
      </c>
      <c r="AF27" s="22">
        <v>80</v>
      </c>
      <c r="AG27" s="22" t="s">
        <v>5510</v>
      </c>
      <c r="AH27" s="35" t="s">
        <v>140</v>
      </c>
      <c r="AI27" s="22">
        <v>80</v>
      </c>
      <c r="AJ27" s="22" t="s">
        <v>5510</v>
      </c>
      <c r="AK27" s="35"/>
      <c r="AL27" s="22"/>
      <c r="AM27" s="22"/>
      <c r="AN27" s="22"/>
      <c r="AO27" s="22"/>
      <c r="AP27" s="22"/>
      <c r="AQ27" s="23" t="s">
        <v>5657</v>
      </c>
      <c r="AR27" s="23" t="s">
        <v>5617</v>
      </c>
      <c r="AU27" s="23"/>
    </row>
    <row r="28" customFormat="1" spans="1:47">
      <c r="A28" s="22" t="s">
        <v>5658</v>
      </c>
      <c r="B28" s="22" t="str">
        <f t="shared" si="0"/>
        <v>小型</v>
      </c>
      <c r="C28" s="23" t="s">
        <v>5514</v>
      </c>
      <c r="D28" s="22">
        <f t="shared" si="1"/>
        <v>12</v>
      </c>
      <c r="E28" s="23">
        <v>30</v>
      </c>
      <c r="F28" s="22">
        <f t="shared" si="2"/>
        <v>33</v>
      </c>
      <c r="G28" s="23">
        <v>55</v>
      </c>
      <c r="H28" s="22">
        <f t="shared" si="3"/>
        <v>12</v>
      </c>
      <c r="I28" s="23">
        <v>30</v>
      </c>
      <c r="J28" s="22">
        <f t="shared" si="4"/>
        <v>60</v>
      </c>
      <c r="K28" s="23">
        <v>100</v>
      </c>
      <c r="L28" s="22">
        <f t="shared" si="5"/>
        <v>30</v>
      </c>
      <c r="M28" s="23">
        <v>50</v>
      </c>
      <c r="N28" s="22">
        <f t="shared" si="6"/>
        <v>17</v>
      </c>
      <c r="O28" s="23">
        <v>85</v>
      </c>
      <c r="P28" s="27">
        <v>14</v>
      </c>
      <c r="Q28" s="33">
        <v>0</v>
      </c>
      <c r="R28" s="33">
        <v>1</v>
      </c>
      <c r="S28" s="33">
        <v>30</v>
      </c>
      <c r="T28" s="33" t="s">
        <v>5608</v>
      </c>
      <c r="U28" s="34">
        <v>45</v>
      </c>
      <c r="V28" s="35" t="s">
        <v>5655</v>
      </c>
      <c r="W28" s="23" t="s">
        <v>5489</v>
      </c>
      <c r="X28" s="23" t="s">
        <v>5656</v>
      </c>
      <c r="Y28" s="35" t="s">
        <v>150</v>
      </c>
      <c r="Z28" s="22">
        <v>75</v>
      </c>
      <c r="AA28" s="22" t="s">
        <v>5510</v>
      </c>
      <c r="AB28" s="35" t="s">
        <v>66</v>
      </c>
      <c r="AC28" s="22">
        <v>70</v>
      </c>
      <c r="AD28" s="22" t="s">
        <v>5510</v>
      </c>
      <c r="AE28" s="35" t="s">
        <v>5508</v>
      </c>
      <c r="AF28" s="22">
        <v>80</v>
      </c>
      <c r="AG28" s="22" t="s">
        <v>5510</v>
      </c>
      <c r="AH28" s="35" t="s">
        <v>140</v>
      </c>
      <c r="AI28" s="22">
        <v>60</v>
      </c>
      <c r="AJ28" s="22" t="s">
        <v>5510</v>
      </c>
      <c r="AK28" s="35"/>
      <c r="AL28" s="22"/>
      <c r="AM28" s="22"/>
      <c r="AN28" s="22"/>
      <c r="AO28" s="22"/>
      <c r="AP28" s="22"/>
      <c r="AQ28" s="23" t="s">
        <v>5659</v>
      </c>
      <c r="AR28" s="23" t="s">
        <v>5660</v>
      </c>
      <c r="AU28" s="23"/>
    </row>
    <row r="29" customFormat="1" spans="1:47">
      <c r="A29" s="22" t="s">
        <v>5661</v>
      </c>
      <c r="B29" s="22" t="str">
        <f t="shared" si="0"/>
        <v>小型</v>
      </c>
      <c r="C29" s="23" t="s">
        <v>5514</v>
      </c>
      <c r="D29" s="22">
        <f t="shared" si="1"/>
        <v>36</v>
      </c>
      <c r="E29" s="23">
        <v>90</v>
      </c>
      <c r="F29" s="22">
        <f t="shared" si="2"/>
        <v>51</v>
      </c>
      <c r="G29" s="23">
        <v>85</v>
      </c>
      <c r="H29" s="22">
        <f t="shared" si="3"/>
        <v>20</v>
      </c>
      <c r="I29" s="23">
        <v>50</v>
      </c>
      <c r="J29" s="22">
        <f t="shared" si="4"/>
        <v>54</v>
      </c>
      <c r="K29" s="23">
        <v>90</v>
      </c>
      <c r="L29" s="22">
        <f t="shared" si="5"/>
        <v>54</v>
      </c>
      <c r="M29" s="23">
        <v>90</v>
      </c>
      <c r="N29" s="22">
        <f t="shared" si="6"/>
        <v>16</v>
      </c>
      <c r="O29" s="23">
        <v>80</v>
      </c>
      <c r="P29" s="27">
        <v>12</v>
      </c>
      <c r="Q29" s="33">
        <v>1</v>
      </c>
      <c r="R29" s="33">
        <v>1</v>
      </c>
      <c r="S29" s="33">
        <v>40</v>
      </c>
      <c r="T29" s="33" t="s">
        <v>5603</v>
      </c>
      <c r="U29" s="34">
        <v>32</v>
      </c>
      <c r="V29" s="35" t="s">
        <v>5655</v>
      </c>
      <c r="W29" s="23" t="s">
        <v>5489</v>
      </c>
      <c r="X29" s="23" t="s">
        <v>5662</v>
      </c>
      <c r="Y29" s="35" t="s">
        <v>150</v>
      </c>
      <c r="Z29" s="22">
        <v>75</v>
      </c>
      <c r="AA29" s="22" t="s">
        <v>5510</v>
      </c>
      <c r="AB29" s="35" t="s">
        <v>66</v>
      </c>
      <c r="AC29" s="22">
        <v>70</v>
      </c>
      <c r="AD29" s="22" t="s">
        <v>5510</v>
      </c>
      <c r="AE29" s="35" t="s">
        <v>5508</v>
      </c>
      <c r="AF29" s="22">
        <v>90</v>
      </c>
      <c r="AG29" s="22" t="s">
        <v>5510</v>
      </c>
      <c r="AH29" s="35" t="s">
        <v>140</v>
      </c>
      <c r="AI29" s="22">
        <v>60</v>
      </c>
      <c r="AJ29" s="22" t="s">
        <v>5510</v>
      </c>
      <c r="AK29" s="35"/>
      <c r="AL29" s="22"/>
      <c r="AM29" s="22"/>
      <c r="AN29" s="22"/>
      <c r="AO29" s="22"/>
      <c r="AP29" s="22"/>
      <c r="AQ29" s="23" t="s">
        <v>5663</v>
      </c>
      <c r="AR29" s="23" t="s">
        <v>5549</v>
      </c>
      <c r="AU29" s="23"/>
    </row>
    <row r="30" customFormat="1" spans="1:47">
      <c r="A30" s="22" t="s">
        <v>5664</v>
      </c>
      <c r="B30" s="22" t="str">
        <f t="shared" si="0"/>
        <v>小型</v>
      </c>
      <c r="C30" s="23" t="s">
        <v>5514</v>
      </c>
      <c r="D30" s="22">
        <f t="shared" si="1"/>
        <v>48</v>
      </c>
      <c r="E30" s="23">
        <v>120</v>
      </c>
      <c r="F30" s="22">
        <f t="shared" si="2"/>
        <v>51</v>
      </c>
      <c r="G30" s="23">
        <v>85</v>
      </c>
      <c r="H30" s="22">
        <f t="shared" si="3"/>
        <v>24</v>
      </c>
      <c r="I30" s="23">
        <v>60</v>
      </c>
      <c r="J30" s="22">
        <f t="shared" si="4"/>
        <v>60</v>
      </c>
      <c r="K30" s="23">
        <v>100</v>
      </c>
      <c r="L30" s="22">
        <f t="shared" si="5"/>
        <v>54</v>
      </c>
      <c r="M30" s="23">
        <v>90</v>
      </c>
      <c r="N30" s="22">
        <f t="shared" si="6"/>
        <v>16</v>
      </c>
      <c r="O30" s="23">
        <v>80</v>
      </c>
      <c r="P30" s="27">
        <v>12</v>
      </c>
      <c r="Q30" s="33">
        <v>2</v>
      </c>
      <c r="R30" s="33">
        <v>1</v>
      </c>
      <c r="S30" s="33">
        <v>40</v>
      </c>
      <c r="T30" s="33" t="s">
        <v>5603</v>
      </c>
      <c r="U30" s="34">
        <v>45</v>
      </c>
      <c r="V30" s="35" t="s">
        <v>5655</v>
      </c>
      <c r="W30" s="23" t="s">
        <v>5489</v>
      </c>
      <c r="X30" s="23" t="s">
        <v>5662</v>
      </c>
      <c r="Y30" s="35" t="s">
        <v>150</v>
      </c>
      <c r="Z30" s="22">
        <v>80</v>
      </c>
      <c r="AA30" s="22" t="s">
        <v>5510</v>
      </c>
      <c r="AB30" s="35" t="s">
        <v>66</v>
      </c>
      <c r="AC30" s="22">
        <v>70</v>
      </c>
      <c r="AD30" s="22" t="s">
        <v>5510</v>
      </c>
      <c r="AE30" s="35" t="s">
        <v>5508</v>
      </c>
      <c r="AF30" s="22">
        <v>80</v>
      </c>
      <c r="AG30" s="22" t="s">
        <v>5510</v>
      </c>
      <c r="AH30" s="35" t="s">
        <v>140</v>
      </c>
      <c r="AI30" s="22">
        <v>90</v>
      </c>
      <c r="AJ30" s="22" t="s">
        <v>5510</v>
      </c>
      <c r="AK30" s="35"/>
      <c r="AL30" s="22"/>
      <c r="AM30" s="22"/>
      <c r="AN30" s="22"/>
      <c r="AO30" s="22"/>
      <c r="AP30" s="22"/>
      <c r="AQ30" s="23" t="s">
        <v>5665</v>
      </c>
      <c r="AR30" s="23" t="s">
        <v>5639</v>
      </c>
      <c r="AU30" s="23"/>
    </row>
    <row r="31" customFormat="1" spans="1:47">
      <c r="A31" s="22" t="s">
        <v>5666</v>
      </c>
      <c r="B31" s="22" t="str">
        <f t="shared" si="0"/>
        <v>小型</v>
      </c>
      <c r="C31" s="23" t="s">
        <v>5615</v>
      </c>
      <c r="D31" s="22">
        <f t="shared" si="1"/>
        <v>6</v>
      </c>
      <c r="E31" s="23">
        <v>15</v>
      </c>
      <c r="F31" s="22">
        <f t="shared" si="2"/>
        <v>36</v>
      </c>
      <c r="G31" s="23">
        <v>60</v>
      </c>
      <c r="H31" s="22">
        <f t="shared" si="3"/>
        <v>20</v>
      </c>
      <c r="I31" s="23">
        <v>50</v>
      </c>
      <c r="J31" s="22">
        <f t="shared" si="4"/>
        <v>72</v>
      </c>
      <c r="K31" s="23">
        <v>120</v>
      </c>
      <c r="L31" s="22">
        <f t="shared" si="5"/>
        <v>54</v>
      </c>
      <c r="M31" s="23">
        <v>90</v>
      </c>
      <c r="N31" s="22">
        <f t="shared" si="6"/>
        <v>18</v>
      </c>
      <c r="O31" s="23">
        <v>90</v>
      </c>
      <c r="P31" s="27">
        <v>10</v>
      </c>
      <c r="Q31" s="33">
        <v>0</v>
      </c>
      <c r="R31" s="33">
        <v>3</v>
      </c>
      <c r="S31" s="33">
        <v>30</v>
      </c>
      <c r="T31" s="33" t="s">
        <v>5608</v>
      </c>
      <c r="U31" s="34">
        <v>80</v>
      </c>
      <c r="V31" s="35" t="s">
        <v>5667</v>
      </c>
      <c r="W31" s="23" t="s">
        <v>5506</v>
      </c>
      <c r="X31" s="23" t="s">
        <v>5668</v>
      </c>
      <c r="Y31" s="35" t="s">
        <v>66</v>
      </c>
      <c r="Z31" s="22">
        <v>80</v>
      </c>
      <c r="AA31" s="22" t="s">
        <v>5510</v>
      </c>
      <c r="AB31" s="35" t="s">
        <v>5669</v>
      </c>
      <c r="AC31" s="22">
        <v>80</v>
      </c>
      <c r="AD31" s="22" t="s">
        <v>5510</v>
      </c>
      <c r="AE31" s="35" t="s">
        <v>127</v>
      </c>
      <c r="AF31" s="22">
        <v>90</v>
      </c>
      <c r="AG31" s="22" t="s">
        <v>5510</v>
      </c>
      <c r="AH31" s="35" t="s">
        <v>5508</v>
      </c>
      <c r="AI31" s="22">
        <v>80</v>
      </c>
      <c r="AJ31" s="22" t="s">
        <v>5510</v>
      </c>
      <c r="AK31" s="35" t="s">
        <v>5670</v>
      </c>
      <c r="AL31" s="22">
        <v>90</v>
      </c>
      <c r="AM31" s="22" t="s">
        <v>5671</v>
      </c>
      <c r="AN31" s="22"/>
      <c r="AO31" s="22"/>
      <c r="AP31" s="22"/>
      <c r="AQ31" s="39" t="s">
        <v>5672</v>
      </c>
      <c r="AR31" s="23" t="s">
        <v>5673</v>
      </c>
      <c r="AU31" s="23"/>
    </row>
    <row r="32" customFormat="1" spans="1:47">
      <c r="A32" s="22" t="s">
        <v>5674</v>
      </c>
      <c r="B32" s="22" t="str">
        <f t="shared" si="0"/>
        <v>大型</v>
      </c>
      <c r="C32" s="23" t="s">
        <v>5675</v>
      </c>
      <c r="D32" s="22">
        <f t="shared" si="1"/>
        <v>140</v>
      </c>
      <c r="E32" s="23">
        <v>350</v>
      </c>
      <c r="F32" s="22">
        <f t="shared" si="2"/>
        <v>108</v>
      </c>
      <c r="G32" s="23">
        <v>180</v>
      </c>
      <c r="H32" s="22">
        <f t="shared" si="3"/>
        <v>156</v>
      </c>
      <c r="I32" s="23">
        <v>390</v>
      </c>
      <c r="J32" s="22">
        <f t="shared" si="4"/>
        <v>48</v>
      </c>
      <c r="K32" s="23">
        <v>80</v>
      </c>
      <c r="L32" s="22">
        <f t="shared" si="5"/>
        <v>54</v>
      </c>
      <c r="M32" s="23">
        <v>90</v>
      </c>
      <c r="N32" s="22">
        <f t="shared" si="6"/>
        <v>18</v>
      </c>
      <c r="O32" s="23">
        <v>90</v>
      </c>
      <c r="P32" s="27">
        <v>10</v>
      </c>
      <c r="Q32" s="33">
        <v>8</v>
      </c>
      <c r="R32" s="33">
        <v>1</v>
      </c>
      <c r="S32" s="33">
        <v>50</v>
      </c>
      <c r="T32" s="33" t="s">
        <v>5676</v>
      </c>
      <c r="U32" s="34">
        <v>30</v>
      </c>
      <c r="V32" s="35" t="s">
        <v>5677</v>
      </c>
      <c r="W32" s="23" t="s">
        <v>5527</v>
      </c>
      <c r="X32" s="23" t="s">
        <v>5678</v>
      </c>
      <c r="Y32" s="35" t="s">
        <v>5679</v>
      </c>
      <c r="Z32" s="22">
        <v>50</v>
      </c>
      <c r="AA32" s="22" t="s">
        <v>5680</v>
      </c>
      <c r="AB32" s="35" t="s">
        <v>66</v>
      </c>
      <c r="AC32" s="22">
        <v>80</v>
      </c>
      <c r="AD32" s="22" t="s">
        <v>5510</v>
      </c>
      <c r="AE32" s="35" t="s">
        <v>5681</v>
      </c>
      <c r="AF32" s="22">
        <v>95</v>
      </c>
      <c r="AG32" s="22" t="s">
        <v>5682</v>
      </c>
      <c r="AH32" s="35"/>
      <c r="AI32" s="22"/>
      <c r="AJ32" s="22"/>
      <c r="AK32" s="35"/>
      <c r="AL32" s="22"/>
      <c r="AM32" s="22"/>
      <c r="AN32" s="22"/>
      <c r="AO32" s="22"/>
      <c r="AP32" s="22"/>
      <c r="AQ32" s="23" t="s">
        <v>5683</v>
      </c>
      <c r="AR32" s="23" t="s">
        <v>5684</v>
      </c>
      <c r="AU32" s="23"/>
    </row>
    <row r="33" customFormat="1" spans="1:47">
      <c r="A33" s="22" t="s">
        <v>5685</v>
      </c>
      <c r="B33" s="22" t="str">
        <f t="shared" si="0"/>
        <v>中型</v>
      </c>
      <c r="C33" s="23" t="s">
        <v>5686</v>
      </c>
      <c r="D33" s="22">
        <f t="shared" si="1"/>
        <v>72</v>
      </c>
      <c r="E33" s="23">
        <v>180</v>
      </c>
      <c r="F33" s="22">
        <f t="shared" si="2"/>
        <v>48</v>
      </c>
      <c r="G33" s="23">
        <v>80</v>
      </c>
      <c r="H33" s="22">
        <f t="shared" si="3"/>
        <v>48</v>
      </c>
      <c r="I33" s="23">
        <v>120</v>
      </c>
      <c r="J33" s="22">
        <f t="shared" si="4"/>
        <v>54</v>
      </c>
      <c r="K33" s="23">
        <v>90</v>
      </c>
      <c r="L33" s="22">
        <f t="shared" si="5"/>
        <v>54</v>
      </c>
      <c r="M33" s="23">
        <v>90</v>
      </c>
      <c r="N33" s="22">
        <f t="shared" si="6"/>
        <v>18</v>
      </c>
      <c r="O33" s="23">
        <v>90</v>
      </c>
      <c r="P33" s="27">
        <v>8</v>
      </c>
      <c r="Q33" s="33">
        <v>2</v>
      </c>
      <c r="R33" s="33">
        <v>2</v>
      </c>
      <c r="S33" s="33">
        <v>55</v>
      </c>
      <c r="T33" s="33" t="s">
        <v>1943</v>
      </c>
      <c r="U33" s="34">
        <v>35</v>
      </c>
      <c r="V33" s="35" t="s">
        <v>5687</v>
      </c>
      <c r="W33" s="23" t="s">
        <v>5527</v>
      </c>
      <c r="X33" s="23" t="s">
        <v>5688</v>
      </c>
      <c r="Y33" s="35" t="s">
        <v>5689</v>
      </c>
      <c r="Z33" s="22">
        <v>55</v>
      </c>
      <c r="AA33" s="22" t="s">
        <v>5690</v>
      </c>
      <c r="AB33" s="35" t="s">
        <v>5691</v>
      </c>
      <c r="AC33" s="22">
        <v>80</v>
      </c>
      <c r="AD33" s="22" t="s">
        <v>5692</v>
      </c>
      <c r="AE33" s="35" t="s">
        <v>127</v>
      </c>
      <c r="AF33" s="22">
        <v>75</v>
      </c>
      <c r="AG33" s="22" t="s">
        <v>5510</v>
      </c>
      <c r="AH33" s="35"/>
      <c r="AI33" s="22"/>
      <c r="AJ33" s="22"/>
      <c r="AK33" s="35"/>
      <c r="AL33" s="22"/>
      <c r="AM33" s="22"/>
      <c r="AN33" s="22"/>
      <c r="AO33" s="22"/>
      <c r="AP33" s="22"/>
      <c r="AQ33" s="23" t="s">
        <v>5693</v>
      </c>
      <c r="AR33" s="23" t="s">
        <v>5694</v>
      </c>
      <c r="AU33" s="23"/>
    </row>
    <row r="34" customFormat="1" spans="1:47">
      <c r="A34" s="22" t="s">
        <v>5695</v>
      </c>
      <c r="B34" s="22" t="str">
        <f t="shared" si="0"/>
        <v>大型</v>
      </c>
      <c r="C34" s="23" t="s">
        <v>5696</v>
      </c>
      <c r="D34" s="22">
        <f t="shared" si="1"/>
        <v>102</v>
      </c>
      <c r="E34" s="23">
        <v>255</v>
      </c>
      <c r="F34" s="22">
        <f t="shared" si="2"/>
        <v>126</v>
      </c>
      <c r="G34" s="23">
        <v>210</v>
      </c>
      <c r="H34" s="22">
        <f t="shared" si="3"/>
        <v>102</v>
      </c>
      <c r="I34" s="23">
        <v>255</v>
      </c>
      <c r="J34" s="22">
        <f t="shared" si="4"/>
        <v>48</v>
      </c>
      <c r="K34" s="23">
        <v>80</v>
      </c>
      <c r="L34" s="22">
        <f t="shared" si="5"/>
        <v>54</v>
      </c>
      <c r="M34" s="23">
        <v>90</v>
      </c>
      <c r="N34" s="22">
        <f t="shared" si="6"/>
        <v>16</v>
      </c>
      <c r="O34" s="23">
        <v>80</v>
      </c>
      <c r="P34" s="27">
        <v>10</v>
      </c>
      <c r="Q34" s="33">
        <v>3</v>
      </c>
      <c r="R34" s="33">
        <v>1</v>
      </c>
      <c r="S34" s="33">
        <v>50</v>
      </c>
      <c r="T34" s="33" t="s">
        <v>5487</v>
      </c>
      <c r="U34" s="34">
        <v>27</v>
      </c>
      <c r="V34" s="35" t="s">
        <v>5697</v>
      </c>
      <c r="W34" s="23" t="s">
        <v>5506</v>
      </c>
      <c r="X34" s="23" t="s">
        <v>5698</v>
      </c>
      <c r="Y34" s="35" t="s">
        <v>5494</v>
      </c>
      <c r="Z34" s="22">
        <v>85</v>
      </c>
      <c r="AA34" s="23" t="s">
        <v>5699</v>
      </c>
      <c r="AB34" s="35" t="s">
        <v>5700</v>
      </c>
      <c r="AC34" s="22">
        <v>50</v>
      </c>
      <c r="AD34" s="22" t="s">
        <v>5701</v>
      </c>
      <c r="AE34" s="35" t="s">
        <v>5702</v>
      </c>
      <c r="AF34" s="22">
        <v>50</v>
      </c>
      <c r="AG34" s="22" t="s">
        <v>5703</v>
      </c>
      <c r="AH34" s="35"/>
      <c r="AI34" s="22"/>
      <c r="AJ34" s="22"/>
      <c r="AK34" s="35"/>
      <c r="AL34" s="22"/>
      <c r="AM34" s="22"/>
      <c r="AN34" s="22"/>
      <c r="AO34" s="22"/>
      <c r="AP34" s="22"/>
      <c r="AQ34" s="23" t="s">
        <v>5704</v>
      </c>
      <c r="AR34" s="23" t="s">
        <v>5705</v>
      </c>
      <c r="AU34" s="23"/>
    </row>
    <row r="35" customFormat="1" spans="1:47">
      <c r="A35" s="22" t="s">
        <v>5706</v>
      </c>
      <c r="B35" s="22" t="str">
        <f t="shared" si="0"/>
        <v>大型</v>
      </c>
      <c r="C35" s="23" t="s">
        <v>5696</v>
      </c>
      <c r="D35" s="22">
        <f t="shared" si="1"/>
        <v>76</v>
      </c>
      <c r="E35" s="23">
        <v>190</v>
      </c>
      <c r="F35" s="22">
        <f t="shared" si="2"/>
        <v>54</v>
      </c>
      <c r="G35" s="23">
        <v>90</v>
      </c>
      <c r="H35" s="22">
        <f t="shared" si="3"/>
        <v>72</v>
      </c>
      <c r="I35" s="23">
        <v>180</v>
      </c>
      <c r="J35" s="22">
        <f t="shared" si="4"/>
        <v>60</v>
      </c>
      <c r="K35" s="23">
        <v>100</v>
      </c>
      <c r="L35" s="22">
        <f t="shared" si="5"/>
        <v>54</v>
      </c>
      <c r="M35" s="23">
        <v>90</v>
      </c>
      <c r="N35" s="22">
        <f t="shared" si="6"/>
        <v>16</v>
      </c>
      <c r="O35" s="23">
        <v>80</v>
      </c>
      <c r="P35" s="27">
        <v>11</v>
      </c>
      <c r="Q35" s="33">
        <v>0</v>
      </c>
      <c r="R35" s="33">
        <v>1</v>
      </c>
      <c r="S35" s="33">
        <v>30</v>
      </c>
      <c r="T35" s="33" t="s">
        <v>389</v>
      </c>
      <c r="U35" s="34">
        <v>45</v>
      </c>
      <c r="V35" s="35" t="s">
        <v>5707</v>
      </c>
      <c r="W35" s="23" t="s">
        <v>5527</v>
      </c>
      <c r="X35" s="23" t="s">
        <v>5708</v>
      </c>
      <c r="Y35" s="35" t="s">
        <v>5709</v>
      </c>
      <c r="Z35" s="22">
        <v>60</v>
      </c>
      <c r="AA35" s="22" t="s">
        <v>1959</v>
      </c>
      <c r="AB35" s="35"/>
      <c r="AC35" s="22"/>
      <c r="AD35" s="22"/>
      <c r="AE35" s="35"/>
      <c r="AF35" s="22"/>
      <c r="AG35" s="22"/>
      <c r="AH35" s="35"/>
      <c r="AI35" s="22"/>
      <c r="AJ35" s="22"/>
      <c r="AK35" s="35"/>
      <c r="AL35" s="22"/>
      <c r="AM35" s="22"/>
      <c r="AN35" s="22"/>
      <c r="AO35" s="22"/>
      <c r="AP35" s="22"/>
      <c r="AQ35" s="23" t="s">
        <v>5710</v>
      </c>
      <c r="AR35" s="23" t="s">
        <v>5711</v>
      </c>
      <c r="AU35" s="23"/>
    </row>
    <row r="36" customFormat="1" spans="1:47">
      <c r="A36" s="22" t="s">
        <v>5712</v>
      </c>
      <c r="B36" s="22" t="str">
        <f t="shared" si="0"/>
        <v>中型</v>
      </c>
      <c r="C36" s="23" t="s">
        <v>5696</v>
      </c>
      <c r="D36" s="22">
        <f t="shared" si="1"/>
        <v>76</v>
      </c>
      <c r="E36" s="23">
        <v>190</v>
      </c>
      <c r="F36" s="22">
        <f t="shared" si="2"/>
        <v>54</v>
      </c>
      <c r="G36" s="23">
        <v>90</v>
      </c>
      <c r="H36" s="22">
        <f t="shared" si="3"/>
        <v>60</v>
      </c>
      <c r="I36" s="23">
        <v>150</v>
      </c>
      <c r="J36" s="22">
        <f t="shared" si="4"/>
        <v>45</v>
      </c>
      <c r="K36" s="23">
        <v>75</v>
      </c>
      <c r="L36" s="22">
        <f t="shared" si="5"/>
        <v>54</v>
      </c>
      <c r="M36" s="23">
        <v>90</v>
      </c>
      <c r="N36" s="22">
        <f t="shared" si="6"/>
        <v>16</v>
      </c>
      <c r="O36" s="23">
        <v>80</v>
      </c>
      <c r="P36" s="27">
        <v>10</v>
      </c>
      <c r="Q36" s="33">
        <v>0</v>
      </c>
      <c r="R36" s="33">
        <v>1</v>
      </c>
      <c r="S36" s="33">
        <v>30</v>
      </c>
      <c r="T36" s="33" t="s">
        <v>389</v>
      </c>
      <c r="U36" s="34">
        <v>37</v>
      </c>
      <c r="V36" s="35" t="s">
        <v>5713</v>
      </c>
      <c r="W36" s="23" t="s">
        <v>5527</v>
      </c>
      <c r="X36" s="23" t="s">
        <v>5708</v>
      </c>
      <c r="Y36" s="35" t="s">
        <v>5709</v>
      </c>
      <c r="Z36" s="22">
        <v>50</v>
      </c>
      <c r="AA36" s="22" t="s">
        <v>1959</v>
      </c>
      <c r="AB36" s="35"/>
      <c r="AC36" s="22"/>
      <c r="AD36" s="22"/>
      <c r="AE36" s="35"/>
      <c r="AF36" s="22"/>
      <c r="AG36" s="22"/>
      <c r="AH36" s="35"/>
      <c r="AI36" s="22"/>
      <c r="AJ36" s="22"/>
      <c r="AK36" s="35"/>
      <c r="AL36" s="22"/>
      <c r="AM36" s="22"/>
      <c r="AN36" s="22"/>
      <c r="AO36" s="22"/>
      <c r="AP36" s="22"/>
      <c r="AQ36" s="23" t="s">
        <v>5714</v>
      </c>
      <c r="AR36" s="23" t="s">
        <v>5715</v>
      </c>
      <c r="AU36" s="23"/>
    </row>
    <row r="37" customFormat="1" spans="1:47">
      <c r="A37" s="22" t="s">
        <v>3904</v>
      </c>
      <c r="B37" s="22" t="str">
        <f t="shared" si="0"/>
        <v>中型</v>
      </c>
      <c r="C37" s="23" t="s">
        <v>5696</v>
      </c>
      <c r="D37" s="22">
        <f t="shared" si="1"/>
        <v>64</v>
      </c>
      <c r="E37" s="23">
        <v>160</v>
      </c>
      <c r="F37" s="22">
        <f t="shared" si="2"/>
        <v>54</v>
      </c>
      <c r="G37" s="23">
        <v>90</v>
      </c>
      <c r="H37" s="22">
        <f t="shared" si="3"/>
        <v>52</v>
      </c>
      <c r="I37" s="23">
        <v>130</v>
      </c>
      <c r="J37" s="22">
        <f t="shared" si="4"/>
        <v>36</v>
      </c>
      <c r="K37" s="23">
        <v>60</v>
      </c>
      <c r="L37" s="22">
        <f t="shared" si="5"/>
        <v>48</v>
      </c>
      <c r="M37" s="23">
        <v>80</v>
      </c>
      <c r="N37" s="22">
        <f t="shared" si="6"/>
        <v>16</v>
      </c>
      <c r="O37" s="23">
        <v>80</v>
      </c>
      <c r="P37" s="27">
        <v>9</v>
      </c>
      <c r="Q37" s="33">
        <v>0</v>
      </c>
      <c r="R37" s="33">
        <v>1</v>
      </c>
      <c r="S37" s="33">
        <v>25</v>
      </c>
      <c r="T37" s="33" t="s">
        <v>389</v>
      </c>
      <c r="U37" s="34">
        <v>27</v>
      </c>
      <c r="V37" s="35" t="s">
        <v>5713</v>
      </c>
      <c r="W37" s="23" t="s">
        <v>5527</v>
      </c>
      <c r="X37" s="23" t="s">
        <v>5708</v>
      </c>
      <c r="Y37" s="35" t="s">
        <v>5709</v>
      </c>
      <c r="Z37" s="22">
        <v>30</v>
      </c>
      <c r="AA37" s="22" t="s">
        <v>1959</v>
      </c>
      <c r="AB37" s="35"/>
      <c r="AC37" s="22"/>
      <c r="AD37" s="22"/>
      <c r="AE37" s="35"/>
      <c r="AF37" s="22"/>
      <c r="AG37" s="22"/>
      <c r="AH37" s="35"/>
      <c r="AI37" s="22"/>
      <c r="AJ37" s="22"/>
      <c r="AK37" s="35"/>
      <c r="AL37" s="22"/>
      <c r="AM37" s="22"/>
      <c r="AN37" s="22"/>
      <c r="AO37" s="22"/>
      <c r="AP37" s="22"/>
      <c r="AQ37" s="23" t="s">
        <v>5716</v>
      </c>
      <c r="AR37" s="23" t="s">
        <v>5717</v>
      </c>
      <c r="AU37" s="23"/>
    </row>
    <row r="38" customFormat="1" spans="1:47">
      <c r="A38" s="22" t="s">
        <v>5718</v>
      </c>
      <c r="B38" s="22" t="str">
        <f t="shared" si="0"/>
        <v>大型</v>
      </c>
      <c r="C38" s="23" t="s">
        <v>5696</v>
      </c>
      <c r="D38" s="22">
        <f t="shared" si="1"/>
        <v>80</v>
      </c>
      <c r="E38" s="23">
        <v>200</v>
      </c>
      <c r="F38" s="22">
        <f t="shared" si="2"/>
        <v>84</v>
      </c>
      <c r="G38" s="23">
        <v>140</v>
      </c>
      <c r="H38" s="22">
        <f t="shared" si="3"/>
        <v>84</v>
      </c>
      <c r="I38" s="23">
        <v>210</v>
      </c>
      <c r="J38" s="22">
        <f t="shared" si="4"/>
        <v>36</v>
      </c>
      <c r="K38" s="23">
        <v>60</v>
      </c>
      <c r="L38" s="22">
        <f t="shared" si="5"/>
        <v>48</v>
      </c>
      <c r="M38" s="23">
        <v>80</v>
      </c>
      <c r="N38" s="22">
        <f t="shared" si="6"/>
        <v>16</v>
      </c>
      <c r="O38" s="23">
        <v>80</v>
      </c>
      <c r="P38" s="27">
        <v>10</v>
      </c>
      <c r="Q38" s="33">
        <v>4</v>
      </c>
      <c r="R38" s="33">
        <v>1</v>
      </c>
      <c r="S38" s="33">
        <v>45</v>
      </c>
      <c r="T38" s="33" t="s">
        <v>5719</v>
      </c>
      <c r="U38" s="34">
        <v>22</v>
      </c>
      <c r="V38" s="35" t="s">
        <v>5720</v>
      </c>
      <c r="W38" s="23" t="s">
        <v>5506</v>
      </c>
      <c r="X38" s="23" t="s">
        <v>5721</v>
      </c>
      <c r="Y38" s="35" t="s">
        <v>5709</v>
      </c>
      <c r="Z38" s="22">
        <v>45</v>
      </c>
      <c r="AA38" s="22" t="s">
        <v>5646</v>
      </c>
      <c r="AB38" s="35"/>
      <c r="AC38" s="22"/>
      <c r="AD38" s="22"/>
      <c r="AE38" s="35"/>
      <c r="AF38" s="22"/>
      <c r="AG38" s="22"/>
      <c r="AH38" s="35"/>
      <c r="AI38" s="22"/>
      <c r="AJ38" s="22"/>
      <c r="AK38" s="35"/>
      <c r="AL38" s="22"/>
      <c r="AM38" s="22"/>
      <c r="AN38" s="22"/>
      <c r="AO38" s="22"/>
      <c r="AP38" s="22"/>
      <c r="AQ38" s="23" t="s">
        <v>5722</v>
      </c>
      <c r="AR38" s="23" t="s">
        <v>5684</v>
      </c>
      <c r="AU38" s="23"/>
    </row>
    <row r="39" customFormat="1" spans="1:47">
      <c r="A39" s="22" t="s">
        <v>5723</v>
      </c>
      <c r="B39" s="22" t="str">
        <f t="shared" si="0"/>
        <v>小型</v>
      </c>
      <c r="C39" s="23" t="s">
        <v>5724</v>
      </c>
      <c r="D39" s="22">
        <f t="shared" si="1"/>
        <v>4</v>
      </c>
      <c r="E39" s="23">
        <v>10</v>
      </c>
      <c r="F39" s="22">
        <f t="shared" si="2"/>
        <v>36</v>
      </c>
      <c r="G39" s="23">
        <v>60</v>
      </c>
      <c r="H39" s="22">
        <f t="shared" si="3"/>
        <v>6</v>
      </c>
      <c r="I39" s="23">
        <v>15</v>
      </c>
      <c r="J39" s="22">
        <f t="shared" si="4"/>
        <v>72</v>
      </c>
      <c r="K39" s="23">
        <v>120</v>
      </c>
      <c r="L39" s="22">
        <f t="shared" si="5"/>
        <v>36</v>
      </c>
      <c r="M39" s="23">
        <v>60</v>
      </c>
      <c r="N39" s="22">
        <f t="shared" si="6"/>
        <v>12</v>
      </c>
      <c r="O39" s="23">
        <v>60</v>
      </c>
      <c r="P39" s="27">
        <v>12</v>
      </c>
      <c r="Q39" s="33">
        <v>0</v>
      </c>
      <c r="R39" s="33">
        <v>1</v>
      </c>
      <c r="S39" s="33">
        <v>50</v>
      </c>
      <c r="T39" s="33" t="s">
        <v>5725</v>
      </c>
      <c r="U39" s="34">
        <v>30</v>
      </c>
      <c r="V39" s="35" t="s">
        <v>5726</v>
      </c>
      <c r="W39" s="23" t="s">
        <v>5584</v>
      </c>
      <c r="X39" s="23" t="s">
        <v>5727</v>
      </c>
      <c r="Y39" s="35" t="s">
        <v>127</v>
      </c>
      <c r="Z39" s="22">
        <v>90</v>
      </c>
      <c r="AA39" s="22" t="s">
        <v>5510</v>
      </c>
      <c r="AB39" s="35"/>
      <c r="AC39" s="22"/>
      <c r="AD39" s="22"/>
      <c r="AE39" s="35"/>
      <c r="AF39" s="22"/>
      <c r="AG39" s="22"/>
      <c r="AH39" s="35"/>
      <c r="AI39" s="22"/>
      <c r="AJ39" s="22"/>
      <c r="AK39" s="35"/>
      <c r="AL39" s="22"/>
      <c r="AM39" s="22"/>
      <c r="AN39" s="22"/>
      <c r="AO39" s="22"/>
      <c r="AP39" s="22"/>
      <c r="AQ39" s="23" t="s">
        <v>5728</v>
      </c>
      <c r="AR39" s="23" t="s">
        <v>5729</v>
      </c>
      <c r="AU39" s="23"/>
    </row>
    <row r="40" customFormat="1" spans="1:47">
      <c r="A40" s="22" t="s">
        <v>5730</v>
      </c>
      <c r="B40" s="22" t="str">
        <f t="shared" si="0"/>
        <v>小型</v>
      </c>
      <c r="C40" s="23" t="s">
        <v>5724</v>
      </c>
      <c r="D40" s="22">
        <f t="shared" si="1"/>
        <v>4</v>
      </c>
      <c r="E40" s="23">
        <v>10</v>
      </c>
      <c r="F40" s="22">
        <f t="shared" si="2"/>
        <v>33</v>
      </c>
      <c r="G40" s="23">
        <v>55</v>
      </c>
      <c r="H40" s="22">
        <f t="shared" si="3"/>
        <v>4</v>
      </c>
      <c r="I40" s="23">
        <v>10</v>
      </c>
      <c r="J40" s="22">
        <f t="shared" si="4"/>
        <v>66</v>
      </c>
      <c r="K40" s="23">
        <v>110</v>
      </c>
      <c r="L40" s="22">
        <f t="shared" si="5"/>
        <v>36</v>
      </c>
      <c r="M40" s="23">
        <v>60</v>
      </c>
      <c r="N40" s="22">
        <f t="shared" si="6"/>
        <v>12</v>
      </c>
      <c r="O40" s="23">
        <v>60</v>
      </c>
      <c r="P40" s="27">
        <v>12</v>
      </c>
      <c r="Q40" s="33">
        <v>0</v>
      </c>
      <c r="R40" s="33">
        <v>1</v>
      </c>
      <c r="S40" s="33">
        <v>40</v>
      </c>
      <c r="T40" s="33" t="s">
        <v>5487</v>
      </c>
      <c r="U40" s="34">
        <v>30</v>
      </c>
      <c r="V40" s="35" t="s">
        <v>5731</v>
      </c>
      <c r="W40" s="23" t="s">
        <v>5584</v>
      </c>
      <c r="X40" s="23" t="s">
        <v>5732</v>
      </c>
      <c r="Y40" s="35" t="s">
        <v>127</v>
      </c>
      <c r="Z40" s="22">
        <v>80</v>
      </c>
      <c r="AA40" s="22" t="s">
        <v>5510</v>
      </c>
      <c r="AB40" s="35"/>
      <c r="AC40" s="22"/>
      <c r="AD40" s="22"/>
      <c r="AE40" s="35"/>
      <c r="AF40" s="22"/>
      <c r="AG40" s="22"/>
      <c r="AH40" s="35"/>
      <c r="AI40" s="22"/>
      <c r="AJ40" s="22"/>
      <c r="AK40" s="35"/>
      <c r="AL40" s="22"/>
      <c r="AM40" s="22"/>
      <c r="AN40" s="22"/>
      <c r="AO40" s="22"/>
      <c r="AP40" s="22"/>
      <c r="AQ40" s="23" t="s">
        <v>5733</v>
      </c>
      <c r="AR40" s="23" t="s">
        <v>5734</v>
      </c>
      <c r="AU40" s="23"/>
    </row>
    <row r="41" customFormat="1" spans="1:47">
      <c r="A41" s="22" t="s">
        <v>5735</v>
      </c>
      <c r="B41" s="22" t="str">
        <f t="shared" si="0"/>
        <v>小型</v>
      </c>
      <c r="C41" s="23" t="s">
        <v>5724</v>
      </c>
      <c r="D41" s="22">
        <f t="shared" si="1"/>
        <v>4</v>
      </c>
      <c r="E41" s="23">
        <v>10</v>
      </c>
      <c r="F41" s="22">
        <f t="shared" si="2"/>
        <v>30</v>
      </c>
      <c r="G41" s="23">
        <v>50</v>
      </c>
      <c r="H41" s="22">
        <f t="shared" si="3"/>
        <v>2</v>
      </c>
      <c r="I41" s="23">
        <v>5</v>
      </c>
      <c r="J41" s="22">
        <f t="shared" si="4"/>
        <v>60</v>
      </c>
      <c r="K41" s="23">
        <v>100</v>
      </c>
      <c r="L41" s="22">
        <f t="shared" si="5"/>
        <v>36</v>
      </c>
      <c r="M41" s="23">
        <v>60</v>
      </c>
      <c r="N41" s="22">
        <f t="shared" si="6"/>
        <v>12</v>
      </c>
      <c r="O41" s="23">
        <v>60</v>
      </c>
      <c r="P41" s="27">
        <v>12</v>
      </c>
      <c r="Q41" s="33">
        <v>0</v>
      </c>
      <c r="R41" s="33">
        <v>1</v>
      </c>
      <c r="S41" s="33">
        <v>30</v>
      </c>
      <c r="T41" s="33" t="s">
        <v>5736</v>
      </c>
      <c r="U41" s="34">
        <v>30</v>
      </c>
      <c r="V41" s="35" t="s">
        <v>5737</v>
      </c>
      <c r="W41" s="23" t="s">
        <v>5584</v>
      </c>
      <c r="X41" s="23" t="s">
        <v>5738</v>
      </c>
      <c r="Y41" s="35" t="s">
        <v>127</v>
      </c>
      <c r="Z41" s="22">
        <v>80</v>
      </c>
      <c r="AA41" s="22" t="s">
        <v>5510</v>
      </c>
      <c r="AB41" s="35"/>
      <c r="AC41" s="22"/>
      <c r="AD41" s="22"/>
      <c r="AE41" s="35"/>
      <c r="AF41" s="22"/>
      <c r="AG41" s="22"/>
      <c r="AH41" s="35"/>
      <c r="AI41" s="22"/>
      <c r="AJ41" s="22"/>
      <c r="AK41" s="35"/>
      <c r="AL41" s="22"/>
      <c r="AM41" s="22"/>
      <c r="AN41" s="22"/>
      <c r="AO41" s="22"/>
      <c r="AP41" s="22"/>
      <c r="AQ41" s="23" t="s">
        <v>5739</v>
      </c>
      <c r="AR41" s="23" t="s">
        <v>5740</v>
      </c>
      <c r="AU41" s="23"/>
    </row>
    <row r="42" customFormat="1" ht="14.5" spans="1:47">
      <c r="A42" s="22" t="s">
        <v>5741</v>
      </c>
      <c r="B42" s="22" t="str">
        <f t="shared" si="0"/>
        <v>中型</v>
      </c>
      <c r="C42" s="23" t="s">
        <v>5742</v>
      </c>
      <c r="D42" s="22">
        <f t="shared" si="1"/>
        <v>54</v>
      </c>
      <c r="E42" s="23">
        <v>135</v>
      </c>
      <c r="F42" s="22">
        <f t="shared" si="2"/>
        <v>84</v>
      </c>
      <c r="G42" s="23">
        <v>140</v>
      </c>
      <c r="H42" s="22">
        <f t="shared" si="3"/>
        <v>58</v>
      </c>
      <c r="I42" s="23">
        <v>145</v>
      </c>
      <c r="J42" s="22">
        <f t="shared" si="4"/>
        <v>78</v>
      </c>
      <c r="K42" s="23">
        <v>130</v>
      </c>
      <c r="L42" s="22">
        <f t="shared" si="5"/>
        <v>54</v>
      </c>
      <c r="M42" s="23">
        <v>90</v>
      </c>
      <c r="N42" s="22">
        <f t="shared" si="6"/>
        <v>16</v>
      </c>
      <c r="O42" s="23">
        <v>80</v>
      </c>
      <c r="P42" s="27" t="s">
        <v>5743</v>
      </c>
      <c r="Q42" s="33">
        <v>3</v>
      </c>
      <c r="R42" s="33">
        <v>1</v>
      </c>
      <c r="S42" s="33">
        <v>50</v>
      </c>
      <c r="T42" s="33" t="s">
        <v>4096</v>
      </c>
      <c r="U42" s="34">
        <v>40</v>
      </c>
      <c r="V42" s="35" t="s">
        <v>5561</v>
      </c>
      <c r="W42" s="23" t="s">
        <v>5489</v>
      </c>
      <c r="X42" s="23" t="s">
        <v>5744</v>
      </c>
      <c r="Y42" s="35" t="s">
        <v>5745</v>
      </c>
      <c r="Z42" s="22">
        <v>95</v>
      </c>
      <c r="AA42" s="22" t="s">
        <v>5531</v>
      </c>
      <c r="AB42" s="35"/>
      <c r="AC42" s="22"/>
      <c r="AD42" s="22"/>
      <c r="AE42" s="35"/>
      <c r="AF42" s="22"/>
      <c r="AG42" s="22"/>
      <c r="AH42" s="35"/>
      <c r="AI42" s="22"/>
      <c r="AJ42" s="22"/>
      <c r="AK42" s="35"/>
      <c r="AL42" s="22"/>
      <c r="AM42" s="22"/>
      <c r="AN42" s="22"/>
      <c r="AO42" s="22"/>
      <c r="AP42" s="22"/>
      <c r="AQ42" s="40" t="s">
        <v>5746</v>
      </c>
      <c r="AR42" s="40" t="s">
        <v>5747</v>
      </c>
      <c r="AU42" s="23"/>
    </row>
    <row r="43" customFormat="1" ht="14.5" spans="1:47">
      <c r="A43" s="22" t="s">
        <v>5748</v>
      </c>
      <c r="B43" s="22" t="str">
        <f t="shared" si="0"/>
        <v>中型</v>
      </c>
      <c r="C43" s="23" t="s">
        <v>5742</v>
      </c>
      <c r="D43" s="22">
        <f t="shared" si="1"/>
        <v>74</v>
      </c>
      <c r="E43" s="23">
        <v>185</v>
      </c>
      <c r="F43" s="22">
        <f t="shared" si="2"/>
        <v>90</v>
      </c>
      <c r="G43" s="23">
        <v>150</v>
      </c>
      <c r="H43" s="22">
        <f t="shared" si="3"/>
        <v>54</v>
      </c>
      <c r="I43" s="23">
        <v>135</v>
      </c>
      <c r="J43" s="22">
        <f t="shared" si="4"/>
        <v>54</v>
      </c>
      <c r="K43" s="23">
        <v>90</v>
      </c>
      <c r="L43" s="22">
        <f t="shared" si="5"/>
        <v>54</v>
      </c>
      <c r="M43" s="23">
        <v>90</v>
      </c>
      <c r="N43" s="22">
        <f t="shared" si="6"/>
        <v>16</v>
      </c>
      <c r="O43" s="23">
        <v>80</v>
      </c>
      <c r="P43" s="27" t="s">
        <v>5749</v>
      </c>
      <c r="Q43" s="33">
        <v>3</v>
      </c>
      <c r="R43" s="33">
        <v>1</v>
      </c>
      <c r="S43" s="33">
        <v>65</v>
      </c>
      <c r="T43" s="33" t="s">
        <v>4096</v>
      </c>
      <c r="U43" s="34">
        <v>32</v>
      </c>
      <c r="V43" s="35" t="s">
        <v>5561</v>
      </c>
      <c r="W43" s="23" t="s">
        <v>5489</v>
      </c>
      <c r="X43" s="23" t="s">
        <v>5744</v>
      </c>
      <c r="Y43" s="35" t="s">
        <v>5745</v>
      </c>
      <c r="Z43" s="22">
        <v>95</v>
      </c>
      <c r="AA43" s="22" t="s">
        <v>5531</v>
      </c>
      <c r="AB43" s="35"/>
      <c r="AC43" s="22"/>
      <c r="AD43" s="22"/>
      <c r="AE43" s="35"/>
      <c r="AF43" s="22"/>
      <c r="AG43" s="22"/>
      <c r="AH43" s="35"/>
      <c r="AI43" s="22"/>
      <c r="AJ43" s="22"/>
      <c r="AK43" s="35"/>
      <c r="AL43" s="22"/>
      <c r="AM43" s="22"/>
      <c r="AN43" s="22"/>
      <c r="AO43" s="22"/>
      <c r="AP43" s="22"/>
      <c r="AQ43" s="40" t="s">
        <v>5746</v>
      </c>
      <c r="AR43" s="40" t="s">
        <v>5747</v>
      </c>
      <c r="AU43" s="23"/>
    </row>
    <row r="44" customFormat="1" ht="14.5" spans="1:47">
      <c r="A44" s="22" t="s">
        <v>5750</v>
      </c>
      <c r="B44" s="22" t="str">
        <f t="shared" si="0"/>
        <v>大型</v>
      </c>
      <c r="C44" s="23" t="s">
        <v>5742</v>
      </c>
      <c r="D44" s="22">
        <f t="shared" si="1"/>
        <v>80</v>
      </c>
      <c r="E44" s="23">
        <v>200</v>
      </c>
      <c r="F44" s="22">
        <f t="shared" si="2"/>
        <v>108</v>
      </c>
      <c r="G44" s="23">
        <v>180</v>
      </c>
      <c r="H44" s="22">
        <f t="shared" si="3"/>
        <v>78</v>
      </c>
      <c r="I44" s="23">
        <v>195</v>
      </c>
      <c r="J44" s="22">
        <f t="shared" si="4"/>
        <v>78</v>
      </c>
      <c r="K44" s="23">
        <v>130</v>
      </c>
      <c r="L44" s="22">
        <f t="shared" si="5"/>
        <v>54</v>
      </c>
      <c r="M44" s="23">
        <v>90</v>
      </c>
      <c r="N44" s="22">
        <f t="shared" si="6"/>
        <v>17</v>
      </c>
      <c r="O44" s="23">
        <v>85</v>
      </c>
      <c r="P44" s="27" t="s">
        <v>5559</v>
      </c>
      <c r="Q44" s="33">
        <v>3</v>
      </c>
      <c r="R44" s="33">
        <v>1</v>
      </c>
      <c r="S44" s="33">
        <v>80</v>
      </c>
      <c r="T44" s="33" t="s">
        <v>5751</v>
      </c>
      <c r="U44" s="34">
        <v>40</v>
      </c>
      <c r="V44" s="35" t="s">
        <v>5561</v>
      </c>
      <c r="W44" s="23" t="s">
        <v>5489</v>
      </c>
      <c r="X44" s="23" t="s">
        <v>5744</v>
      </c>
      <c r="Y44" s="35" t="s">
        <v>5745</v>
      </c>
      <c r="Z44" s="22">
        <v>95</v>
      </c>
      <c r="AA44" s="22" t="s">
        <v>5531</v>
      </c>
      <c r="AB44" s="35"/>
      <c r="AC44" s="22"/>
      <c r="AD44" s="22"/>
      <c r="AE44" s="35"/>
      <c r="AF44" s="22"/>
      <c r="AG44" s="22"/>
      <c r="AH44" s="35"/>
      <c r="AI44" s="22"/>
      <c r="AJ44" s="22"/>
      <c r="AK44" s="35"/>
      <c r="AL44" s="22"/>
      <c r="AM44" s="22"/>
      <c r="AN44" s="22"/>
      <c r="AO44" s="22"/>
      <c r="AP44" s="22"/>
      <c r="AQ44" s="40" t="s">
        <v>5746</v>
      </c>
      <c r="AR44" s="40" t="s">
        <v>5747</v>
      </c>
      <c r="AU44" s="23"/>
    </row>
    <row r="45" customFormat="1" ht="14.5" spans="1:47">
      <c r="A45" s="22" t="s">
        <v>5752</v>
      </c>
      <c r="B45" s="22" t="str">
        <f t="shared" si="0"/>
        <v>大型</v>
      </c>
      <c r="C45" s="23" t="s">
        <v>5742</v>
      </c>
      <c r="D45" s="22">
        <f t="shared" si="1"/>
        <v>114</v>
      </c>
      <c r="E45" s="23">
        <v>285</v>
      </c>
      <c r="F45" s="22">
        <f t="shared" si="2"/>
        <v>150</v>
      </c>
      <c r="G45" s="23">
        <v>250</v>
      </c>
      <c r="H45" s="22">
        <f t="shared" si="3"/>
        <v>118</v>
      </c>
      <c r="I45" s="23">
        <v>295</v>
      </c>
      <c r="J45" s="22">
        <f t="shared" si="4"/>
        <v>54</v>
      </c>
      <c r="K45" s="23">
        <v>90</v>
      </c>
      <c r="L45" s="22">
        <f t="shared" si="5"/>
        <v>54</v>
      </c>
      <c r="M45" s="23">
        <v>90</v>
      </c>
      <c r="N45" s="22">
        <f t="shared" si="6"/>
        <v>17</v>
      </c>
      <c r="O45" s="23">
        <v>85</v>
      </c>
      <c r="P45" s="27" t="s">
        <v>5753</v>
      </c>
      <c r="Q45" s="33">
        <v>6</v>
      </c>
      <c r="R45" s="33">
        <v>1</v>
      </c>
      <c r="S45" s="33">
        <v>70</v>
      </c>
      <c r="T45" s="33" t="s">
        <v>5487</v>
      </c>
      <c r="U45" s="34">
        <v>32</v>
      </c>
      <c r="V45" s="35" t="s">
        <v>5561</v>
      </c>
      <c r="W45" s="23" t="s">
        <v>5489</v>
      </c>
      <c r="X45" s="23" t="s">
        <v>5754</v>
      </c>
      <c r="Y45" s="35" t="s">
        <v>5745</v>
      </c>
      <c r="Z45" s="22">
        <v>95</v>
      </c>
      <c r="AA45" s="22" t="s">
        <v>5531</v>
      </c>
      <c r="AB45" s="35"/>
      <c r="AC45" s="22"/>
      <c r="AD45" s="22"/>
      <c r="AE45" s="35"/>
      <c r="AF45" s="22"/>
      <c r="AG45" s="22"/>
      <c r="AH45" s="35"/>
      <c r="AI45" s="22"/>
      <c r="AJ45" s="22"/>
      <c r="AK45" s="35"/>
      <c r="AL45" s="22"/>
      <c r="AM45" s="22"/>
      <c r="AN45" s="22"/>
      <c r="AO45" s="22"/>
      <c r="AP45" s="22"/>
      <c r="AQ45" s="40" t="s">
        <v>5746</v>
      </c>
      <c r="AR45" s="40" t="s">
        <v>5747</v>
      </c>
      <c r="AU45" s="23"/>
    </row>
    <row r="46" customFormat="1" ht="14.5" spans="1:47">
      <c r="A46" s="22" t="s">
        <v>5755</v>
      </c>
      <c r="B46" s="22" t="str">
        <f t="shared" si="0"/>
        <v>大型</v>
      </c>
      <c r="C46" s="23" t="s">
        <v>5756</v>
      </c>
      <c r="D46" s="22">
        <f t="shared" si="1"/>
        <v>112</v>
      </c>
      <c r="E46" s="23">
        <v>280</v>
      </c>
      <c r="F46" s="22">
        <f t="shared" si="2"/>
        <v>90</v>
      </c>
      <c r="G46" s="23">
        <v>150</v>
      </c>
      <c r="H46" s="22">
        <f t="shared" si="3"/>
        <v>112</v>
      </c>
      <c r="I46" s="23">
        <v>280</v>
      </c>
      <c r="J46" s="22">
        <f t="shared" si="4"/>
        <v>36</v>
      </c>
      <c r="K46" s="23">
        <v>60</v>
      </c>
      <c r="L46" s="22">
        <f t="shared" si="5"/>
        <v>54</v>
      </c>
      <c r="M46" s="23">
        <v>90</v>
      </c>
      <c r="N46" s="22">
        <f t="shared" si="6"/>
        <v>16</v>
      </c>
      <c r="O46" s="23">
        <v>80</v>
      </c>
      <c r="P46" s="27">
        <v>14</v>
      </c>
      <c r="Q46" s="33">
        <v>10</v>
      </c>
      <c r="R46" s="33">
        <v>1</v>
      </c>
      <c r="S46" s="33">
        <v>50</v>
      </c>
      <c r="T46" s="33" t="s">
        <v>5487</v>
      </c>
      <c r="U46" s="34">
        <v>20</v>
      </c>
      <c r="V46" s="35" t="s">
        <v>5757</v>
      </c>
      <c r="W46" s="23" t="s">
        <v>5506</v>
      </c>
      <c r="X46" s="23" t="s">
        <v>5758</v>
      </c>
      <c r="Y46" s="35" t="s">
        <v>5709</v>
      </c>
      <c r="Z46" s="22">
        <v>70</v>
      </c>
      <c r="AA46" s="22" t="s">
        <v>5759</v>
      </c>
      <c r="AB46" s="35" t="s">
        <v>66</v>
      </c>
      <c r="AC46" s="22">
        <v>70</v>
      </c>
      <c r="AD46" s="22" t="s">
        <v>5510</v>
      </c>
      <c r="AE46" s="35" t="s">
        <v>5508</v>
      </c>
      <c r="AF46" s="22">
        <v>70</v>
      </c>
      <c r="AG46" s="22" t="s">
        <v>5760</v>
      </c>
      <c r="AH46" s="35" t="s">
        <v>5761</v>
      </c>
      <c r="AI46" s="22">
        <v>70</v>
      </c>
      <c r="AJ46" s="22" t="s">
        <v>5762</v>
      </c>
      <c r="AK46" s="35"/>
      <c r="AL46" s="22"/>
      <c r="AM46" s="22"/>
      <c r="AN46" s="22"/>
      <c r="AO46" s="22"/>
      <c r="AP46" s="22"/>
      <c r="AQ46" s="40" t="s">
        <v>5763</v>
      </c>
      <c r="AR46" s="40" t="s">
        <v>5764</v>
      </c>
      <c r="AU46" s="23"/>
    </row>
    <row r="47" customFormat="1" ht="14.5" spans="1:47">
      <c r="A47" s="22" t="s">
        <v>5765</v>
      </c>
      <c r="B47" s="22" t="str">
        <f t="shared" si="0"/>
        <v>小型</v>
      </c>
      <c r="C47" s="23" t="s">
        <v>5766</v>
      </c>
      <c r="D47" s="22">
        <f t="shared" si="1"/>
        <v>4</v>
      </c>
      <c r="E47" s="23">
        <v>10</v>
      </c>
      <c r="F47" s="22">
        <f t="shared" si="2"/>
        <v>36</v>
      </c>
      <c r="G47" s="23">
        <v>60</v>
      </c>
      <c r="H47" s="22">
        <f t="shared" si="3"/>
        <v>4</v>
      </c>
      <c r="I47" s="23">
        <v>10</v>
      </c>
      <c r="J47" s="22">
        <f t="shared" si="4"/>
        <v>36</v>
      </c>
      <c r="K47" s="23">
        <v>60</v>
      </c>
      <c r="L47" s="22">
        <f t="shared" si="5"/>
        <v>36</v>
      </c>
      <c r="M47" s="23">
        <v>60</v>
      </c>
      <c r="N47" s="22">
        <f t="shared" si="6"/>
        <v>12</v>
      </c>
      <c r="O47" s="23">
        <v>60</v>
      </c>
      <c r="P47" s="27">
        <v>12</v>
      </c>
      <c r="Q47" s="33">
        <v>0</v>
      </c>
      <c r="R47" s="33">
        <v>1</v>
      </c>
      <c r="S47" s="33">
        <v>50</v>
      </c>
      <c r="T47" s="33" t="s">
        <v>568</v>
      </c>
      <c r="U47" s="34">
        <v>30</v>
      </c>
      <c r="V47" s="35" t="s">
        <v>5767</v>
      </c>
      <c r="W47" s="23" t="s">
        <v>5584</v>
      </c>
      <c r="X47" s="23" t="s">
        <v>5768</v>
      </c>
      <c r="Y47" s="35" t="s">
        <v>5769</v>
      </c>
      <c r="Z47" s="22">
        <v>80</v>
      </c>
      <c r="AA47" s="22" t="s">
        <v>5770</v>
      </c>
      <c r="AB47" s="35" t="s">
        <v>127</v>
      </c>
      <c r="AC47" s="22">
        <v>80</v>
      </c>
      <c r="AD47" s="22" t="s">
        <v>5510</v>
      </c>
      <c r="AE47" s="35" t="s">
        <v>5508</v>
      </c>
      <c r="AF47" s="22">
        <v>80</v>
      </c>
      <c r="AG47" s="22" t="s">
        <v>5771</v>
      </c>
      <c r="AH47" s="35"/>
      <c r="AI47" s="22"/>
      <c r="AJ47" s="22"/>
      <c r="AK47" s="35"/>
      <c r="AL47" s="22"/>
      <c r="AM47" s="22"/>
      <c r="AN47" s="22"/>
      <c r="AO47" s="22"/>
      <c r="AP47" s="22"/>
      <c r="AQ47" s="40" t="s">
        <v>5772</v>
      </c>
      <c r="AR47" s="40" t="s">
        <v>5773</v>
      </c>
      <c r="AU47" s="23"/>
    </row>
    <row r="48" customFormat="1" ht="14.5" spans="1:47">
      <c r="A48" s="22" t="s">
        <v>5774</v>
      </c>
      <c r="B48" s="22" t="str">
        <f t="shared" si="0"/>
        <v>小型</v>
      </c>
      <c r="C48" s="23" t="s">
        <v>5775</v>
      </c>
      <c r="D48" s="22">
        <f t="shared" si="1"/>
        <v>52</v>
      </c>
      <c r="E48" s="23">
        <v>130</v>
      </c>
      <c r="F48" s="22">
        <f t="shared" si="2"/>
        <v>48</v>
      </c>
      <c r="G48" s="23">
        <v>80</v>
      </c>
      <c r="H48" s="22">
        <f t="shared" si="3"/>
        <v>22</v>
      </c>
      <c r="I48" s="23">
        <v>55</v>
      </c>
      <c r="J48" s="22">
        <f t="shared" si="4"/>
        <v>18</v>
      </c>
      <c r="K48" s="23">
        <v>30</v>
      </c>
      <c r="L48" s="22">
        <f t="shared" si="5"/>
        <v>36</v>
      </c>
      <c r="M48" s="23">
        <v>60</v>
      </c>
      <c r="N48" s="22">
        <f t="shared" si="6"/>
        <v>12</v>
      </c>
      <c r="O48" s="23">
        <v>60</v>
      </c>
      <c r="P48" s="27" t="s">
        <v>5776</v>
      </c>
      <c r="Q48" s="33">
        <v>6</v>
      </c>
      <c r="R48" s="33">
        <v>1</v>
      </c>
      <c r="S48" s="33">
        <v>50</v>
      </c>
      <c r="T48" s="33" t="s">
        <v>5504</v>
      </c>
      <c r="U48" s="34">
        <v>10</v>
      </c>
      <c r="V48" s="35" t="s">
        <v>5777</v>
      </c>
      <c r="W48" s="23" t="s">
        <v>5778</v>
      </c>
      <c r="X48" s="23" t="s">
        <v>5779</v>
      </c>
      <c r="Y48" s="35" t="s">
        <v>5769</v>
      </c>
      <c r="Z48" s="22">
        <v>90</v>
      </c>
      <c r="AA48" s="22" t="s">
        <v>5770</v>
      </c>
      <c r="AB48" s="35" t="s">
        <v>127</v>
      </c>
      <c r="AC48" s="22">
        <v>90</v>
      </c>
      <c r="AD48" s="22" t="s">
        <v>5510</v>
      </c>
      <c r="AE48" s="35"/>
      <c r="AF48" s="22"/>
      <c r="AG48" s="22"/>
      <c r="AH48" s="35"/>
      <c r="AI48" s="22"/>
      <c r="AJ48" s="22"/>
      <c r="AK48" s="35"/>
      <c r="AL48" s="22"/>
      <c r="AM48" s="22"/>
      <c r="AN48" s="22"/>
      <c r="AO48" s="22"/>
      <c r="AP48" s="22"/>
      <c r="AQ48" s="40" t="s">
        <v>5561</v>
      </c>
      <c r="AR48" s="40" t="s">
        <v>5780</v>
      </c>
      <c r="AU48" s="23"/>
    </row>
    <row r="49" s="11" customFormat="1" ht="22.5" spans="1:47">
      <c r="A49" s="24" t="s">
        <v>5781</v>
      </c>
      <c r="B49" s="24" t="str">
        <f t="shared" si="0"/>
        <v>中型</v>
      </c>
      <c r="C49" s="12" t="s">
        <v>5742</v>
      </c>
      <c r="D49" s="24">
        <f t="shared" si="1"/>
        <v>32</v>
      </c>
      <c r="E49" s="12">
        <v>80</v>
      </c>
      <c r="F49" s="24">
        <f t="shared" si="2"/>
        <v>54</v>
      </c>
      <c r="G49" s="12">
        <v>90</v>
      </c>
      <c r="H49" s="24">
        <f t="shared" si="3"/>
        <v>56</v>
      </c>
      <c r="I49" s="12">
        <v>140</v>
      </c>
      <c r="J49" s="24">
        <f t="shared" si="4"/>
        <v>36</v>
      </c>
      <c r="K49" s="12">
        <v>60</v>
      </c>
      <c r="L49" s="24">
        <f t="shared" si="5"/>
        <v>36</v>
      </c>
      <c r="M49" s="12">
        <v>60</v>
      </c>
      <c r="N49" s="24">
        <f t="shared" si="6"/>
        <v>12</v>
      </c>
      <c r="O49" s="12">
        <v>60</v>
      </c>
      <c r="P49" s="28">
        <v>10</v>
      </c>
      <c r="Q49" s="36">
        <v>3</v>
      </c>
      <c r="R49" s="36">
        <v>1</v>
      </c>
      <c r="S49" s="36">
        <v>40</v>
      </c>
      <c r="T49" s="36" t="s">
        <v>5603</v>
      </c>
      <c r="U49" s="37">
        <v>35</v>
      </c>
      <c r="V49" s="38" t="s">
        <v>5782</v>
      </c>
      <c r="W49" s="12" t="s">
        <v>5506</v>
      </c>
      <c r="X49" s="12" t="s">
        <v>5783</v>
      </c>
      <c r="Y49" s="38" t="s">
        <v>5508</v>
      </c>
      <c r="Z49" s="24">
        <v>50</v>
      </c>
      <c r="AA49" s="24" t="s">
        <v>5760</v>
      </c>
      <c r="AB49" s="38" t="s">
        <v>127</v>
      </c>
      <c r="AC49" s="24">
        <v>40</v>
      </c>
      <c r="AD49" s="24" t="s">
        <v>5510</v>
      </c>
      <c r="AE49" s="38"/>
      <c r="AF49" s="24"/>
      <c r="AG49" s="24"/>
      <c r="AH49" s="38"/>
      <c r="AI49" s="24"/>
      <c r="AJ49" s="24"/>
      <c r="AK49" s="38"/>
      <c r="AL49" s="24"/>
      <c r="AM49" s="24"/>
      <c r="AN49" s="24"/>
      <c r="AO49" s="24"/>
      <c r="AP49" s="24"/>
      <c r="AQ49" s="41" t="s">
        <v>5782</v>
      </c>
      <c r="AR49" s="41" t="s">
        <v>5784</v>
      </c>
      <c r="AU49" s="12"/>
    </row>
    <row r="50" s="11" customFormat="1" ht="22.5" spans="1:47">
      <c r="A50" s="24" t="s">
        <v>5785</v>
      </c>
      <c r="B50" s="24" t="str">
        <f t="shared" si="0"/>
        <v>大型</v>
      </c>
      <c r="C50" s="12" t="s">
        <v>5742</v>
      </c>
      <c r="D50" s="24">
        <f t="shared" si="1"/>
        <v>40</v>
      </c>
      <c r="E50" s="12">
        <v>100</v>
      </c>
      <c r="F50" s="24">
        <f t="shared" si="2"/>
        <v>36</v>
      </c>
      <c r="G50" s="12">
        <v>60</v>
      </c>
      <c r="H50" s="24">
        <f t="shared" si="3"/>
        <v>64</v>
      </c>
      <c r="I50" s="12">
        <v>160</v>
      </c>
      <c r="J50" s="24">
        <f t="shared" si="4"/>
        <v>30</v>
      </c>
      <c r="K50" s="12">
        <v>50</v>
      </c>
      <c r="L50" s="24">
        <f t="shared" si="5"/>
        <v>36</v>
      </c>
      <c r="M50" s="12">
        <v>60</v>
      </c>
      <c r="N50" s="24">
        <f t="shared" si="6"/>
        <v>18</v>
      </c>
      <c r="O50" s="12">
        <v>90</v>
      </c>
      <c r="P50" s="28">
        <v>8</v>
      </c>
      <c r="Q50" s="36">
        <v>1</v>
      </c>
      <c r="R50" s="36">
        <v>1</v>
      </c>
      <c r="S50" s="36">
        <v>40</v>
      </c>
      <c r="T50" s="36" t="s">
        <v>5504</v>
      </c>
      <c r="U50" s="37">
        <v>30</v>
      </c>
      <c r="V50" s="38" t="s">
        <v>5782</v>
      </c>
      <c r="W50" s="12" t="s">
        <v>5506</v>
      </c>
      <c r="X50" s="12" t="s">
        <v>5783</v>
      </c>
      <c r="Y50" s="38" t="s">
        <v>5508</v>
      </c>
      <c r="Z50" s="24">
        <v>50</v>
      </c>
      <c r="AA50" s="24" t="s">
        <v>5760</v>
      </c>
      <c r="AB50" s="38" t="s">
        <v>127</v>
      </c>
      <c r="AC50" s="24">
        <v>40</v>
      </c>
      <c r="AD50" s="24" t="s">
        <v>5510</v>
      </c>
      <c r="AE50" s="38"/>
      <c r="AF50" s="24"/>
      <c r="AG50" s="24"/>
      <c r="AH50" s="38"/>
      <c r="AI50" s="24"/>
      <c r="AJ50" s="24"/>
      <c r="AK50" s="38"/>
      <c r="AL50" s="24"/>
      <c r="AM50" s="24"/>
      <c r="AN50" s="24"/>
      <c r="AO50" s="24"/>
      <c r="AP50" s="24"/>
      <c r="AQ50" s="41" t="s">
        <v>5782</v>
      </c>
      <c r="AR50" s="41" t="s">
        <v>5784</v>
      </c>
      <c r="AU50" s="12"/>
    </row>
    <row r="51" s="11" customFormat="1" ht="22.5" spans="1:47">
      <c r="A51" s="24" t="s">
        <v>5786</v>
      </c>
      <c r="B51" s="24" t="str">
        <f t="shared" si="0"/>
        <v>小型</v>
      </c>
      <c r="C51" s="12" t="s">
        <v>5787</v>
      </c>
      <c r="D51" s="24">
        <f t="shared" si="1"/>
        <v>4</v>
      </c>
      <c r="E51" s="12">
        <v>10</v>
      </c>
      <c r="F51" s="24">
        <f t="shared" si="2"/>
        <v>30</v>
      </c>
      <c r="G51" s="12">
        <v>50</v>
      </c>
      <c r="H51" s="24">
        <f t="shared" si="3"/>
        <v>4</v>
      </c>
      <c r="I51" s="12">
        <v>10</v>
      </c>
      <c r="J51" s="24">
        <f t="shared" si="4"/>
        <v>18</v>
      </c>
      <c r="K51" s="12">
        <v>30</v>
      </c>
      <c r="L51" s="24">
        <f t="shared" si="5"/>
        <v>36</v>
      </c>
      <c r="M51" s="12">
        <v>60</v>
      </c>
      <c r="N51" s="24">
        <f t="shared" si="6"/>
        <v>12</v>
      </c>
      <c r="O51" s="12">
        <v>60</v>
      </c>
      <c r="P51" s="28">
        <v>6</v>
      </c>
      <c r="Q51" s="36">
        <v>0</v>
      </c>
      <c r="R51" s="36">
        <v>1</v>
      </c>
      <c r="S51" s="36">
        <v>40</v>
      </c>
      <c r="T51" s="36" t="s">
        <v>5582</v>
      </c>
      <c r="U51" s="37">
        <v>45</v>
      </c>
      <c r="V51" s="38" t="s">
        <v>5788</v>
      </c>
      <c r="W51" s="12" t="s">
        <v>5584</v>
      </c>
      <c r="X51" s="12" t="s">
        <v>5789</v>
      </c>
      <c r="Y51" s="38" t="s">
        <v>5769</v>
      </c>
      <c r="Z51" s="24">
        <v>60</v>
      </c>
      <c r="AA51" s="24" t="s">
        <v>5770</v>
      </c>
      <c r="AB51" s="38" t="s">
        <v>5790</v>
      </c>
      <c r="AC51" s="24">
        <v>30</v>
      </c>
      <c r="AD51" s="24" t="s">
        <v>5791</v>
      </c>
      <c r="AE51" s="38"/>
      <c r="AF51" s="24"/>
      <c r="AG51" s="24"/>
      <c r="AH51" s="38"/>
      <c r="AI51" s="24"/>
      <c r="AJ51" s="24"/>
      <c r="AK51" s="38"/>
      <c r="AL51" s="24"/>
      <c r="AM51" s="24"/>
      <c r="AN51" s="24"/>
      <c r="AO51" s="24"/>
      <c r="AP51" s="24"/>
      <c r="AQ51" s="41" t="s">
        <v>5792</v>
      </c>
      <c r="AR51" s="41" t="s">
        <v>5793</v>
      </c>
      <c r="AU51" s="12"/>
    </row>
    <row r="52" s="11" customFormat="1" ht="22.5" spans="1:47">
      <c r="A52" s="24" t="s">
        <v>5794</v>
      </c>
      <c r="B52" s="24" t="str">
        <f t="shared" si="0"/>
        <v>小型</v>
      </c>
      <c r="C52" s="12" t="s">
        <v>5742</v>
      </c>
      <c r="D52" s="24">
        <f t="shared" si="1"/>
        <v>24</v>
      </c>
      <c r="E52" s="12">
        <v>60</v>
      </c>
      <c r="F52" s="24">
        <f t="shared" si="2"/>
        <v>36</v>
      </c>
      <c r="G52" s="12">
        <v>60</v>
      </c>
      <c r="H52" s="24">
        <f t="shared" si="3"/>
        <v>12</v>
      </c>
      <c r="I52" s="12">
        <v>30</v>
      </c>
      <c r="J52" s="24">
        <f t="shared" si="4"/>
        <v>72</v>
      </c>
      <c r="K52" s="12">
        <v>120</v>
      </c>
      <c r="L52" s="24">
        <f t="shared" si="5"/>
        <v>54</v>
      </c>
      <c r="M52" s="12">
        <v>90</v>
      </c>
      <c r="N52" s="24">
        <f t="shared" si="6"/>
        <v>12</v>
      </c>
      <c r="O52" s="12">
        <v>60</v>
      </c>
      <c r="P52" s="28">
        <v>12</v>
      </c>
      <c r="Q52" s="36">
        <v>0</v>
      </c>
      <c r="R52" s="36">
        <v>1</v>
      </c>
      <c r="S52" s="36">
        <v>40</v>
      </c>
      <c r="T52" s="36" t="s">
        <v>5603</v>
      </c>
      <c r="U52" s="37">
        <v>60</v>
      </c>
      <c r="V52" s="38" t="s">
        <v>5795</v>
      </c>
      <c r="W52" s="12" t="s">
        <v>5506</v>
      </c>
      <c r="X52" s="12" t="s">
        <v>5796</v>
      </c>
      <c r="Y52" s="38" t="s">
        <v>150</v>
      </c>
      <c r="Z52" s="24">
        <v>60</v>
      </c>
      <c r="AA52" s="24" t="s">
        <v>5510</v>
      </c>
      <c r="AB52" s="38" t="s">
        <v>5769</v>
      </c>
      <c r="AC52" s="24">
        <v>60</v>
      </c>
      <c r="AD52" s="24" t="s">
        <v>5770</v>
      </c>
      <c r="AE52" s="38"/>
      <c r="AF52" s="24"/>
      <c r="AG52" s="24"/>
      <c r="AH52" s="38"/>
      <c r="AI52" s="24"/>
      <c r="AJ52" s="24"/>
      <c r="AK52" s="38"/>
      <c r="AL52" s="24"/>
      <c r="AM52" s="24"/>
      <c r="AN52" s="24"/>
      <c r="AO52" s="24"/>
      <c r="AP52" s="24"/>
      <c r="AQ52" s="41" t="s">
        <v>5797</v>
      </c>
      <c r="AR52" s="41" t="s">
        <v>5798</v>
      </c>
      <c r="AU52" s="12"/>
    </row>
    <row r="53" s="11" customFormat="1" ht="22.5" spans="1:47">
      <c r="A53" s="24" t="s">
        <v>5799</v>
      </c>
      <c r="B53" s="24" t="str">
        <f t="shared" si="0"/>
        <v>中型</v>
      </c>
      <c r="C53" s="12" t="s">
        <v>5742</v>
      </c>
      <c r="D53" s="24">
        <f t="shared" si="1"/>
        <v>40</v>
      </c>
      <c r="E53" s="12">
        <v>100</v>
      </c>
      <c r="F53" s="24">
        <f t="shared" si="2"/>
        <v>54</v>
      </c>
      <c r="G53" s="12">
        <v>90</v>
      </c>
      <c r="H53" s="24">
        <f t="shared" si="3"/>
        <v>40</v>
      </c>
      <c r="I53" s="12">
        <v>100</v>
      </c>
      <c r="J53" s="24">
        <f t="shared" si="4"/>
        <v>48</v>
      </c>
      <c r="K53" s="12">
        <v>80</v>
      </c>
      <c r="L53" s="24">
        <f t="shared" si="5"/>
        <v>54</v>
      </c>
      <c r="M53" s="12">
        <v>90</v>
      </c>
      <c r="N53" s="24">
        <f t="shared" si="6"/>
        <v>16</v>
      </c>
      <c r="O53" s="12">
        <v>80</v>
      </c>
      <c r="P53" s="28">
        <v>10</v>
      </c>
      <c r="Q53" s="36">
        <v>1</v>
      </c>
      <c r="R53" s="36">
        <v>1</v>
      </c>
      <c r="S53" s="36">
        <v>45</v>
      </c>
      <c r="T53" s="36" t="s">
        <v>5504</v>
      </c>
      <c r="U53" s="37">
        <v>30</v>
      </c>
      <c r="V53" s="38" t="s">
        <v>5800</v>
      </c>
      <c r="W53" s="12" t="s">
        <v>5506</v>
      </c>
      <c r="X53" s="12" t="s">
        <v>5783</v>
      </c>
      <c r="Y53" s="38" t="s">
        <v>150</v>
      </c>
      <c r="Z53" s="24">
        <v>80</v>
      </c>
      <c r="AA53" s="24" t="s">
        <v>5510</v>
      </c>
      <c r="AB53" s="38" t="s">
        <v>82</v>
      </c>
      <c r="AC53" s="24">
        <v>90</v>
      </c>
      <c r="AD53" s="24" t="s">
        <v>5510</v>
      </c>
      <c r="AE53" s="38" t="s">
        <v>5761</v>
      </c>
      <c r="AF53" s="24">
        <v>60</v>
      </c>
      <c r="AG53" s="24" t="s">
        <v>5762</v>
      </c>
      <c r="AH53" s="38"/>
      <c r="AI53" s="24"/>
      <c r="AJ53" s="24"/>
      <c r="AK53" s="38"/>
      <c r="AL53" s="24"/>
      <c r="AM53" s="24"/>
      <c r="AN53" s="24"/>
      <c r="AO53" s="24"/>
      <c r="AP53" s="24"/>
      <c r="AQ53" s="41" t="s">
        <v>5801</v>
      </c>
      <c r="AR53" s="41" t="s">
        <v>5802</v>
      </c>
      <c r="AU53" s="12"/>
    </row>
    <row r="54" s="11" customFormat="1" ht="22.5" spans="1:47">
      <c r="A54" s="24" t="s">
        <v>5803</v>
      </c>
      <c r="B54" s="24" t="str">
        <f t="shared" si="0"/>
        <v>中型</v>
      </c>
      <c r="C54" s="12" t="s">
        <v>5742</v>
      </c>
      <c r="D54" s="24">
        <f t="shared" si="1"/>
        <v>52</v>
      </c>
      <c r="E54" s="12">
        <v>130</v>
      </c>
      <c r="F54" s="24">
        <f t="shared" si="2"/>
        <v>54</v>
      </c>
      <c r="G54" s="12">
        <v>90</v>
      </c>
      <c r="H54" s="24">
        <f t="shared" si="3"/>
        <v>48</v>
      </c>
      <c r="I54" s="12">
        <v>120</v>
      </c>
      <c r="J54" s="24">
        <f t="shared" si="4"/>
        <v>54</v>
      </c>
      <c r="K54" s="12">
        <v>90</v>
      </c>
      <c r="L54" s="24">
        <f t="shared" si="5"/>
        <v>54</v>
      </c>
      <c r="M54" s="12">
        <v>90</v>
      </c>
      <c r="N54" s="24">
        <f t="shared" si="6"/>
        <v>16</v>
      </c>
      <c r="O54" s="12">
        <v>80</v>
      </c>
      <c r="P54" s="28">
        <v>11</v>
      </c>
      <c r="Q54" s="36">
        <v>2</v>
      </c>
      <c r="R54" s="36">
        <v>1</v>
      </c>
      <c r="S54" s="36">
        <v>50</v>
      </c>
      <c r="T54" s="36" t="s">
        <v>5504</v>
      </c>
      <c r="U54" s="37">
        <v>35</v>
      </c>
      <c r="V54" s="38" t="s">
        <v>5800</v>
      </c>
      <c r="W54" s="12" t="s">
        <v>5506</v>
      </c>
      <c r="X54" s="12" t="s">
        <v>5783</v>
      </c>
      <c r="Y54" s="38" t="s">
        <v>5709</v>
      </c>
      <c r="Z54" s="24">
        <v>60</v>
      </c>
      <c r="AA54" s="24" t="s">
        <v>1959</v>
      </c>
      <c r="AB54" s="38" t="s">
        <v>5804</v>
      </c>
      <c r="AC54" s="24">
        <v>50</v>
      </c>
      <c r="AD54" s="24" t="s">
        <v>5805</v>
      </c>
      <c r="AE54" s="38" t="s">
        <v>5761</v>
      </c>
      <c r="AF54" s="24">
        <v>70</v>
      </c>
      <c r="AG54" s="24" t="s">
        <v>5762</v>
      </c>
      <c r="AH54" s="38"/>
      <c r="AI54" s="24"/>
      <c r="AJ54" s="24"/>
      <c r="AK54" s="38"/>
      <c r="AL54" s="24"/>
      <c r="AM54" s="24"/>
      <c r="AN54" s="24"/>
      <c r="AO54" s="24"/>
      <c r="AP54" s="24"/>
      <c r="AQ54" s="41" t="s">
        <v>5806</v>
      </c>
      <c r="AR54" s="41" t="s">
        <v>5807</v>
      </c>
      <c r="AU54" s="12"/>
    </row>
    <row r="55" s="11" customFormat="1" ht="22.5" spans="1:47">
      <c r="A55" s="24" t="s">
        <v>5808</v>
      </c>
      <c r="B55" s="24" t="str">
        <f t="shared" si="0"/>
        <v>小型</v>
      </c>
      <c r="C55" s="12" t="s">
        <v>5615</v>
      </c>
      <c r="D55" s="24">
        <f t="shared" si="1"/>
        <v>24</v>
      </c>
      <c r="E55" s="12">
        <v>60</v>
      </c>
      <c r="F55" s="24">
        <f t="shared" si="2"/>
        <v>36</v>
      </c>
      <c r="G55" s="12">
        <v>60</v>
      </c>
      <c r="H55" s="24">
        <f t="shared" si="3"/>
        <v>24</v>
      </c>
      <c r="I55" s="12">
        <v>60</v>
      </c>
      <c r="J55" s="24">
        <f t="shared" si="4"/>
        <v>54</v>
      </c>
      <c r="K55" s="12">
        <v>90</v>
      </c>
      <c r="L55" s="24">
        <f t="shared" si="5"/>
        <v>36</v>
      </c>
      <c r="M55" s="12">
        <v>60</v>
      </c>
      <c r="N55" s="24">
        <f t="shared" si="6"/>
        <v>12</v>
      </c>
      <c r="O55" s="12">
        <v>60</v>
      </c>
      <c r="P55" s="28">
        <v>12</v>
      </c>
      <c r="Q55" s="36">
        <v>0</v>
      </c>
      <c r="R55" s="36">
        <v>1</v>
      </c>
      <c r="S55" s="36">
        <v>40</v>
      </c>
      <c r="T55" s="36" t="s">
        <v>5603</v>
      </c>
      <c r="U55" s="37">
        <v>45</v>
      </c>
      <c r="V55" s="38" t="s">
        <v>5655</v>
      </c>
      <c r="W55" s="12" t="s">
        <v>5489</v>
      </c>
      <c r="X55" s="12" t="s">
        <v>5662</v>
      </c>
      <c r="Y55" s="38" t="s">
        <v>5769</v>
      </c>
      <c r="Z55" s="24">
        <v>60</v>
      </c>
      <c r="AA55" s="24" t="s">
        <v>5510</v>
      </c>
      <c r="AB55" s="38" t="s">
        <v>5508</v>
      </c>
      <c r="AC55" s="24">
        <v>60</v>
      </c>
      <c r="AD55" s="24" t="s">
        <v>5510</v>
      </c>
      <c r="AE55" s="38" t="s">
        <v>5809</v>
      </c>
      <c r="AF55" s="24">
        <v>80</v>
      </c>
      <c r="AG55" s="24" t="s">
        <v>5810</v>
      </c>
      <c r="AH55" s="38"/>
      <c r="AI55" s="24"/>
      <c r="AJ55" s="24"/>
      <c r="AK55" s="38"/>
      <c r="AL55" s="24"/>
      <c r="AM55" s="24"/>
      <c r="AN55" s="24"/>
      <c r="AO55" s="24"/>
      <c r="AP55" s="24"/>
      <c r="AQ55" s="41" t="s">
        <v>5811</v>
      </c>
      <c r="AR55" s="41" t="s">
        <v>5812</v>
      </c>
      <c r="AU55" s="12"/>
    </row>
    <row r="56" s="11" customFormat="1" ht="22.5" spans="1:47">
      <c r="A56" s="24"/>
      <c r="B56" s="24"/>
      <c r="C56" s="12"/>
      <c r="D56" s="24">
        <f t="shared" si="1"/>
        <v>0</v>
      </c>
      <c r="E56" s="12"/>
      <c r="F56" s="24">
        <f t="shared" si="2"/>
        <v>0</v>
      </c>
      <c r="G56" s="12"/>
      <c r="H56" s="24">
        <f t="shared" si="3"/>
        <v>0</v>
      </c>
      <c r="I56" s="12"/>
      <c r="J56" s="24">
        <f t="shared" si="4"/>
        <v>0</v>
      </c>
      <c r="K56" s="12"/>
      <c r="L56" s="24">
        <f t="shared" si="5"/>
        <v>0</v>
      </c>
      <c r="M56" s="12"/>
      <c r="N56" s="24">
        <f t="shared" si="6"/>
        <v>0</v>
      </c>
      <c r="O56" s="12"/>
      <c r="P56" s="28"/>
      <c r="Q56" s="36"/>
      <c r="R56" s="36"/>
      <c r="S56" s="36"/>
      <c r="T56" s="36"/>
      <c r="U56" s="37"/>
      <c r="V56" s="38"/>
      <c r="W56" s="12"/>
      <c r="X56" s="12"/>
      <c r="Y56" s="38"/>
      <c r="Z56" s="24"/>
      <c r="AA56" s="24"/>
      <c r="AB56" s="38"/>
      <c r="AC56" s="24"/>
      <c r="AD56" s="24"/>
      <c r="AE56" s="38"/>
      <c r="AF56" s="24"/>
      <c r="AG56" s="24"/>
      <c r="AH56" s="38"/>
      <c r="AI56" s="24"/>
      <c r="AJ56" s="24"/>
      <c r="AK56" s="38"/>
      <c r="AL56" s="24"/>
      <c r="AM56" s="24"/>
      <c r="AN56" s="24"/>
      <c r="AO56" s="24"/>
      <c r="AP56" s="24"/>
      <c r="AU56" s="12"/>
    </row>
    <row r="57" s="12" customFormat="1" spans="1:42">
      <c r="A57" s="24"/>
      <c r="B57" s="24"/>
      <c r="C57" s="12"/>
      <c r="D57" s="24"/>
      <c r="E57" s="12"/>
      <c r="F57" s="24"/>
      <c r="G57" s="12"/>
      <c r="H57" s="24"/>
      <c r="I57" s="12"/>
      <c r="J57" s="24"/>
      <c r="K57" s="12"/>
      <c r="L57" s="24"/>
      <c r="M57" s="12"/>
      <c r="N57" s="24"/>
      <c r="O57" s="12"/>
      <c r="P57" s="28"/>
      <c r="Q57" s="36"/>
      <c r="R57" s="36"/>
      <c r="S57" s="36"/>
      <c r="T57" s="36"/>
      <c r="U57" s="37"/>
      <c r="V57" s="38"/>
      <c r="W57" s="12"/>
      <c r="X57" s="12"/>
      <c r="Y57" s="38"/>
      <c r="Z57" s="24"/>
      <c r="AA57" s="24"/>
      <c r="AB57" s="38"/>
      <c r="AC57" s="24"/>
      <c r="AD57" s="24"/>
      <c r="AE57" s="38"/>
      <c r="AF57" s="24"/>
      <c r="AG57" s="24"/>
      <c r="AH57" s="38"/>
      <c r="AI57" s="24"/>
      <c r="AJ57" s="24"/>
      <c r="AK57" s="38"/>
      <c r="AL57" s="24"/>
      <c r="AM57" s="24"/>
      <c r="AN57" s="24"/>
      <c r="AO57" s="24"/>
      <c r="AP57" s="24"/>
    </row>
    <row r="58" s="12" customFormat="1" spans="1:42">
      <c r="A58" s="24"/>
      <c r="B58" s="24"/>
      <c r="C58" s="12"/>
      <c r="D58" s="24"/>
      <c r="E58" s="12"/>
      <c r="F58" s="24"/>
      <c r="G58" s="12"/>
      <c r="H58" s="24"/>
      <c r="I58" s="12"/>
      <c r="J58" s="24"/>
      <c r="K58" s="12"/>
      <c r="L58" s="24"/>
      <c r="M58" s="12"/>
      <c r="N58" s="24"/>
      <c r="O58" s="12"/>
      <c r="P58" s="28"/>
      <c r="Q58" s="36"/>
      <c r="R58" s="36"/>
      <c r="S58" s="36"/>
      <c r="T58" s="36"/>
      <c r="U58" s="37"/>
      <c r="V58" s="38"/>
      <c r="W58" s="12"/>
      <c r="X58" s="12"/>
      <c r="Y58" s="38"/>
      <c r="Z58" s="24"/>
      <c r="AA58" s="24"/>
      <c r="AB58" s="38"/>
      <c r="AC58" s="24"/>
      <c r="AD58" s="24"/>
      <c r="AE58" s="38"/>
      <c r="AF58" s="24"/>
      <c r="AG58" s="24"/>
      <c r="AH58" s="38"/>
      <c r="AI58" s="24"/>
      <c r="AJ58" s="24"/>
      <c r="AK58" s="38"/>
      <c r="AL58" s="24"/>
      <c r="AM58" s="24"/>
      <c r="AN58" s="24"/>
      <c r="AO58" s="24"/>
      <c r="AP58" s="24"/>
    </row>
    <row r="59" s="12" customFormat="1" spans="1:42">
      <c r="A59" s="24"/>
      <c r="B59" s="24"/>
      <c r="C59" s="12"/>
      <c r="D59" s="24"/>
      <c r="E59" s="12"/>
      <c r="F59" s="24"/>
      <c r="G59" s="12"/>
      <c r="H59" s="24"/>
      <c r="I59" s="12"/>
      <c r="J59" s="24"/>
      <c r="K59" s="12"/>
      <c r="L59" s="24"/>
      <c r="M59" s="12"/>
      <c r="N59" s="24"/>
      <c r="O59" s="12"/>
      <c r="P59" s="28"/>
      <c r="Q59" s="36"/>
      <c r="R59" s="36"/>
      <c r="S59" s="36"/>
      <c r="T59" s="36"/>
      <c r="U59" s="37"/>
      <c r="V59" s="38"/>
      <c r="W59" s="12"/>
      <c r="X59" s="12"/>
      <c r="Y59" s="38"/>
      <c r="Z59" s="24"/>
      <c r="AA59" s="24"/>
      <c r="AB59" s="38"/>
      <c r="AC59" s="24"/>
      <c r="AD59" s="24"/>
      <c r="AE59" s="38"/>
      <c r="AF59" s="24"/>
      <c r="AG59" s="24"/>
      <c r="AH59" s="38"/>
      <c r="AI59" s="24"/>
      <c r="AJ59" s="24"/>
      <c r="AK59" s="38"/>
      <c r="AL59" s="24"/>
      <c r="AM59" s="24"/>
      <c r="AN59" s="24"/>
      <c r="AO59" s="24"/>
      <c r="AP59" s="24"/>
    </row>
    <row r="60" s="12" customFormat="1" spans="1:42">
      <c r="A60" s="24"/>
      <c r="B60" s="24"/>
      <c r="C60" s="12"/>
      <c r="D60" s="24"/>
      <c r="E60" s="12"/>
      <c r="F60" s="24"/>
      <c r="G60" s="12"/>
      <c r="H60" s="24"/>
      <c r="I60" s="12"/>
      <c r="J60" s="24"/>
      <c r="K60" s="12"/>
      <c r="L60" s="24"/>
      <c r="M60" s="12"/>
      <c r="N60" s="24"/>
      <c r="O60" s="12"/>
      <c r="P60" s="28"/>
      <c r="Q60" s="36"/>
      <c r="R60" s="36"/>
      <c r="S60" s="36"/>
      <c r="T60" s="36"/>
      <c r="U60" s="37"/>
      <c r="V60" s="38"/>
      <c r="W60" s="12"/>
      <c r="X60" s="12"/>
      <c r="Y60" s="38"/>
      <c r="Z60" s="24"/>
      <c r="AA60" s="24"/>
      <c r="AB60" s="38"/>
      <c r="AC60" s="24"/>
      <c r="AD60" s="24"/>
      <c r="AE60" s="38"/>
      <c r="AF60" s="24"/>
      <c r="AG60" s="24"/>
      <c r="AH60" s="38"/>
      <c r="AI60" s="24"/>
      <c r="AJ60" s="24"/>
      <c r="AK60" s="38"/>
      <c r="AL60" s="24"/>
      <c r="AM60" s="24"/>
      <c r="AN60" s="24"/>
      <c r="AO60" s="24"/>
      <c r="AP60" s="24"/>
    </row>
    <row r="61" s="12" customFormat="1" spans="1:42">
      <c r="A61" s="24"/>
      <c r="B61" s="24"/>
      <c r="C61" s="12"/>
      <c r="D61" s="24"/>
      <c r="E61" s="12"/>
      <c r="F61" s="24"/>
      <c r="G61" s="12"/>
      <c r="H61" s="24"/>
      <c r="I61" s="12"/>
      <c r="J61" s="24"/>
      <c r="K61" s="12"/>
      <c r="L61" s="24"/>
      <c r="M61" s="12"/>
      <c r="N61" s="24"/>
      <c r="O61" s="12"/>
      <c r="P61" s="28"/>
      <c r="Q61" s="36"/>
      <c r="R61" s="36"/>
      <c r="S61" s="36"/>
      <c r="T61" s="36"/>
      <c r="U61" s="37"/>
      <c r="V61" s="38"/>
      <c r="W61" s="12"/>
      <c r="X61" s="12"/>
      <c r="Y61" s="38"/>
      <c r="Z61" s="24"/>
      <c r="AA61" s="24"/>
      <c r="AB61" s="38"/>
      <c r="AC61" s="24"/>
      <c r="AD61" s="24"/>
      <c r="AE61" s="38"/>
      <c r="AF61" s="24"/>
      <c r="AG61" s="24"/>
      <c r="AH61" s="38"/>
      <c r="AI61" s="24"/>
      <c r="AJ61" s="24"/>
      <c r="AK61" s="38"/>
      <c r="AL61" s="24"/>
      <c r="AM61" s="24"/>
      <c r="AN61" s="24"/>
      <c r="AO61" s="24"/>
      <c r="AP61" s="24"/>
    </row>
    <row r="62" s="12" customFormat="1" spans="1:42">
      <c r="A62" s="24"/>
      <c r="B62" s="24"/>
      <c r="C62" s="12"/>
      <c r="D62" s="24"/>
      <c r="E62" s="12"/>
      <c r="F62" s="24"/>
      <c r="G62" s="12"/>
      <c r="H62" s="24"/>
      <c r="I62" s="12"/>
      <c r="J62" s="24"/>
      <c r="K62" s="12"/>
      <c r="L62" s="24"/>
      <c r="M62" s="12"/>
      <c r="N62" s="24"/>
      <c r="O62" s="12"/>
      <c r="P62" s="28"/>
      <c r="Q62" s="36"/>
      <c r="R62" s="36"/>
      <c r="S62" s="36"/>
      <c r="T62" s="36"/>
      <c r="U62" s="37"/>
      <c r="V62" s="38"/>
      <c r="W62" s="12"/>
      <c r="X62" s="12"/>
      <c r="Y62" s="38"/>
      <c r="Z62" s="24"/>
      <c r="AA62" s="24"/>
      <c r="AB62" s="38"/>
      <c r="AC62" s="24"/>
      <c r="AD62" s="24"/>
      <c r="AE62" s="38"/>
      <c r="AF62" s="24"/>
      <c r="AG62" s="24"/>
      <c r="AH62" s="38"/>
      <c r="AI62" s="24"/>
      <c r="AJ62" s="24"/>
      <c r="AK62" s="38"/>
      <c r="AL62" s="24"/>
      <c r="AM62" s="24"/>
      <c r="AN62" s="24"/>
      <c r="AO62" s="24"/>
      <c r="AP62" s="24"/>
    </row>
    <row r="63" s="12" customFormat="1" spans="1:42">
      <c r="A63" s="24"/>
      <c r="B63" s="24"/>
      <c r="C63" s="12"/>
      <c r="D63" s="24"/>
      <c r="E63" s="12"/>
      <c r="F63" s="24"/>
      <c r="G63" s="12"/>
      <c r="H63" s="24"/>
      <c r="I63" s="12"/>
      <c r="J63" s="24"/>
      <c r="K63" s="12"/>
      <c r="L63" s="24"/>
      <c r="M63" s="12"/>
      <c r="N63" s="24"/>
      <c r="O63" s="12"/>
      <c r="P63" s="28"/>
      <c r="Q63" s="36"/>
      <c r="R63" s="36"/>
      <c r="S63" s="36"/>
      <c r="T63" s="36"/>
      <c r="U63" s="37"/>
      <c r="V63" s="38"/>
      <c r="W63" s="12"/>
      <c r="X63" s="12"/>
      <c r="Y63" s="38"/>
      <c r="Z63" s="24"/>
      <c r="AA63" s="24"/>
      <c r="AB63" s="38"/>
      <c r="AC63" s="24"/>
      <c r="AD63" s="24"/>
      <c r="AE63" s="38"/>
      <c r="AF63" s="24"/>
      <c r="AG63" s="24"/>
      <c r="AH63" s="38"/>
      <c r="AI63" s="24"/>
      <c r="AJ63" s="24"/>
      <c r="AK63" s="38"/>
      <c r="AL63" s="24"/>
      <c r="AM63" s="24"/>
      <c r="AN63" s="24"/>
      <c r="AO63" s="24"/>
      <c r="AP63" s="24"/>
    </row>
    <row r="64" s="12" customFormat="1" spans="1:42">
      <c r="A64" s="24"/>
      <c r="B64" s="24"/>
      <c r="C64" s="12"/>
      <c r="D64" s="24"/>
      <c r="E64" s="12"/>
      <c r="F64" s="24"/>
      <c r="G64" s="12"/>
      <c r="H64" s="24"/>
      <c r="I64" s="12"/>
      <c r="J64" s="24"/>
      <c r="K64" s="12"/>
      <c r="L64" s="24"/>
      <c r="M64" s="12"/>
      <c r="N64" s="24"/>
      <c r="O64" s="12"/>
      <c r="P64" s="28"/>
      <c r="Q64" s="36"/>
      <c r="R64" s="36"/>
      <c r="S64" s="36"/>
      <c r="T64" s="36"/>
      <c r="U64" s="37"/>
      <c r="V64" s="38"/>
      <c r="W64" s="12"/>
      <c r="X64" s="12"/>
      <c r="Y64" s="38"/>
      <c r="Z64" s="24"/>
      <c r="AA64" s="24"/>
      <c r="AB64" s="38"/>
      <c r="AC64" s="24"/>
      <c r="AD64" s="24"/>
      <c r="AE64" s="38"/>
      <c r="AF64" s="24"/>
      <c r="AG64" s="24"/>
      <c r="AH64" s="38"/>
      <c r="AI64" s="24"/>
      <c r="AJ64" s="24"/>
      <c r="AK64" s="38"/>
      <c r="AL64" s="24"/>
      <c r="AM64" s="24"/>
      <c r="AN64" s="24"/>
      <c r="AO64" s="24"/>
      <c r="AP64" s="24"/>
    </row>
  </sheetData>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1"/>
  <sheetViews>
    <sheetView zoomScale="66" zoomScaleNormal="66" topLeftCell="A300" workbookViewId="0">
      <selection activeCell="H154" sqref="H154"/>
    </sheetView>
  </sheetViews>
  <sheetFormatPr defaultColWidth="10" defaultRowHeight="14"/>
  <cols>
    <col min="1" max="1" width="18.4272727272727" customWidth="1"/>
    <col min="2" max="2" width="10.6636363636364" customWidth="1"/>
    <col min="3" max="3" width="16.1818181818182" customWidth="1"/>
    <col min="4" max="4" width="11.1818181818182" customWidth="1"/>
    <col min="5" max="5" width="9.81818181818182" customWidth="1"/>
    <col min="6" max="6" width="15.6545454545455" customWidth="1"/>
    <col min="7" max="7" width="8.72727272727273"/>
    <col min="8" max="8" width="10.0909090909091" customWidth="1"/>
    <col min="9" max="9" width="17.1818181818182" customWidth="1"/>
    <col min="10" max="10" width="11.1818181818182" customWidth="1"/>
    <col min="11" max="11" width="43" hidden="1" customWidth="1"/>
  </cols>
  <sheetData>
    <row r="1" customFormat="1" spans="1:11">
      <c r="A1" s="4" t="s">
        <v>5813</v>
      </c>
      <c r="B1" s="4" t="s">
        <v>642</v>
      </c>
      <c r="C1" s="4" t="s">
        <v>5814</v>
      </c>
      <c r="D1" s="5" t="s">
        <v>5815</v>
      </c>
      <c r="E1" s="4" t="s">
        <v>210</v>
      </c>
      <c r="F1" s="5" t="s">
        <v>5816</v>
      </c>
      <c r="G1" s="5" t="s">
        <v>5816</v>
      </c>
      <c r="H1" s="5" t="s">
        <v>5817</v>
      </c>
      <c r="I1" s="5" t="s">
        <v>3758</v>
      </c>
      <c r="J1" s="5" t="s">
        <v>5818</v>
      </c>
      <c r="K1" s="2"/>
    </row>
    <row r="2" customFormat="1" spans="1:11">
      <c r="A2" s="4" t="s">
        <v>5819</v>
      </c>
      <c r="B2" s="4" t="s">
        <v>642</v>
      </c>
      <c r="C2" s="4" t="s">
        <v>1943</v>
      </c>
      <c r="D2" s="5" t="s">
        <v>5815</v>
      </c>
      <c r="E2" s="4" t="s">
        <v>2852</v>
      </c>
      <c r="F2" s="5">
        <v>1</v>
      </c>
      <c r="G2" s="5" t="s">
        <v>5816</v>
      </c>
      <c r="H2" s="5">
        <v>99</v>
      </c>
      <c r="I2" s="5" t="s">
        <v>5820</v>
      </c>
      <c r="J2" s="5" t="s">
        <v>5821</v>
      </c>
      <c r="K2" s="2"/>
    </row>
    <row r="3" customFormat="1" spans="1:11">
      <c r="A3" s="4" t="s">
        <v>5822</v>
      </c>
      <c r="B3" s="4" t="s">
        <v>642</v>
      </c>
      <c r="C3" s="4" t="s">
        <v>1951</v>
      </c>
      <c r="D3" s="5" t="s">
        <v>5823</v>
      </c>
      <c r="E3" s="4" t="s">
        <v>2852</v>
      </c>
      <c r="F3" s="5">
        <v>1</v>
      </c>
      <c r="G3" s="5" t="s">
        <v>5816</v>
      </c>
      <c r="H3" s="5">
        <v>98</v>
      </c>
      <c r="I3" s="5" t="s">
        <v>3926</v>
      </c>
      <c r="J3" s="5" t="s">
        <v>5824</v>
      </c>
      <c r="K3" s="2"/>
    </row>
    <row r="4" customFormat="1" spans="1:11">
      <c r="A4" s="4" t="s">
        <v>5825</v>
      </c>
      <c r="B4" s="4" t="s">
        <v>642</v>
      </c>
      <c r="C4" s="4" t="s">
        <v>1963</v>
      </c>
      <c r="D4" s="5" t="s">
        <v>5826</v>
      </c>
      <c r="E4" s="4" t="s">
        <v>2852</v>
      </c>
      <c r="F4" s="5">
        <v>1</v>
      </c>
      <c r="G4" s="5" t="s">
        <v>5816</v>
      </c>
      <c r="H4" s="5">
        <v>99</v>
      </c>
      <c r="I4" s="5" t="s">
        <v>3926</v>
      </c>
      <c r="J4" s="5" t="s">
        <v>5827</v>
      </c>
      <c r="K4" s="2"/>
    </row>
    <row r="5" customFormat="1" spans="1:11">
      <c r="A5" s="4" t="s">
        <v>1957</v>
      </c>
      <c r="B5" s="4" t="s">
        <v>642</v>
      </c>
      <c r="C5" s="4" t="s">
        <v>5828</v>
      </c>
      <c r="D5" s="5" t="s">
        <v>5826</v>
      </c>
      <c r="E5" s="4" t="s">
        <v>2852</v>
      </c>
      <c r="F5" s="5">
        <v>1</v>
      </c>
      <c r="G5" s="5" t="s">
        <v>5816</v>
      </c>
      <c r="H5" s="5">
        <v>97</v>
      </c>
      <c r="I5" s="5" t="s">
        <v>3926</v>
      </c>
      <c r="J5" s="5" t="s">
        <v>5829</v>
      </c>
      <c r="K5" s="2"/>
    </row>
    <row r="6" customFormat="1" spans="1:11">
      <c r="A6" s="4" t="s">
        <v>1970</v>
      </c>
      <c r="B6" s="4" t="s">
        <v>642</v>
      </c>
      <c r="C6" s="4" t="s">
        <v>1959</v>
      </c>
      <c r="D6" s="5" t="s">
        <v>5815</v>
      </c>
      <c r="E6" s="4" t="s">
        <v>2852</v>
      </c>
      <c r="F6" s="5">
        <v>1</v>
      </c>
      <c r="G6" s="5" t="s">
        <v>5816</v>
      </c>
      <c r="H6" s="5">
        <v>99</v>
      </c>
      <c r="I6" s="5" t="s">
        <v>12</v>
      </c>
      <c r="J6" s="5" t="s">
        <v>5830</v>
      </c>
      <c r="K6" s="2"/>
    </row>
    <row r="7" customFormat="1" spans="1:11">
      <c r="A7" s="4" t="s">
        <v>5831</v>
      </c>
      <c r="B7" s="4" t="s">
        <v>642</v>
      </c>
      <c r="C7" s="4" t="s">
        <v>1951</v>
      </c>
      <c r="D7" s="5" t="s">
        <v>5826</v>
      </c>
      <c r="E7" s="4" t="s">
        <v>2852</v>
      </c>
      <c r="F7" s="5">
        <v>1</v>
      </c>
      <c r="G7" s="5" t="s">
        <v>5816</v>
      </c>
      <c r="H7" s="5">
        <v>99</v>
      </c>
      <c r="I7" s="5" t="s">
        <v>12</v>
      </c>
      <c r="J7" s="5" t="s">
        <v>5832</v>
      </c>
      <c r="K7" s="2"/>
    </row>
    <row r="8" customFormat="1" spans="1:11">
      <c r="A8" s="4" t="s">
        <v>5833</v>
      </c>
      <c r="B8" s="4" t="s">
        <v>642</v>
      </c>
      <c r="C8" s="4" t="s">
        <v>1953</v>
      </c>
      <c r="D8" s="5" t="s">
        <v>5823</v>
      </c>
      <c r="E8" s="4" t="s">
        <v>2852</v>
      </c>
      <c r="F8" s="5">
        <v>1</v>
      </c>
      <c r="G8" s="5" t="s">
        <v>5816</v>
      </c>
      <c r="H8" s="5">
        <v>100</v>
      </c>
      <c r="I8" s="5" t="s">
        <v>12</v>
      </c>
      <c r="J8" s="5" t="s">
        <v>5834</v>
      </c>
      <c r="K8" s="2"/>
    </row>
    <row r="9" customFormat="1" spans="1:11">
      <c r="A9" s="4" t="s">
        <v>5835</v>
      </c>
      <c r="B9" s="4" t="s">
        <v>642</v>
      </c>
      <c r="C9" s="4" t="s">
        <v>1963</v>
      </c>
      <c r="D9" s="5" t="s">
        <v>5836</v>
      </c>
      <c r="E9" s="4" t="s">
        <v>2852</v>
      </c>
      <c r="F9" s="5" t="s">
        <v>5816</v>
      </c>
      <c r="G9" s="5" t="s">
        <v>5816</v>
      </c>
      <c r="H9" s="5">
        <v>100</v>
      </c>
      <c r="I9" s="5" t="s">
        <v>12</v>
      </c>
      <c r="J9" s="5" t="s">
        <v>5837</v>
      </c>
      <c r="K9" s="2" t="s">
        <v>5838</v>
      </c>
    </row>
    <row r="10" customFormat="1" spans="1:11">
      <c r="A10" s="4"/>
      <c r="B10" s="4"/>
      <c r="C10" s="4"/>
      <c r="D10" s="5"/>
      <c r="E10" s="4"/>
      <c r="F10" s="5"/>
      <c r="G10" s="5"/>
      <c r="H10" s="5"/>
      <c r="I10" s="5"/>
      <c r="J10" s="5"/>
      <c r="K10" s="2"/>
    </row>
    <row r="11" customFormat="1" spans="1:11">
      <c r="A11" s="4" t="s">
        <v>5839</v>
      </c>
      <c r="B11" s="4" t="s">
        <v>642</v>
      </c>
      <c r="C11" s="4" t="s">
        <v>1943</v>
      </c>
      <c r="D11" s="5" t="s">
        <v>5840</v>
      </c>
      <c r="E11" s="4" t="s">
        <v>2852</v>
      </c>
      <c r="F11" s="5" t="s">
        <v>5841</v>
      </c>
      <c r="G11" s="5" t="s">
        <v>5816</v>
      </c>
      <c r="H11" s="5">
        <v>95</v>
      </c>
      <c r="I11" s="5" t="s">
        <v>5842</v>
      </c>
      <c r="J11" s="5" t="s">
        <v>5843</v>
      </c>
      <c r="K11" s="2" t="s">
        <v>5844</v>
      </c>
    </row>
    <row r="12" customFormat="1" spans="1:11">
      <c r="A12" s="4" t="s">
        <v>5845</v>
      </c>
      <c r="B12" s="4" t="s">
        <v>642</v>
      </c>
      <c r="C12" s="4" t="s">
        <v>5846</v>
      </c>
      <c r="D12" s="5" t="s">
        <v>5826</v>
      </c>
      <c r="E12" s="4" t="s">
        <v>2852</v>
      </c>
      <c r="F12" s="5" t="s">
        <v>5847</v>
      </c>
      <c r="G12" s="5" t="s">
        <v>5816</v>
      </c>
      <c r="H12" s="5">
        <v>98</v>
      </c>
      <c r="I12" s="5"/>
      <c r="J12" s="5" t="s">
        <v>5848</v>
      </c>
      <c r="K12" s="2"/>
    </row>
    <row r="13" customFormat="1" spans="1:11">
      <c r="A13" s="4" t="s">
        <v>5849</v>
      </c>
      <c r="B13" s="4" t="s">
        <v>642</v>
      </c>
      <c r="C13" s="4" t="s">
        <v>1953</v>
      </c>
      <c r="D13" s="5" t="s">
        <v>5823</v>
      </c>
      <c r="E13" s="4" t="s">
        <v>2852</v>
      </c>
      <c r="F13" s="5" t="s">
        <v>5850</v>
      </c>
      <c r="G13" s="5" t="s">
        <v>5816</v>
      </c>
      <c r="H13" s="5" t="s">
        <v>5851</v>
      </c>
      <c r="I13" s="5" t="s">
        <v>3758</v>
      </c>
      <c r="J13" s="5" t="s">
        <v>5852</v>
      </c>
      <c r="K13" s="2"/>
    </row>
    <row r="14" customFormat="1" spans="1:11">
      <c r="A14" s="4" t="s">
        <v>5853</v>
      </c>
      <c r="B14" s="4" t="s">
        <v>642</v>
      </c>
      <c r="C14" s="4" t="s">
        <v>5854</v>
      </c>
      <c r="D14" s="5" t="s">
        <v>5823</v>
      </c>
      <c r="E14" s="4" t="s">
        <v>2852</v>
      </c>
      <c r="F14" s="5" t="s">
        <v>5850</v>
      </c>
      <c r="G14" s="5" t="s">
        <v>5816</v>
      </c>
      <c r="H14" s="5">
        <v>100</v>
      </c>
      <c r="I14" s="5" t="s">
        <v>12</v>
      </c>
      <c r="J14" s="5">
        <v>1000</v>
      </c>
      <c r="K14" s="2" t="s">
        <v>5855</v>
      </c>
    </row>
    <row r="15" customFormat="1" spans="1:11">
      <c r="A15" s="4" t="s">
        <v>5856</v>
      </c>
      <c r="B15" s="4" t="s">
        <v>642</v>
      </c>
      <c r="C15" s="4" t="s">
        <v>5857</v>
      </c>
      <c r="D15" s="5" t="s">
        <v>5815</v>
      </c>
      <c r="E15" s="4" t="s">
        <v>2852</v>
      </c>
      <c r="F15" s="5" t="s">
        <v>5841</v>
      </c>
      <c r="G15" s="5" t="s">
        <v>5858</v>
      </c>
      <c r="H15" s="5">
        <v>98</v>
      </c>
      <c r="I15" s="5" t="s">
        <v>12</v>
      </c>
      <c r="J15" s="5" t="s">
        <v>3770</v>
      </c>
      <c r="K15" s="2"/>
    </row>
    <row r="16" customFormat="1" spans="1:11">
      <c r="A16" s="4" t="s">
        <v>5859</v>
      </c>
      <c r="B16" s="4" t="s">
        <v>642</v>
      </c>
      <c r="C16" s="4" t="s">
        <v>495</v>
      </c>
      <c r="D16" s="5" t="s">
        <v>5826</v>
      </c>
      <c r="E16" s="4" t="s">
        <v>2852</v>
      </c>
      <c r="F16" s="5" t="s">
        <v>5847</v>
      </c>
      <c r="G16" s="5" t="s">
        <v>5816</v>
      </c>
      <c r="H16" s="5">
        <v>95</v>
      </c>
      <c r="I16" s="5" t="s">
        <v>5842</v>
      </c>
      <c r="J16" s="5" t="s">
        <v>5860</v>
      </c>
      <c r="K16" s="2"/>
    </row>
    <row r="17" customFormat="1" spans="1:11">
      <c r="A17" s="4" t="s">
        <v>5861</v>
      </c>
      <c r="B17" s="4" t="s">
        <v>642</v>
      </c>
      <c r="C17" s="4" t="s">
        <v>5862</v>
      </c>
      <c r="D17" s="5" t="s">
        <v>5826</v>
      </c>
      <c r="E17" s="4" t="s">
        <v>2852</v>
      </c>
      <c r="F17" s="5" t="s">
        <v>5847</v>
      </c>
      <c r="G17" s="5" t="s">
        <v>5816</v>
      </c>
      <c r="H17" s="5">
        <v>97</v>
      </c>
      <c r="I17" s="5" t="s">
        <v>5863</v>
      </c>
      <c r="J17" s="5" t="s">
        <v>5864</v>
      </c>
      <c r="K17" s="2"/>
    </row>
    <row r="18" customFormat="1" spans="1:11">
      <c r="A18" s="4" t="s">
        <v>5865</v>
      </c>
      <c r="B18" s="4" t="s">
        <v>642</v>
      </c>
      <c r="C18" s="4" t="s">
        <v>1951</v>
      </c>
      <c r="D18" s="5" t="s">
        <v>5815</v>
      </c>
      <c r="E18" s="4" t="s">
        <v>2852</v>
      </c>
      <c r="F18" s="5" t="s">
        <v>5866</v>
      </c>
      <c r="G18" s="5" t="s">
        <v>5867</v>
      </c>
      <c r="H18" s="5">
        <v>96</v>
      </c>
      <c r="I18" s="5" t="s">
        <v>12</v>
      </c>
      <c r="J18" s="5">
        <v>1500</v>
      </c>
      <c r="K18" s="2"/>
    </row>
    <row r="19" customFormat="1" spans="1:11">
      <c r="A19" s="4" t="s">
        <v>5868</v>
      </c>
      <c r="B19" s="4" t="s">
        <v>642</v>
      </c>
      <c r="C19" s="4" t="s">
        <v>5869</v>
      </c>
      <c r="D19" s="5" t="s">
        <v>5815</v>
      </c>
      <c r="E19" s="4" t="s">
        <v>2852</v>
      </c>
      <c r="F19" s="5" t="s">
        <v>5816</v>
      </c>
      <c r="G19" s="5" t="s">
        <v>5858</v>
      </c>
      <c r="H19" s="5">
        <v>99</v>
      </c>
      <c r="I19" s="5" t="s">
        <v>12</v>
      </c>
      <c r="J19" s="5">
        <v>1000</v>
      </c>
      <c r="K19" s="2"/>
    </row>
    <row r="20" customFormat="1" spans="1:11">
      <c r="A20" s="4" t="s">
        <v>5870</v>
      </c>
      <c r="B20" s="4" t="s">
        <v>642</v>
      </c>
      <c r="C20" s="4" t="s">
        <v>5854</v>
      </c>
      <c r="D20" s="5" t="s">
        <v>5826</v>
      </c>
      <c r="E20" s="4" t="s">
        <v>2852</v>
      </c>
      <c r="F20" s="5" t="s">
        <v>5850</v>
      </c>
      <c r="G20" s="5" t="s">
        <v>5816</v>
      </c>
      <c r="H20" s="5">
        <v>99</v>
      </c>
      <c r="I20" s="5" t="s">
        <v>12</v>
      </c>
      <c r="J20" s="5">
        <v>3000</v>
      </c>
      <c r="K20" s="2"/>
    </row>
    <row r="21" customFormat="1" spans="1:11">
      <c r="A21" s="4" t="s">
        <v>5871</v>
      </c>
      <c r="B21" s="4" t="s">
        <v>642</v>
      </c>
      <c r="C21" s="4" t="s">
        <v>5872</v>
      </c>
      <c r="D21" s="5" t="s">
        <v>5823</v>
      </c>
      <c r="E21" s="4" t="s">
        <v>2852</v>
      </c>
      <c r="F21" s="5" t="s">
        <v>5850</v>
      </c>
      <c r="G21" s="5" t="s">
        <v>5816</v>
      </c>
      <c r="H21" s="5">
        <v>99</v>
      </c>
      <c r="I21" s="5" t="s">
        <v>12</v>
      </c>
      <c r="J21" s="5">
        <v>2000</v>
      </c>
      <c r="K21" s="2"/>
    </row>
    <row r="22" customFormat="1" spans="1:11">
      <c r="A22" s="4" t="s">
        <v>5873</v>
      </c>
      <c r="B22" s="4" t="s">
        <v>642</v>
      </c>
      <c r="C22" s="4" t="s">
        <v>1953</v>
      </c>
      <c r="D22" s="5" t="s">
        <v>5826</v>
      </c>
      <c r="E22" s="4" t="s">
        <v>2852</v>
      </c>
      <c r="F22" s="5" t="s">
        <v>5850</v>
      </c>
      <c r="G22" s="5" t="s">
        <v>5816</v>
      </c>
      <c r="H22" s="5">
        <v>99</v>
      </c>
      <c r="I22" s="5" t="s">
        <v>12</v>
      </c>
      <c r="J22" s="5">
        <v>2500</v>
      </c>
      <c r="K22" s="2"/>
    </row>
    <row r="23" customFormat="1" spans="1:11">
      <c r="A23" s="4" t="s">
        <v>5874</v>
      </c>
      <c r="B23" s="4" t="s">
        <v>642</v>
      </c>
      <c r="C23" s="4" t="s">
        <v>492</v>
      </c>
      <c r="D23" s="5" t="s">
        <v>5823</v>
      </c>
      <c r="E23" s="4" t="s">
        <v>2852</v>
      </c>
      <c r="F23" s="5" t="s">
        <v>5850</v>
      </c>
      <c r="G23" s="5" t="s">
        <v>5816</v>
      </c>
      <c r="H23" s="5">
        <v>99</v>
      </c>
      <c r="I23" s="5" t="s">
        <v>12</v>
      </c>
      <c r="J23" s="5">
        <v>8000</v>
      </c>
      <c r="K23" s="2"/>
    </row>
    <row r="24" spans="1:10">
      <c r="A24" s="4" t="s">
        <v>5875</v>
      </c>
      <c r="B24" s="4" t="s">
        <v>642</v>
      </c>
      <c r="C24" s="4" t="s">
        <v>1980</v>
      </c>
      <c r="D24" s="5" t="s">
        <v>5823</v>
      </c>
      <c r="E24" s="4" t="s">
        <v>2852</v>
      </c>
      <c r="F24" s="5" t="s">
        <v>5850</v>
      </c>
      <c r="G24" s="5" t="s">
        <v>5816</v>
      </c>
      <c r="H24" s="4">
        <v>99</v>
      </c>
      <c r="I24" s="4" t="s">
        <v>5842</v>
      </c>
      <c r="J24" s="4"/>
    </row>
    <row r="25" spans="1:10">
      <c r="A25" s="4"/>
      <c r="B25" s="4"/>
      <c r="C25" s="4"/>
      <c r="D25" s="5"/>
      <c r="E25" s="4"/>
      <c r="F25" s="5"/>
      <c r="G25" s="5"/>
      <c r="H25" s="4"/>
      <c r="I25" s="4"/>
      <c r="J25" s="4"/>
    </row>
    <row r="26" customFormat="1" spans="1:11">
      <c r="A26" s="4" t="s">
        <v>5876</v>
      </c>
      <c r="B26" s="4" t="s">
        <v>120</v>
      </c>
      <c r="C26" s="4" t="s">
        <v>5877</v>
      </c>
      <c r="D26" s="5" t="s">
        <v>1485</v>
      </c>
      <c r="E26" s="4" t="s">
        <v>210</v>
      </c>
      <c r="F26" s="5" t="s">
        <v>5816</v>
      </c>
      <c r="G26" s="5" t="s">
        <v>76</v>
      </c>
      <c r="H26" s="5" t="s">
        <v>76</v>
      </c>
      <c r="I26" s="5" t="s">
        <v>3758</v>
      </c>
      <c r="J26" s="5" t="s">
        <v>3899</v>
      </c>
      <c r="K26" s="2"/>
    </row>
    <row r="27" customFormat="1" spans="1:11">
      <c r="A27" s="4" t="s">
        <v>5878</v>
      </c>
      <c r="B27" s="4" t="s">
        <v>120</v>
      </c>
      <c r="C27" s="4" t="s">
        <v>5879</v>
      </c>
      <c r="D27" s="5" t="s">
        <v>1485</v>
      </c>
      <c r="E27" s="4" t="s">
        <v>210</v>
      </c>
      <c r="F27" s="5" t="s">
        <v>5816</v>
      </c>
      <c r="G27" s="5" t="s">
        <v>76</v>
      </c>
      <c r="H27" s="5" t="s">
        <v>76</v>
      </c>
      <c r="I27" s="5" t="s">
        <v>3758</v>
      </c>
      <c r="J27" s="5" t="s">
        <v>5880</v>
      </c>
      <c r="K27" s="2"/>
    </row>
    <row r="28" customFormat="1" spans="1:11">
      <c r="A28" s="4" t="s">
        <v>5881</v>
      </c>
      <c r="B28" s="4" t="s">
        <v>120</v>
      </c>
      <c r="C28" s="4" t="s">
        <v>1959</v>
      </c>
      <c r="D28" s="5" t="s">
        <v>1485</v>
      </c>
      <c r="E28" s="4" t="s">
        <v>210</v>
      </c>
      <c r="F28" s="5" t="s">
        <v>5816</v>
      </c>
      <c r="G28" s="5" t="s">
        <v>76</v>
      </c>
      <c r="H28" s="5" t="s">
        <v>76</v>
      </c>
      <c r="I28" s="5" t="s">
        <v>3758</v>
      </c>
      <c r="J28" s="5" t="s">
        <v>5882</v>
      </c>
      <c r="K28" s="2"/>
    </row>
    <row r="29" customFormat="1" spans="1:11">
      <c r="A29" s="4" t="s">
        <v>5883</v>
      </c>
      <c r="B29" s="4" t="s">
        <v>120</v>
      </c>
      <c r="C29" s="4" t="s">
        <v>1959</v>
      </c>
      <c r="D29" s="5" t="s">
        <v>1485</v>
      </c>
      <c r="E29" s="4" t="s">
        <v>210</v>
      </c>
      <c r="F29" s="5" t="s">
        <v>5816</v>
      </c>
      <c r="G29" s="5" t="s">
        <v>76</v>
      </c>
      <c r="H29" s="5" t="s">
        <v>76</v>
      </c>
      <c r="I29" s="5" t="s">
        <v>3758</v>
      </c>
      <c r="J29" s="5" t="s">
        <v>5884</v>
      </c>
      <c r="K29" s="2"/>
    </row>
    <row r="30" customFormat="1" spans="1:11">
      <c r="A30" s="4" t="s">
        <v>5885</v>
      </c>
      <c r="B30" s="4" t="s">
        <v>120</v>
      </c>
      <c r="C30" s="4" t="s">
        <v>5646</v>
      </c>
      <c r="D30" s="5" t="s">
        <v>1485</v>
      </c>
      <c r="E30" s="4" t="s">
        <v>210</v>
      </c>
      <c r="F30" s="5" t="s">
        <v>5816</v>
      </c>
      <c r="G30" s="5" t="s">
        <v>76</v>
      </c>
      <c r="H30" s="5" t="s">
        <v>76</v>
      </c>
      <c r="I30" s="5" t="s">
        <v>3758</v>
      </c>
      <c r="J30" s="5" t="s">
        <v>5884</v>
      </c>
      <c r="K30" s="2"/>
    </row>
    <row r="31" customFormat="1" spans="1:11">
      <c r="A31" s="4" t="s">
        <v>5886</v>
      </c>
      <c r="B31" s="4" t="s">
        <v>120</v>
      </c>
      <c r="C31" s="4" t="s">
        <v>5887</v>
      </c>
      <c r="D31" s="5" t="s">
        <v>1485</v>
      </c>
      <c r="E31" s="4" t="s">
        <v>210</v>
      </c>
      <c r="F31" s="5" t="s">
        <v>5816</v>
      </c>
      <c r="G31" s="5" t="s">
        <v>76</v>
      </c>
      <c r="H31" s="5" t="s">
        <v>5888</v>
      </c>
      <c r="I31" s="5" t="s">
        <v>12</v>
      </c>
      <c r="J31" s="5" t="s">
        <v>76</v>
      </c>
      <c r="K31" s="2"/>
    </row>
    <row r="32" customFormat="1" spans="1:11">
      <c r="A32" s="4" t="s">
        <v>5889</v>
      </c>
      <c r="B32" s="4" t="s">
        <v>120</v>
      </c>
      <c r="C32" s="4" t="s">
        <v>5890</v>
      </c>
      <c r="D32" s="5" t="s">
        <v>5891</v>
      </c>
      <c r="E32" s="4" t="s">
        <v>210</v>
      </c>
      <c r="F32" s="5" t="s">
        <v>5816</v>
      </c>
      <c r="G32" s="5">
        <v>25</v>
      </c>
      <c r="H32" s="5" t="s">
        <v>76</v>
      </c>
      <c r="I32" s="5" t="s">
        <v>3758</v>
      </c>
      <c r="J32" s="5" t="s">
        <v>5892</v>
      </c>
      <c r="K32" s="2"/>
    </row>
    <row r="33" s="2" customFormat="1" spans="1:10">
      <c r="A33" s="4"/>
      <c r="B33" s="4"/>
      <c r="C33" s="4"/>
      <c r="D33" s="5"/>
      <c r="E33" s="4"/>
      <c r="F33" s="5"/>
      <c r="G33" s="5"/>
      <c r="H33" s="5"/>
      <c r="I33" s="5"/>
      <c r="J33" s="5"/>
    </row>
    <row r="34" customFormat="1" spans="1:11">
      <c r="A34" s="4" t="s">
        <v>5893</v>
      </c>
      <c r="B34" s="4" t="s">
        <v>120</v>
      </c>
      <c r="C34" s="4" t="s">
        <v>5894</v>
      </c>
      <c r="D34" s="5" t="s">
        <v>1485</v>
      </c>
      <c r="E34" s="4" t="s">
        <v>2852</v>
      </c>
      <c r="F34" s="5" t="s">
        <v>5816</v>
      </c>
      <c r="G34" s="5" t="s">
        <v>76</v>
      </c>
      <c r="H34" s="5" t="s">
        <v>5895</v>
      </c>
      <c r="I34" s="5" t="s">
        <v>5896</v>
      </c>
      <c r="J34" s="5"/>
      <c r="K34" s="2"/>
    </row>
    <row r="35" customFormat="1" spans="1:11">
      <c r="A35" s="4" t="s">
        <v>5897</v>
      </c>
      <c r="B35" s="4" t="s">
        <v>120</v>
      </c>
      <c r="C35" s="4" t="s">
        <v>1943</v>
      </c>
      <c r="D35" s="5" t="s">
        <v>1485</v>
      </c>
      <c r="E35" s="4" t="s">
        <v>210</v>
      </c>
      <c r="F35" s="5" t="s">
        <v>5816</v>
      </c>
      <c r="G35" s="5" t="s">
        <v>76</v>
      </c>
      <c r="H35" s="5" t="s">
        <v>3689</v>
      </c>
      <c r="I35" s="5" t="s">
        <v>5896</v>
      </c>
      <c r="J35" s="5"/>
      <c r="K35" s="2"/>
    </row>
    <row r="36" customFormat="1" spans="1:11">
      <c r="A36" s="4" t="s">
        <v>5898</v>
      </c>
      <c r="B36" s="4" t="s">
        <v>120</v>
      </c>
      <c r="C36" s="4" t="s">
        <v>1951</v>
      </c>
      <c r="D36" s="5" t="s">
        <v>1485</v>
      </c>
      <c r="E36" s="4" t="s">
        <v>210</v>
      </c>
      <c r="F36" s="5" t="s">
        <v>5816</v>
      </c>
      <c r="G36" s="5" t="s">
        <v>76</v>
      </c>
      <c r="H36" s="5" t="s">
        <v>5895</v>
      </c>
      <c r="I36" s="5" t="s">
        <v>5896</v>
      </c>
      <c r="J36" s="5"/>
      <c r="K36" s="2"/>
    </row>
    <row r="37" customFormat="1" spans="1:11">
      <c r="A37" s="4" t="s">
        <v>5899</v>
      </c>
      <c r="B37" s="4" t="s">
        <v>470</v>
      </c>
      <c r="C37" s="4" t="s">
        <v>5676</v>
      </c>
      <c r="D37" s="5" t="s">
        <v>338</v>
      </c>
      <c r="E37" s="4" t="s">
        <v>210</v>
      </c>
      <c r="F37" s="5" t="s">
        <v>5847</v>
      </c>
      <c r="G37" s="5" t="s">
        <v>76</v>
      </c>
      <c r="H37" s="5" t="s">
        <v>5888</v>
      </c>
      <c r="I37" s="5" t="s">
        <v>5896</v>
      </c>
      <c r="J37" s="5"/>
      <c r="K37" s="2"/>
    </row>
    <row r="38" customFormat="1" spans="1:11">
      <c r="A38" s="4" t="s">
        <v>5900</v>
      </c>
      <c r="B38" s="4" t="s">
        <v>120</v>
      </c>
      <c r="C38" s="4" t="s">
        <v>5894</v>
      </c>
      <c r="D38" s="5" t="s">
        <v>1485</v>
      </c>
      <c r="E38" s="4" t="s">
        <v>2852</v>
      </c>
      <c r="F38" s="5" t="s">
        <v>5816</v>
      </c>
      <c r="G38" s="5" t="s">
        <v>76</v>
      </c>
      <c r="H38" s="5" t="s">
        <v>76</v>
      </c>
      <c r="I38" s="5" t="s">
        <v>5896</v>
      </c>
      <c r="J38" s="5"/>
      <c r="K38" s="2"/>
    </row>
    <row r="39" customFormat="1" spans="1:11">
      <c r="A39" s="4" t="s">
        <v>5901</v>
      </c>
      <c r="B39" s="4" t="s">
        <v>137</v>
      </c>
      <c r="C39" s="4" t="s">
        <v>5902</v>
      </c>
      <c r="D39" s="5" t="s">
        <v>338</v>
      </c>
      <c r="E39" s="4" t="s">
        <v>2852</v>
      </c>
      <c r="F39" s="5" t="s">
        <v>5816</v>
      </c>
      <c r="G39" s="5" t="s">
        <v>76</v>
      </c>
      <c r="H39" s="5" t="s">
        <v>76</v>
      </c>
      <c r="I39" s="5" t="s">
        <v>5896</v>
      </c>
      <c r="J39" s="5"/>
      <c r="K39" s="2"/>
    </row>
    <row r="40" customFormat="1" spans="1:11">
      <c r="A40" s="4" t="s">
        <v>5903</v>
      </c>
      <c r="B40" s="4" t="s">
        <v>137</v>
      </c>
      <c r="C40" s="4" t="s">
        <v>5904</v>
      </c>
      <c r="D40" s="5" t="s">
        <v>338</v>
      </c>
      <c r="E40" s="4" t="s">
        <v>2852</v>
      </c>
      <c r="F40" s="5" t="s">
        <v>5816</v>
      </c>
      <c r="G40" s="5" t="s">
        <v>76</v>
      </c>
      <c r="H40" s="5" t="s">
        <v>76</v>
      </c>
      <c r="I40" s="5" t="s">
        <v>5896</v>
      </c>
      <c r="J40" s="5"/>
      <c r="K40" s="2"/>
    </row>
    <row r="41" customFormat="1" spans="1:11">
      <c r="A41" s="4" t="s">
        <v>5905</v>
      </c>
      <c r="B41" s="4" t="s">
        <v>120</v>
      </c>
      <c r="C41" s="4" t="s">
        <v>5906</v>
      </c>
      <c r="D41" s="5" t="s">
        <v>1485</v>
      </c>
      <c r="E41" s="4" t="s">
        <v>210</v>
      </c>
      <c r="F41" s="5" t="s">
        <v>5816</v>
      </c>
      <c r="G41" s="5" t="s">
        <v>76</v>
      </c>
      <c r="H41" s="5" t="s">
        <v>5888</v>
      </c>
      <c r="I41" s="5" t="s">
        <v>5896</v>
      </c>
      <c r="J41" s="5"/>
      <c r="K41" s="2"/>
    </row>
    <row r="42" spans="1:11">
      <c r="A42" s="4"/>
      <c r="B42" s="4"/>
      <c r="C42" s="4"/>
      <c r="D42" s="5"/>
      <c r="E42" s="4"/>
      <c r="F42" s="5"/>
      <c r="G42" s="5"/>
      <c r="H42" s="5"/>
      <c r="I42" s="5"/>
      <c r="J42" s="5"/>
      <c r="K42" s="2"/>
    </row>
    <row r="43" customFormat="1" spans="1:11">
      <c r="A43" s="4" t="s">
        <v>5907</v>
      </c>
      <c r="B43" s="4" t="s">
        <v>655</v>
      </c>
      <c r="C43" s="4" t="s">
        <v>5908</v>
      </c>
      <c r="D43" s="5" t="s">
        <v>5909</v>
      </c>
      <c r="E43" s="4" t="s">
        <v>210</v>
      </c>
      <c r="F43" s="5" t="s">
        <v>5816</v>
      </c>
      <c r="G43" s="5" t="s">
        <v>76</v>
      </c>
      <c r="H43" s="5">
        <v>99</v>
      </c>
      <c r="I43" s="5" t="s">
        <v>5820</v>
      </c>
      <c r="J43" s="5" t="s">
        <v>5910</v>
      </c>
      <c r="K43" s="2"/>
    </row>
    <row r="44" customFormat="1" spans="1:11">
      <c r="A44" s="4" t="s">
        <v>5911</v>
      </c>
      <c r="B44" s="4" t="s">
        <v>655</v>
      </c>
      <c r="C44" s="4" t="s">
        <v>5646</v>
      </c>
      <c r="D44" s="5" t="s">
        <v>5912</v>
      </c>
      <c r="E44" s="4" t="s">
        <v>210</v>
      </c>
      <c r="F44" s="5" t="s">
        <v>5816</v>
      </c>
      <c r="G44" s="5" t="s">
        <v>76</v>
      </c>
      <c r="H44" s="5">
        <v>97</v>
      </c>
      <c r="I44" s="5" t="s">
        <v>5820</v>
      </c>
      <c r="J44" s="5" t="s">
        <v>5821</v>
      </c>
      <c r="K44" s="2"/>
    </row>
    <row r="45" customFormat="1" spans="1:11">
      <c r="A45" s="4" t="s">
        <v>5913</v>
      </c>
      <c r="B45" s="4" t="s">
        <v>655</v>
      </c>
      <c r="C45" s="4" t="s">
        <v>1959</v>
      </c>
      <c r="D45" s="5" t="s">
        <v>5914</v>
      </c>
      <c r="E45" s="4" t="s">
        <v>210</v>
      </c>
      <c r="F45" s="5" t="s">
        <v>5816</v>
      </c>
      <c r="G45" s="5" t="s">
        <v>76</v>
      </c>
      <c r="H45" s="5">
        <v>96</v>
      </c>
      <c r="I45" s="5" t="s">
        <v>12</v>
      </c>
      <c r="J45" s="5" t="s">
        <v>5915</v>
      </c>
      <c r="K45" s="2"/>
    </row>
    <row r="46" customFormat="1" spans="1:11">
      <c r="A46" s="4" t="s">
        <v>5916</v>
      </c>
      <c r="B46" s="4" t="s">
        <v>655</v>
      </c>
      <c r="C46" s="4" t="s">
        <v>1943</v>
      </c>
      <c r="D46" s="5" t="s">
        <v>5891</v>
      </c>
      <c r="E46" s="4" t="s">
        <v>2852</v>
      </c>
      <c r="F46" s="5" t="s">
        <v>5816</v>
      </c>
      <c r="G46" s="5" t="s">
        <v>76</v>
      </c>
      <c r="H46" s="5">
        <v>98</v>
      </c>
      <c r="I46" s="5" t="s">
        <v>5917</v>
      </c>
      <c r="J46" s="5" t="s">
        <v>5918</v>
      </c>
      <c r="K46" s="2"/>
    </row>
    <row r="47" customFormat="1" spans="1:11">
      <c r="A47" s="4" t="s">
        <v>5919</v>
      </c>
      <c r="B47" s="4" t="s">
        <v>655</v>
      </c>
      <c r="C47" s="4" t="s">
        <v>5920</v>
      </c>
      <c r="D47" s="5" t="s">
        <v>5921</v>
      </c>
      <c r="E47" s="4" t="s">
        <v>210</v>
      </c>
      <c r="F47" s="5" t="s">
        <v>5816</v>
      </c>
      <c r="G47" s="5" t="s">
        <v>76</v>
      </c>
      <c r="H47" s="5">
        <v>97</v>
      </c>
      <c r="I47" s="5" t="s">
        <v>5922</v>
      </c>
      <c r="J47" s="5" t="s">
        <v>5923</v>
      </c>
      <c r="K47" s="2"/>
    </row>
    <row r="48" customFormat="1" spans="1:11">
      <c r="A48" s="4"/>
      <c r="B48" s="4"/>
      <c r="C48" s="4"/>
      <c r="D48" s="5"/>
      <c r="E48" s="4"/>
      <c r="F48" s="5"/>
      <c r="G48" s="5"/>
      <c r="H48" s="5"/>
      <c r="I48" s="5"/>
      <c r="J48" s="5"/>
      <c r="K48" s="2"/>
    </row>
    <row r="49" customFormat="1" spans="1:11">
      <c r="A49" s="4" t="s">
        <v>5924</v>
      </c>
      <c r="B49" s="4" t="s">
        <v>656</v>
      </c>
      <c r="C49" s="4" t="s">
        <v>1959</v>
      </c>
      <c r="D49" s="5" t="s">
        <v>1485</v>
      </c>
      <c r="E49" s="4" t="s">
        <v>2852</v>
      </c>
      <c r="F49" s="5">
        <v>1</v>
      </c>
      <c r="G49" s="5" t="s">
        <v>5925</v>
      </c>
      <c r="H49" s="5">
        <v>98</v>
      </c>
      <c r="I49" s="5" t="s">
        <v>12</v>
      </c>
      <c r="J49" s="5">
        <v>500</v>
      </c>
      <c r="K49" s="2" t="s">
        <v>5926</v>
      </c>
    </row>
    <row r="50" customFormat="1" spans="1:11">
      <c r="A50" s="4" t="s">
        <v>5927</v>
      </c>
      <c r="B50" s="4" t="s">
        <v>656</v>
      </c>
      <c r="C50" s="4" t="s">
        <v>5928</v>
      </c>
      <c r="D50" s="5" t="s">
        <v>1485</v>
      </c>
      <c r="E50" s="4" t="s">
        <v>2852</v>
      </c>
      <c r="F50" s="5" t="s">
        <v>5929</v>
      </c>
      <c r="G50" s="5" t="s">
        <v>5930</v>
      </c>
      <c r="H50" s="5">
        <v>96</v>
      </c>
      <c r="I50" s="5" t="s">
        <v>12</v>
      </c>
      <c r="J50" s="5">
        <v>700</v>
      </c>
      <c r="K50" s="2" t="s">
        <v>5931</v>
      </c>
    </row>
    <row r="51" customFormat="1" spans="1:11">
      <c r="A51" s="4" t="s">
        <v>5932</v>
      </c>
      <c r="B51" s="4" t="s">
        <v>656</v>
      </c>
      <c r="C51" s="4" t="s">
        <v>5933</v>
      </c>
      <c r="D51" s="5" t="s">
        <v>1485</v>
      </c>
      <c r="E51" s="4" t="s">
        <v>2852</v>
      </c>
      <c r="F51" s="5" t="s">
        <v>5934</v>
      </c>
      <c r="G51" s="5" t="s">
        <v>5935</v>
      </c>
      <c r="H51" s="5">
        <v>95</v>
      </c>
      <c r="I51" s="5" t="s">
        <v>12</v>
      </c>
      <c r="J51" s="5">
        <v>1500</v>
      </c>
      <c r="K51" s="2" t="s">
        <v>5936</v>
      </c>
    </row>
    <row r="52" customFormat="1" spans="1:11">
      <c r="A52" s="4" t="s">
        <v>5937</v>
      </c>
      <c r="B52" s="4" t="s">
        <v>656</v>
      </c>
      <c r="C52" s="4" t="s">
        <v>5938</v>
      </c>
      <c r="D52" s="5" t="s">
        <v>1485</v>
      </c>
      <c r="E52" s="4" t="s">
        <v>2852</v>
      </c>
      <c r="F52" s="5" t="s">
        <v>5816</v>
      </c>
      <c r="G52" s="5" t="s">
        <v>5939</v>
      </c>
      <c r="H52" s="5">
        <v>97</v>
      </c>
      <c r="I52" s="5" t="s">
        <v>12</v>
      </c>
      <c r="J52" s="5">
        <v>300</v>
      </c>
      <c r="K52" s="2" t="s">
        <v>5940</v>
      </c>
    </row>
    <row r="53" customFormat="1" spans="1:11">
      <c r="A53" s="4" t="s">
        <v>5941</v>
      </c>
      <c r="B53" s="4" t="s">
        <v>656</v>
      </c>
      <c r="C53" s="4" t="s">
        <v>5942</v>
      </c>
      <c r="D53" s="5" t="s">
        <v>1485</v>
      </c>
      <c r="E53" s="4" t="s">
        <v>2852</v>
      </c>
      <c r="F53" s="5" t="s">
        <v>5816</v>
      </c>
      <c r="G53" s="5">
        <v>15</v>
      </c>
      <c r="H53" s="5">
        <v>99</v>
      </c>
      <c r="I53" s="5" t="s">
        <v>12</v>
      </c>
      <c r="J53" s="5" t="s">
        <v>5943</v>
      </c>
      <c r="K53" s="2" t="s">
        <v>5944</v>
      </c>
    </row>
    <row r="54" spans="1:11">
      <c r="A54" s="4"/>
      <c r="B54" s="4"/>
      <c r="C54" s="4"/>
      <c r="D54" s="5"/>
      <c r="E54" s="4"/>
      <c r="F54" s="5"/>
      <c r="G54" s="5"/>
      <c r="H54" s="5"/>
      <c r="I54" s="5"/>
      <c r="J54" s="5"/>
      <c r="K54" s="2"/>
    </row>
    <row r="55" customFormat="1" spans="1:11">
      <c r="A55" s="4" t="s">
        <v>5945</v>
      </c>
      <c r="B55" s="4" t="s">
        <v>658</v>
      </c>
      <c r="C55" s="4" t="s">
        <v>5646</v>
      </c>
      <c r="D55" s="5" t="s">
        <v>1485</v>
      </c>
      <c r="E55" s="4" t="s">
        <v>2852</v>
      </c>
      <c r="F55" s="5" t="s">
        <v>5816</v>
      </c>
      <c r="G55" s="5" t="s">
        <v>76</v>
      </c>
      <c r="H55" s="5" t="s">
        <v>76</v>
      </c>
      <c r="I55" s="5" t="s">
        <v>3758</v>
      </c>
      <c r="J55" s="5" t="s">
        <v>5946</v>
      </c>
      <c r="K55" s="2"/>
    </row>
    <row r="56" customFormat="1" spans="1:11">
      <c r="A56" s="4" t="s">
        <v>5947</v>
      </c>
      <c r="B56" s="4" t="s">
        <v>658</v>
      </c>
      <c r="C56" s="4" t="s">
        <v>5908</v>
      </c>
      <c r="D56" s="5" t="s">
        <v>1485</v>
      </c>
      <c r="E56" s="4" t="s">
        <v>2852</v>
      </c>
      <c r="F56" s="5">
        <v>1</v>
      </c>
      <c r="G56" s="5" t="s">
        <v>76</v>
      </c>
      <c r="H56" s="5" t="s">
        <v>76</v>
      </c>
      <c r="I56" s="5" t="s">
        <v>12</v>
      </c>
      <c r="J56" s="5" t="s">
        <v>5939</v>
      </c>
      <c r="K56" s="2"/>
    </row>
    <row r="57" customFormat="1" spans="1:11">
      <c r="A57" s="4" t="s">
        <v>5948</v>
      </c>
      <c r="B57" s="4" t="s">
        <v>658</v>
      </c>
      <c r="C57" s="4" t="s">
        <v>1959</v>
      </c>
      <c r="D57" s="5" t="s">
        <v>1485</v>
      </c>
      <c r="E57" s="4" t="s">
        <v>2852</v>
      </c>
      <c r="F57" s="5">
        <v>1</v>
      </c>
      <c r="G57" s="5" t="s">
        <v>76</v>
      </c>
      <c r="H57" s="5" t="s">
        <v>76</v>
      </c>
      <c r="I57" s="5" t="s">
        <v>1575</v>
      </c>
      <c r="J57" s="5"/>
      <c r="K57" s="6" t="s">
        <v>5949</v>
      </c>
    </row>
    <row r="58" spans="1:11">
      <c r="A58" s="4"/>
      <c r="B58" s="4"/>
      <c r="C58" s="4"/>
      <c r="D58" s="5"/>
      <c r="E58" s="4"/>
      <c r="F58" s="5"/>
      <c r="G58" s="5"/>
      <c r="H58" s="5"/>
      <c r="I58" s="5"/>
      <c r="J58" s="5"/>
      <c r="K58" s="2"/>
    </row>
    <row r="59" customFormat="1" spans="1:11">
      <c r="A59" s="4" t="s">
        <v>5950</v>
      </c>
      <c r="B59" s="4" t="s">
        <v>120</v>
      </c>
      <c r="C59" s="4" t="s">
        <v>1959</v>
      </c>
      <c r="D59" s="5" t="s">
        <v>1485</v>
      </c>
      <c r="E59" s="4" t="s">
        <v>2852</v>
      </c>
      <c r="F59" s="5" t="s">
        <v>5816</v>
      </c>
      <c r="G59" s="5" t="s">
        <v>76</v>
      </c>
      <c r="H59" s="5" t="s">
        <v>76</v>
      </c>
      <c r="I59" s="5" t="s">
        <v>3758</v>
      </c>
      <c r="J59" s="5" t="s">
        <v>5951</v>
      </c>
      <c r="K59" s="2"/>
    </row>
    <row r="60" customFormat="1" spans="1:11">
      <c r="A60" s="4" t="s">
        <v>5952</v>
      </c>
      <c r="B60" s="4" t="s">
        <v>120</v>
      </c>
      <c r="C60" s="4" t="s">
        <v>5953</v>
      </c>
      <c r="D60" s="5" t="s">
        <v>1485</v>
      </c>
      <c r="E60" s="4" t="s">
        <v>2852</v>
      </c>
      <c r="F60" s="5" t="s">
        <v>5816</v>
      </c>
      <c r="G60" s="5" t="s">
        <v>76</v>
      </c>
      <c r="H60" s="5" t="s">
        <v>76</v>
      </c>
      <c r="I60" s="5" t="s">
        <v>3758</v>
      </c>
      <c r="J60" s="5" t="s">
        <v>5882</v>
      </c>
      <c r="K60" s="2"/>
    </row>
    <row r="61" customFormat="1" spans="1:11">
      <c r="A61" s="4" t="s">
        <v>5954</v>
      </c>
      <c r="B61" s="4" t="s">
        <v>120</v>
      </c>
      <c r="C61" s="4" t="s">
        <v>5908</v>
      </c>
      <c r="D61" s="5" t="s">
        <v>1485</v>
      </c>
      <c r="E61" s="4" t="s">
        <v>2852</v>
      </c>
      <c r="F61" s="5" t="s">
        <v>5816</v>
      </c>
      <c r="G61" s="5" t="s">
        <v>76</v>
      </c>
      <c r="H61" s="5" t="s">
        <v>76</v>
      </c>
      <c r="I61" s="5" t="s">
        <v>3758</v>
      </c>
      <c r="J61" s="5" t="s">
        <v>5955</v>
      </c>
      <c r="K61" s="2"/>
    </row>
    <row r="62" spans="1:11">
      <c r="A62" s="4"/>
      <c r="B62" s="4"/>
      <c r="C62" s="4"/>
      <c r="D62" s="5"/>
      <c r="E62" s="4"/>
      <c r="F62" s="5"/>
      <c r="G62" s="5"/>
      <c r="H62" s="5"/>
      <c r="I62" s="5"/>
      <c r="J62" s="5"/>
      <c r="K62" s="2"/>
    </row>
    <row r="63" customFormat="1" spans="1:11">
      <c r="A63" s="4" t="s">
        <v>5956</v>
      </c>
      <c r="B63" s="4" t="s">
        <v>120</v>
      </c>
      <c r="C63" s="4" t="s">
        <v>5646</v>
      </c>
      <c r="D63" s="5" t="s">
        <v>1485</v>
      </c>
      <c r="E63" s="4" t="s">
        <v>210</v>
      </c>
      <c r="F63" s="5">
        <v>1</v>
      </c>
      <c r="G63" s="5" t="s">
        <v>76</v>
      </c>
      <c r="H63" s="5">
        <v>99</v>
      </c>
      <c r="I63" s="5" t="s">
        <v>12</v>
      </c>
      <c r="J63" s="5" t="s">
        <v>3679</v>
      </c>
      <c r="K63" s="2"/>
    </row>
    <row r="64" customFormat="1" spans="1:11">
      <c r="A64" s="4" t="s">
        <v>5957</v>
      </c>
      <c r="B64" s="4" t="s">
        <v>120</v>
      </c>
      <c r="C64" s="4" t="s">
        <v>1959</v>
      </c>
      <c r="D64" s="5" t="s">
        <v>1485</v>
      </c>
      <c r="E64" s="4" t="s">
        <v>210</v>
      </c>
      <c r="F64" s="5">
        <v>1</v>
      </c>
      <c r="G64" s="5" t="s">
        <v>76</v>
      </c>
      <c r="H64" s="5">
        <v>99</v>
      </c>
      <c r="I64" s="5" t="s">
        <v>12</v>
      </c>
      <c r="J64" s="5" t="s">
        <v>3689</v>
      </c>
      <c r="K64" s="2"/>
    </row>
    <row r="65" customFormat="1" spans="1:11">
      <c r="A65" s="4" t="s">
        <v>5958</v>
      </c>
      <c r="B65" s="4" t="s">
        <v>120</v>
      </c>
      <c r="C65" s="4" t="s">
        <v>5959</v>
      </c>
      <c r="D65" s="5" t="s">
        <v>1485</v>
      </c>
      <c r="E65" s="4" t="s">
        <v>210</v>
      </c>
      <c r="F65" s="5">
        <v>1</v>
      </c>
      <c r="G65" s="5" t="s">
        <v>5925</v>
      </c>
      <c r="H65" s="5">
        <v>98</v>
      </c>
      <c r="I65" s="5" t="s">
        <v>12</v>
      </c>
      <c r="J65" s="5" t="s">
        <v>5960</v>
      </c>
      <c r="K65" s="2"/>
    </row>
    <row r="66" customFormat="1" spans="1:11">
      <c r="A66" s="4" t="s">
        <v>5961</v>
      </c>
      <c r="B66" s="4" t="s">
        <v>120</v>
      </c>
      <c r="C66" s="4" t="s">
        <v>5962</v>
      </c>
      <c r="D66" s="5" t="s">
        <v>1485</v>
      </c>
      <c r="E66" s="4" t="s">
        <v>210</v>
      </c>
      <c r="F66" s="5">
        <v>1</v>
      </c>
      <c r="G66" s="5" t="s">
        <v>4009</v>
      </c>
      <c r="H66" s="5">
        <v>97</v>
      </c>
      <c r="I66" s="5" t="s">
        <v>12</v>
      </c>
      <c r="J66" s="5" t="s">
        <v>5915</v>
      </c>
      <c r="K66" s="2"/>
    </row>
    <row r="67" customFormat="1" spans="1:11">
      <c r="A67" s="4" t="s">
        <v>5963</v>
      </c>
      <c r="B67" s="4" t="s">
        <v>120</v>
      </c>
      <c r="C67" s="4" t="s">
        <v>5646</v>
      </c>
      <c r="D67" s="5" t="s">
        <v>1485</v>
      </c>
      <c r="E67" s="4" t="s">
        <v>210</v>
      </c>
      <c r="F67" s="5">
        <v>1</v>
      </c>
      <c r="G67" s="5" t="s">
        <v>76</v>
      </c>
      <c r="H67" s="5">
        <v>99</v>
      </c>
      <c r="I67" s="5" t="s">
        <v>12</v>
      </c>
      <c r="J67" s="5" t="s">
        <v>3679</v>
      </c>
      <c r="K67" s="2"/>
    </row>
    <row r="68" spans="1:11">
      <c r="A68" s="4"/>
      <c r="B68" s="4"/>
      <c r="C68" s="4"/>
      <c r="D68" s="5"/>
      <c r="E68" s="4"/>
      <c r="F68" s="5"/>
      <c r="G68" s="5"/>
      <c r="H68" s="5"/>
      <c r="I68" s="5"/>
      <c r="J68" s="5"/>
      <c r="K68" s="2"/>
    </row>
    <row r="69" customFormat="1" spans="1:11">
      <c r="A69" s="4" t="s">
        <v>5964</v>
      </c>
      <c r="B69" s="4" t="s">
        <v>120</v>
      </c>
      <c r="C69" s="4" t="s">
        <v>5646</v>
      </c>
      <c r="D69" s="5" t="s">
        <v>1485</v>
      </c>
      <c r="E69" s="4" t="s">
        <v>2852</v>
      </c>
      <c r="F69" s="5">
        <v>1</v>
      </c>
      <c r="G69" s="5" t="s">
        <v>76</v>
      </c>
      <c r="H69" s="5">
        <v>100</v>
      </c>
      <c r="I69" s="5" t="s">
        <v>5820</v>
      </c>
      <c r="J69" s="5" t="s">
        <v>5965</v>
      </c>
      <c r="K69" s="2"/>
    </row>
    <row r="70" customFormat="1" spans="1:11">
      <c r="A70" s="4" t="s">
        <v>5966</v>
      </c>
      <c r="B70" s="4" t="s">
        <v>120</v>
      </c>
      <c r="C70" s="4" t="s">
        <v>5953</v>
      </c>
      <c r="D70" s="5" t="s">
        <v>1485</v>
      </c>
      <c r="E70" s="4" t="s">
        <v>2852</v>
      </c>
      <c r="F70" s="5">
        <v>1</v>
      </c>
      <c r="G70" s="5" t="s">
        <v>76</v>
      </c>
      <c r="H70" s="5">
        <v>100</v>
      </c>
      <c r="I70" s="5" t="s">
        <v>5820</v>
      </c>
      <c r="J70" s="5" t="s">
        <v>5967</v>
      </c>
      <c r="K70" s="2"/>
    </row>
    <row r="71" customFormat="1" spans="1:11">
      <c r="A71" s="4" t="s">
        <v>5968</v>
      </c>
      <c r="B71" s="4" t="s">
        <v>120</v>
      </c>
      <c r="C71" s="4" t="s">
        <v>1959</v>
      </c>
      <c r="D71" s="5" t="s">
        <v>1485</v>
      </c>
      <c r="E71" s="4" t="s">
        <v>2852</v>
      </c>
      <c r="F71" s="5">
        <v>1</v>
      </c>
      <c r="G71" s="5" t="s">
        <v>76</v>
      </c>
      <c r="H71" s="5">
        <v>99</v>
      </c>
      <c r="I71" s="5" t="s">
        <v>5820</v>
      </c>
      <c r="J71" s="5" t="s">
        <v>5969</v>
      </c>
      <c r="K71" s="2"/>
    </row>
    <row r="72" customFormat="1" spans="1:11">
      <c r="A72" s="4" t="s">
        <v>5970</v>
      </c>
      <c r="B72" s="4" t="s">
        <v>120</v>
      </c>
      <c r="C72" s="4" t="s">
        <v>5971</v>
      </c>
      <c r="D72" s="5" t="s">
        <v>1485</v>
      </c>
      <c r="E72" s="4" t="s">
        <v>2852</v>
      </c>
      <c r="F72" s="5">
        <v>1</v>
      </c>
      <c r="G72" s="5" t="s">
        <v>76</v>
      </c>
      <c r="H72" s="5">
        <v>100</v>
      </c>
      <c r="I72" s="5" t="s">
        <v>5820</v>
      </c>
      <c r="J72" s="5" t="s">
        <v>5972</v>
      </c>
      <c r="K72" s="2"/>
    </row>
    <row r="73" customFormat="1" spans="1:11">
      <c r="A73" s="4" t="s">
        <v>5973</v>
      </c>
      <c r="B73" s="4" t="s">
        <v>120</v>
      </c>
      <c r="C73" s="4" t="s">
        <v>5646</v>
      </c>
      <c r="D73" s="5" t="s">
        <v>1485</v>
      </c>
      <c r="E73" s="4" t="s">
        <v>2852</v>
      </c>
      <c r="F73" s="5">
        <v>1</v>
      </c>
      <c r="G73" s="5" t="s">
        <v>76</v>
      </c>
      <c r="H73" s="5">
        <v>100</v>
      </c>
      <c r="I73" s="5" t="s">
        <v>5820</v>
      </c>
      <c r="J73" s="5" t="s">
        <v>5974</v>
      </c>
      <c r="K73" s="2"/>
    </row>
    <row r="74" customFormat="1" spans="1:11">
      <c r="A74" s="4" t="s">
        <v>5975</v>
      </c>
      <c r="B74" s="4" t="s">
        <v>120</v>
      </c>
      <c r="C74" s="4" t="s">
        <v>5976</v>
      </c>
      <c r="D74" s="5" t="s">
        <v>1485</v>
      </c>
      <c r="E74" s="4" t="s">
        <v>2852</v>
      </c>
      <c r="F74" s="5">
        <v>1</v>
      </c>
      <c r="G74" s="5" t="s">
        <v>76</v>
      </c>
      <c r="H74" s="5">
        <v>100</v>
      </c>
      <c r="I74" s="5" t="s">
        <v>12</v>
      </c>
      <c r="J74" s="5" t="s">
        <v>3696</v>
      </c>
      <c r="K74" s="2"/>
    </row>
    <row r="75" customFormat="1" spans="1:11">
      <c r="A75" s="4" t="s">
        <v>5977</v>
      </c>
      <c r="B75" s="4" t="s">
        <v>120</v>
      </c>
      <c r="C75" s="4" t="s">
        <v>5978</v>
      </c>
      <c r="D75" s="5" t="s">
        <v>1485</v>
      </c>
      <c r="E75" s="4" t="s">
        <v>2852</v>
      </c>
      <c r="F75" s="5">
        <v>1</v>
      </c>
      <c r="G75" s="5" t="s">
        <v>76</v>
      </c>
      <c r="H75" s="5">
        <v>100</v>
      </c>
      <c r="I75" s="5" t="s">
        <v>5820</v>
      </c>
      <c r="J75" s="5" t="s">
        <v>5979</v>
      </c>
      <c r="K75" s="2"/>
    </row>
    <row r="76" customFormat="1" spans="1:11">
      <c r="A76" s="4"/>
      <c r="B76" s="4"/>
      <c r="C76" s="4"/>
      <c r="D76" s="5"/>
      <c r="E76" s="4"/>
      <c r="F76" s="5"/>
      <c r="G76" s="5"/>
      <c r="H76" s="5"/>
      <c r="I76" s="5"/>
      <c r="J76" s="5"/>
      <c r="K76" s="2"/>
    </row>
    <row r="77" customFormat="1" spans="1:11">
      <c r="A77" s="4" t="s">
        <v>5980</v>
      </c>
      <c r="B77" s="4" t="s">
        <v>120</v>
      </c>
      <c r="C77" s="4" t="s">
        <v>5908</v>
      </c>
      <c r="D77" s="5" t="s">
        <v>1485</v>
      </c>
      <c r="E77" s="4" t="s">
        <v>210</v>
      </c>
      <c r="F77" s="5">
        <v>1</v>
      </c>
      <c r="G77" s="5" t="s">
        <v>5925</v>
      </c>
      <c r="H77" s="5">
        <v>100</v>
      </c>
      <c r="I77" s="5" t="s">
        <v>12</v>
      </c>
      <c r="J77" s="5" t="s">
        <v>3696</v>
      </c>
      <c r="K77" s="2"/>
    </row>
    <row r="78" customFormat="1" spans="1:11">
      <c r="A78" s="4" t="s">
        <v>5981</v>
      </c>
      <c r="B78" s="4" t="s">
        <v>120</v>
      </c>
      <c r="C78" s="4" t="s">
        <v>209</v>
      </c>
      <c r="D78" s="5" t="s">
        <v>1485</v>
      </c>
      <c r="E78" s="4" t="s">
        <v>210</v>
      </c>
      <c r="F78" s="5">
        <v>1</v>
      </c>
      <c r="G78" s="5"/>
      <c r="H78" s="5" t="s">
        <v>76</v>
      </c>
      <c r="I78" s="5" t="s">
        <v>12</v>
      </c>
      <c r="J78" s="5" t="s">
        <v>5982</v>
      </c>
      <c r="K78" s="2"/>
    </row>
    <row r="79" spans="1:11">
      <c r="A79" s="4"/>
      <c r="B79" s="4"/>
      <c r="C79" s="4"/>
      <c r="D79" s="5"/>
      <c r="E79" s="4"/>
      <c r="F79" s="5"/>
      <c r="G79" s="5"/>
      <c r="H79" s="5"/>
      <c r="I79" s="5"/>
      <c r="J79" s="5"/>
      <c r="K79" s="2"/>
    </row>
    <row r="80" customFormat="1" spans="1:11">
      <c r="A80" s="4" t="s">
        <v>5983</v>
      </c>
      <c r="B80" s="4" t="s">
        <v>657</v>
      </c>
      <c r="C80" s="4" t="s">
        <v>1959</v>
      </c>
      <c r="D80" s="5" t="s">
        <v>1485</v>
      </c>
      <c r="E80" s="4" t="s">
        <v>210</v>
      </c>
      <c r="F80" s="5" t="s">
        <v>5816</v>
      </c>
      <c r="G80" s="5" t="s">
        <v>76</v>
      </c>
      <c r="H80" s="5">
        <v>96</v>
      </c>
      <c r="I80" s="5" t="s">
        <v>3758</v>
      </c>
      <c r="J80" s="5" t="s">
        <v>3899</v>
      </c>
      <c r="K80" s="2"/>
    </row>
    <row r="81" customFormat="1" spans="1:11">
      <c r="A81" s="4" t="s">
        <v>5984</v>
      </c>
      <c r="B81" s="4" t="s">
        <v>657</v>
      </c>
      <c r="C81" s="4" t="s">
        <v>5978</v>
      </c>
      <c r="D81" s="5" t="s">
        <v>1485</v>
      </c>
      <c r="E81" s="4" t="s">
        <v>210</v>
      </c>
      <c r="F81" s="5" t="s">
        <v>5816</v>
      </c>
      <c r="G81" s="5" t="s">
        <v>76</v>
      </c>
      <c r="H81" s="5">
        <v>95</v>
      </c>
      <c r="I81" s="5" t="s">
        <v>5985</v>
      </c>
      <c r="J81" s="5"/>
      <c r="K81" s="2"/>
    </row>
    <row r="82" customFormat="1" spans="1:11">
      <c r="A82" s="4" t="s">
        <v>5986</v>
      </c>
      <c r="B82" s="4" t="s">
        <v>657</v>
      </c>
      <c r="C82" s="4" t="s">
        <v>1959</v>
      </c>
      <c r="D82" s="5" t="s">
        <v>1485</v>
      </c>
      <c r="E82" s="4" t="s">
        <v>210</v>
      </c>
      <c r="F82" s="5" t="s">
        <v>5816</v>
      </c>
      <c r="G82" s="5" t="s">
        <v>76</v>
      </c>
      <c r="H82" s="5">
        <v>95</v>
      </c>
      <c r="I82" s="5" t="s">
        <v>5987</v>
      </c>
      <c r="J82" s="5" t="s">
        <v>5988</v>
      </c>
      <c r="K82" s="2"/>
    </row>
    <row r="83" customFormat="1" spans="1:11">
      <c r="A83" s="4" t="s">
        <v>5989</v>
      </c>
      <c r="B83" s="4" t="s">
        <v>657</v>
      </c>
      <c r="C83" s="4" t="s">
        <v>5978</v>
      </c>
      <c r="D83" s="5" t="s">
        <v>1485</v>
      </c>
      <c r="E83" s="4" t="s">
        <v>210</v>
      </c>
      <c r="F83" s="5" t="s">
        <v>5816</v>
      </c>
      <c r="G83" s="5" t="s">
        <v>76</v>
      </c>
      <c r="H83" s="5">
        <v>97</v>
      </c>
      <c r="I83" s="5" t="s">
        <v>5990</v>
      </c>
      <c r="J83" s="5" t="s">
        <v>5991</v>
      </c>
      <c r="K83" s="2"/>
    </row>
    <row r="84" customFormat="1" spans="1:11">
      <c r="A84" s="4" t="s">
        <v>5992</v>
      </c>
      <c r="B84" s="4" t="s">
        <v>657</v>
      </c>
      <c r="C84" s="4" t="s">
        <v>5938</v>
      </c>
      <c r="D84" s="5" t="s">
        <v>1485</v>
      </c>
      <c r="E84" s="4" t="s">
        <v>2852</v>
      </c>
      <c r="F84" s="5" t="s">
        <v>5816</v>
      </c>
      <c r="G84" s="5" t="s">
        <v>76</v>
      </c>
      <c r="H84" s="5">
        <v>96</v>
      </c>
      <c r="I84" s="5" t="s">
        <v>5993</v>
      </c>
      <c r="J84" s="5" t="s">
        <v>5994</v>
      </c>
      <c r="K84" s="2"/>
    </row>
    <row r="85" customFormat="1" spans="1:11">
      <c r="A85" s="4" t="s">
        <v>5995</v>
      </c>
      <c r="B85" s="4" t="s">
        <v>657</v>
      </c>
      <c r="C85" s="4" t="s">
        <v>1959</v>
      </c>
      <c r="D85" s="5" t="s">
        <v>1485</v>
      </c>
      <c r="E85" s="4" t="s">
        <v>2852</v>
      </c>
      <c r="F85" s="5" t="s">
        <v>5816</v>
      </c>
      <c r="G85" s="5" t="s">
        <v>76</v>
      </c>
      <c r="H85" s="5">
        <v>94</v>
      </c>
      <c r="I85" s="5" t="s">
        <v>5996</v>
      </c>
      <c r="J85" s="5" t="s">
        <v>3770</v>
      </c>
      <c r="K85" s="2"/>
    </row>
    <row r="86" customFormat="1" spans="1:11">
      <c r="A86" s="4" t="s">
        <v>5997</v>
      </c>
      <c r="B86" s="4" t="s">
        <v>657</v>
      </c>
      <c r="C86" s="4" t="s">
        <v>5998</v>
      </c>
      <c r="D86" s="5" t="s">
        <v>1485</v>
      </c>
      <c r="E86" s="4" t="s">
        <v>210</v>
      </c>
      <c r="F86" s="5" t="s">
        <v>5816</v>
      </c>
      <c r="G86" s="5" t="s">
        <v>76</v>
      </c>
      <c r="H86" s="5">
        <v>97</v>
      </c>
      <c r="I86" s="5" t="s">
        <v>5999</v>
      </c>
      <c r="J86" s="5"/>
      <c r="K86" s="2"/>
    </row>
    <row r="87" customFormat="1" spans="1:11">
      <c r="A87" s="4"/>
      <c r="B87" s="4"/>
      <c r="C87" s="4"/>
      <c r="D87" s="5"/>
      <c r="E87" s="4"/>
      <c r="F87" s="5"/>
      <c r="G87" s="5"/>
      <c r="H87" s="5"/>
      <c r="I87" s="5"/>
      <c r="J87" s="5"/>
      <c r="K87" s="2"/>
    </row>
    <row r="88" customFormat="1" spans="1:11">
      <c r="A88" s="4" t="s">
        <v>6000</v>
      </c>
      <c r="B88" s="4" t="s">
        <v>137</v>
      </c>
      <c r="C88" s="4" t="s">
        <v>6001</v>
      </c>
      <c r="D88" s="5" t="s">
        <v>6002</v>
      </c>
      <c r="E88" s="4" t="s">
        <v>210</v>
      </c>
      <c r="F88" s="5" t="s">
        <v>5816</v>
      </c>
      <c r="G88" s="5" t="s">
        <v>76</v>
      </c>
      <c r="H88" s="5" t="s">
        <v>76</v>
      </c>
      <c r="I88" s="5" t="s">
        <v>3758</v>
      </c>
      <c r="J88" s="5" t="s">
        <v>76</v>
      </c>
      <c r="K88" s="2"/>
    </row>
    <row r="89" customFormat="1" spans="1:11">
      <c r="A89" s="4" t="s">
        <v>1768</v>
      </c>
      <c r="B89" s="4" t="s">
        <v>137</v>
      </c>
      <c r="C89" s="4" t="s">
        <v>6003</v>
      </c>
      <c r="D89" s="5" t="s">
        <v>6002</v>
      </c>
      <c r="E89" s="4" t="s">
        <v>2852</v>
      </c>
      <c r="F89" s="5" t="s">
        <v>3898</v>
      </c>
      <c r="G89" s="5" t="s">
        <v>6004</v>
      </c>
      <c r="H89" s="5" t="s">
        <v>3689</v>
      </c>
      <c r="I89" s="5" t="s">
        <v>3758</v>
      </c>
      <c r="J89" s="5" t="s">
        <v>6005</v>
      </c>
      <c r="K89" s="2"/>
    </row>
    <row r="90" customFormat="1" spans="1:11">
      <c r="A90" s="4" t="s">
        <v>6006</v>
      </c>
      <c r="B90" s="4" t="s">
        <v>137</v>
      </c>
      <c r="C90" s="4" t="s">
        <v>1963</v>
      </c>
      <c r="D90" s="5" t="s">
        <v>6002</v>
      </c>
      <c r="E90" s="4" t="s">
        <v>2852</v>
      </c>
      <c r="F90" s="5" t="s">
        <v>5816</v>
      </c>
      <c r="G90" s="5" t="s">
        <v>76</v>
      </c>
      <c r="H90" s="5" t="s">
        <v>76</v>
      </c>
      <c r="I90" s="5" t="s">
        <v>3882</v>
      </c>
      <c r="J90" s="5" t="s">
        <v>6007</v>
      </c>
      <c r="K90" s="2"/>
    </row>
    <row r="91" s="2" customFormat="1" spans="1:10">
      <c r="A91" s="4"/>
      <c r="B91" s="4"/>
      <c r="C91" s="4"/>
      <c r="D91" s="5"/>
      <c r="E91" s="4"/>
      <c r="F91" s="5"/>
      <c r="G91" s="5"/>
      <c r="H91" s="5"/>
      <c r="I91" s="5"/>
      <c r="J91" s="5"/>
    </row>
    <row r="92" customFormat="1" spans="1:11">
      <c r="A92" s="4" t="s">
        <v>6008</v>
      </c>
      <c r="B92" s="4" t="s">
        <v>661</v>
      </c>
      <c r="C92" s="4" t="s">
        <v>5828</v>
      </c>
      <c r="D92" s="5" t="s">
        <v>1485</v>
      </c>
      <c r="E92" s="4" t="s">
        <v>2852</v>
      </c>
      <c r="F92" s="5" t="s">
        <v>5816</v>
      </c>
      <c r="G92" s="5" t="s">
        <v>76</v>
      </c>
      <c r="H92" s="5" t="s">
        <v>5895</v>
      </c>
      <c r="I92" s="5" t="s">
        <v>3758</v>
      </c>
      <c r="J92" s="5" t="s">
        <v>6009</v>
      </c>
      <c r="K92" s="2"/>
    </row>
    <row r="93" customFormat="1" spans="1:11">
      <c r="A93" s="4" t="s">
        <v>6010</v>
      </c>
      <c r="B93" s="4" t="s">
        <v>661</v>
      </c>
      <c r="C93" s="4" t="s">
        <v>5938</v>
      </c>
      <c r="D93" s="5" t="s">
        <v>1485</v>
      </c>
      <c r="E93" s="4" t="s">
        <v>2852</v>
      </c>
      <c r="F93" s="5" t="s">
        <v>5816</v>
      </c>
      <c r="G93" s="5" t="s">
        <v>76</v>
      </c>
      <c r="H93" s="5" t="s">
        <v>5895</v>
      </c>
      <c r="I93" s="5" t="s">
        <v>5985</v>
      </c>
      <c r="J93" s="5" t="s">
        <v>6011</v>
      </c>
      <c r="K93" s="2"/>
    </row>
    <row r="94" customFormat="1" spans="1:11">
      <c r="A94" s="4" t="s">
        <v>6012</v>
      </c>
      <c r="B94" s="4" t="s">
        <v>6013</v>
      </c>
      <c r="C94" s="4" t="s">
        <v>5938</v>
      </c>
      <c r="D94" s="5" t="s">
        <v>1485</v>
      </c>
      <c r="E94" s="4" t="s">
        <v>2852</v>
      </c>
      <c r="F94" s="5" t="s">
        <v>5816</v>
      </c>
      <c r="G94" s="5" t="s">
        <v>76</v>
      </c>
      <c r="H94" s="5" t="s">
        <v>5895</v>
      </c>
      <c r="I94" s="5" t="s">
        <v>5987</v>
      </c>
      <c r="J94" s="5" t="s">
        <v>6014</v>
      </c>
      <c r="K94" s="2"/>
    </row>
    <row r="95" customFormat="1" spans="1:11">
      <c r="A95" s="4" t="s">
        <v>6015</v>
      </c>
      <c r="B95" s="4" t="s">
        <v>6016</v>
      </c>
      <c r="C95" s="4" t="s">
        <v>5978</v>
      </c>
      <c r="D95" s="5" t="s">
        <v>1485</v>
      </c>
      <c r="E95" s="4" t="s">
        <v>2852</v>
      </c>
      <c r="F95" s="5">
        <v>1</v>
      </c>
      <c r="G95" s="5" t="s">
        <v>76</v>
      </c>
      <c r="H95" s="5" t="s">
        <v>5895</v>
      </c>
      <c r="I95" s="5" t="s">
        <v>5990</v>
      </c>
      <c r="J95" s="5" t="s">
        <v>6017</v>
      </c>
      <c r="K95" s="2"/>
    </row>
    <row r="96" customFormat="1" spans="1:11">
      <c r="A96" s="4" t="s">
        <v>6018</v>
      </c>
      <c r="B96" s="4" t="s">
        <v>6016</v>
      </c>
      <c r="C96" s="4" t="s">
        <v>6019</v>
      </c>
      <c r="D96" s="5" t="s">
        <v>1485</v>
      </c>
      <c r="E96" s="4" t="s">
        <v>2852</v>
      </c>
      <c r="F96" s="5" t="s">
        <v>5816</v>
      </c>
      <c r="G96" s="5" t="s">
        <v>76</v>
      </c>
      <c r="H96" s="5" t="s">
        <v>5895</v>
      </c>
      <c r="I96" s="5" t="s">
        <v>5993</v>
      </c>
      <c r="J96" s="5" t="s">
        <v>3770</v>
      </c>
      <c r="K96" s="2"/>
    </row>
    <row r="97" customFormat="1" spans="1:11">
      <c r="A97" s="4" t="s">
        <v>6020</v>
      </c>
      <c r="B97" s="4" t="s">
        <v>661</v>
      </c>
      <c r="C97" s="4" t="s">
        <v>5646</v>
      </c>
      <c r="D97" s="5" t="s">
        <v>1485</v>
      </c>
      <c r="E97" s="4" t="s">
        <v>2852</v>
      </c>
      <c r="F97" s="5" t="s">
        <v>5816</v>
      </c>
      <c r="G97" s="5" t="s">
        <v>76</v>
      </c>
      <c r="H97" s="5" t="s">
        <v>5895</v>
      </c>
      <c r="I97" s="5" t="s">
        <v>6021</v>
      </c>
      <c r="J97" s="5" t="s">
        <v>6022</v>
      </c>
      <c r="K97" s="2"/>
    </row>
    <row r="98" customFormat="1" spans="1:11">
      <c r="A98" s="4" t="s">
        <v>6023</v>
      </c>
      <c r="B98" s="4" t="s">
        <v>661</v>
      </c>
      <c r="C98" s="4" t="s">
        <v>5978</v>
      </c>
      <c r="D98" s="5" t="s">
        <v>1485</v>
      </c>
      <c r="E98" s="4" t="s">
        <v>2852</v>
      </c>
      <c r="F98" s="5" t="s">
        <v>5816</v>
      </c>
      <c r="G98" s="5" t="s">
        <v>76</v>
      </c>
      <c r="H98" s="5" t="s">
        <v>5895</v>
      </c>
      <c r="I98" s="5" t="s">
        <v>5999</v>
      </c>
      <c r="J98" s="5" t="s">
        <v>6024</v>
      </c>
      <c r="K98" s="2"/>
    </row>
    <row r="99" customFormat="1" spans="1:11">
      <c r="A99" s="4" t="s">
        <v>6025</v>
      </c>
      <c r="B99" s="4" t="s">
        <v>6013</v>
      </c>
      <c r="C99" s="4" t="s">
        <v>5938</v>
      </c>
      <c r="D99" s="5" t="s">
        <v>1485</v>
      </c>
      <c r="E99" s="4" t="s">
        <v>2852</v>
      </c>
      <c r="F99" s="5" t="s">
        <v>5816</v>
      </c>
      <c r="G99" s="5" t="s">
        <v>76</v>
      </c>
      <c r="H99" s="5" t="s">
        <v>5895</v>
      </c>
      <c r="I99" s="5" t="s">
        <v>6026</v>
      </c>
      <c r="J99" s="5" t="s">
        <v>6027</v>
      </c>
      <c r="K99" s="2" t="s">
        <v>6028</v>
      </c>
    </row>
    <row r="100" customFormat="1" spans="1:11">
      <c r="A100" s="4" t="s">
        <v>6029</v>
      </c>
      <c r="B100" s="4" t="s">
        <v>6030</v>
      </c>
      <c r="C100" s="4" t="s">
        <v>5978</v>
      </c>
      <c r="D100" s="5" t="s">
        <v>1485</v>
      </c>
      <c r="E100" s="4" t="s">
        <v>2852</v>
      </c>
      <c r="F100" s="5" t="s">
        <v>5816</v>
      </c>
      <c r="G100" s="5" t="s">
        <v>76</v>
      </c>
      <c r="H100" s="5" t="s">
        <v>5895</v>
      </c>
      <c r="I100" s="5" t="s">
        <v>6031</v>
      </c>
      <c r="J100" s="5" t="s">
        <v>6032</v>
      </c>
      <c r="K100" s="2"/>
    </row>
    <row r="101" customFormat="1" spans="1:11">
      <c r="A101" s="4" t="s">
        <v>6033</v>
      </c>
      <c r="B101" s="4" t="s">
        <v>661</v>
      </c>
      <c r="C101" s="4" t="s">
        <v>5938</v>
      </c>
      <c r="D101" s="5" t="s">
        <v>1485</v>
      </c>
      <c r="E101" s="4" t="s">
        <v>2852</v>
      </c>
      <c r="F101" s="5" t="s">
        <v>5816</v>
      </c>
      <c r="G101" s="5" t="s">
        <v>76</v>
      </c>
      <c r="H101" s="5" t="s">
        <v>5895</v>
      </c>
      <c r="I101" s="5" t="s">
        <v>6034</v>
      </c>
      <c r="J101" s="5" t="s">
        <v>3770</v>
      </c>
      <c r="K101" s="2"/>
    </row>
    <row r="102" customFormat="1" spans="1:11">
      <c r="A102" s="4" t="s">
        <v>6035</v>
      </c>
      <c r="B102" s="4" t="s">
        <v>661</v>
      </c>
      <c r="C102" s="4" t="s">
        <v>6036</v>
      </c>
      <c r="D102" s="5" t="s">
        <v>1485</v>
      </c>
      <c r="E102" s="4" t="s">
        <v>2852</v>
      </c>
      <c r="F102" s="5" t="s">
        <v>5816</v>
      </c>
      <c r="G102" s="5" t="s">
        <v>76</v>
      </c>
      <c r="H102" s="5" t="s">
        <v>3689</v>
      </c>
      <c r="I102" s="5" t="s">
        <v>6037</v>
      </c>
      <c r="J102" s="5" t="s">
        <v>5829</v>
      </c>
      <c r="K102" s="2"/>
    </row>
    <row r="103" customFormat="1" spans="1:11">
      <c r="A103" s="4" t="s">
        <v>6038</v>
      </c>
      <c r="B103" s="4" t="s">
        <v>6039</v>
      </c>
      <c r="C103" s="4" t="s">
        <v>5646</v>
      </c>
      <c r="D103" s="5" t="s">
        <v>1485</v>
      </c>
      <c r="E103" s="4" t="s">
        <v>2852</v>
      </c>
      <c r="F103" s="5" t="s">
        <v>5816</v>
      </c>
      <c r="G103" s="5" t="s">
        <v>76</v>
      </c>
      <c r="H103" s="5" t="s">
        <v>3689</v>
      </c>
      <c r="I103" s="5" t="s">
        <v>6040</v>
      </c>
      <c r="J103" s="5" t="s">
        <v>5946</v>
      </c>
      <c r="K103" s="2"/>
    </row>
    <row r="104" customFormat="1" spans="1:11">
      <c r="A104" s="4"/>
      <c r="B104" s="4"/>
      <c r="C104" s="4"/>
      <c r="D104" s="5"/>
      <c r="E104" s="4"/>
      <c r="F104" s="5"/>
      <c r="G104" s="5"/>
      <c r="H104" s="5"/>
      <c r="I104" s="5"/>
      <c r="J104" s="5"/>
      <c r="K104" s="2"/>
    </row>
    <row r="105" customFormat="1" spans="1:11">
      <c r="A105" s="4" t="s">
        <v>6041</v>
      </c>
      <c r="B105" s="4" t="s">
        <v>660</v>
      </c>
      <c r="C105" s="4" t="s">
        <v>5828</v>
      </c>
      <c r="D105" s="5" t="s">
        <v>1485</v>
      </c>
      <c r="E105" s="4" t="s">
        <v>2852</v>
      </c>
      <c r="F105" s="5" t="s">
        <v>5816</v>
      </c>
      <c r="G105" s="5" t="s">
        <v>76</v>
      </c>
      <c r="H105" s="5" t="s">
        <v>76</v>
      </c>
      <c r="I105" s="5" t="s">
        <v>3758</v>
      </c>
      <c r="J105" s="5" t="s">
        <v>6042</v>
      </c>
      <c r="K105" s="2"/>
    </row>
    <row r="106" customFormat="1" spans="1:11">
      <c r="A106" s="4" t="s">
        <v>6043</v>
      </c>
      <c r="B106" s="4" t="s">
        <v>660</v>
      </c>
      <c r="C106" s="4" t="s">
        <v>5971</v>
      </c>
      <c r="D106" s="5" t="s">
        <v>1485</v>
      </c>
      <c r="E106" s="4" t="s">
        <v>2852</v>
      </c>
      <c r="F106" s="5" t="s">
        <v>5816</v>
      </c>
      <c r="G106" s="5" t="s">
        <v>76</v>
      </c>
      <c r="H106" s="5" t="s">
        <v>76</v>
      </c>
      <c r="I106" s="5" t="s">
        <v>3758</v>
      </c>
      <c r="J106" s="5" t="s">
        <v>6044</v>
      </c>
      <c r="K106" s="2"/>
    </row>
    <row r="107" customFormat="1" spans="1:11">
      <c r="A107" s="4" t="s">
        <v>6045</v>
      </c>
      <c r="B107" s="4" t="s">
        <v>660</v>
      </c>
      <c r="C107" s="4" t="s">
        <v>5646</v>
      </c>
      <c r="D107" s="5" t="s">
        <v>1485</v>
      </c>
      <c r="E107" s="4" t="s">
        <v>2852</v>
      </c>
      <c r="F107" s="5" t="s">
        <v>5816</v>
      </c>
      <c r="G107" s="5" t="s">
        <v>76</v>
      </c>
      <c r="H107" s="5" t="s">
        <v>76</v>
      </c>
      <c r="I107" s="5" t="s">
        <v>3758</v>
      </c>
      <c r="J107" s="5" t="s">
        <v>6046</v>
      </c>
      <c r="K107" s="2"/>
    </row>
    <row r="108" spans="1:11">
      <c r="A108" s="4"/>
      <c r="B108" s="4"/>
      <c r="C108" s="4"/>
      <c r="D108" s="5"/>
      <c r="E108" s="4"/>
      <c r="F108" s="5"/>
      <c r="G108" s="5"/>
      <c r="H108" s="5"/>
      <c r="I108" s="5"/>
      <c r="J108" s="5"/>
      <c r="K108" s="2"/>
    </row>
    <row r="109" spans="1:11">
      <c r="A109" s="4" t="s">
        <v>6047</v>
      </c>
      <c r="B109" s="4" t="s">
        <v>660</v>
      </c>
      <c r="C109" s="4" t="s">
        <v>6048</v>
      </c>
      <c r="D109" s="5" t="s">
        <v>1485</v>
      </c>
      <c r="E109" s="4" t="s">
        <v>2852</v>
      </c>
      <c r="F109" s="5">
        <v>1</v>
      </c>
      <c r="G109" s="5" t="s">
        <v>76</v>
      </c>
      <c r="H109" s="5" t="s">
        <v>76</v>
      </c>
      <c r="I109" s="5" t="s">
        <v>3758</v>
      </c>
      <c r="J109" s="5"/>
      <c r="K109" s="2"/>
    </row>
    <row r="110" customFormat="1" spans="1:11">
      <c r="A110" s="4"/>
      <c r="B110" s="4"/>
      <c r="C110" s="4"/>
      <c r="D110" s="5"/>
      <c r="E110" s="4"/>
      <c r="F110" s="5"/>
      <c r="G110" s="5"/>
      <c r="H110" s="5"/>
      <c r="I110" s="5"/>
      <c r="J110" s="5"/>
      <c r="K110" s="2"/>
    </row>
    <row r="111" spans="1:11">
      <c r="A111" s="4" t="s">
        <v>6049</v>
      </c>
      <c r="B111" s="4" t="s">
        <v>6050</v>
      </c>
      <c r="C111" s="4" t="s">
        <v>6048</v>
      </c>
      <c r="D111" s="5" t="s">
        <v>1485</v>
      </c>
      <c r="E111" s="4" t="s">
        <v>2852</v>
      </c>
      <c r="F111" s="5">
        <v>1</v>
      </c>
      <c r="G111" s="5" t="s">
        <v>76</v>
      </c>
      <c r="H111" s="5" t="s">
        <v>76</v>
      </c>
      <c r="I111" s="5" t="s">
        <v>3758</v>
      </c>
      <c r="J111" s="5"/>
      <c r="K111" s="2"/>
    </row>
    <row r="112" spans="1:11">
      <c r="A112" s="4" t="s">
        <v>6051</v>
      </c>
      <c r="B112" s="4" t="s">
        <v>6050</v>
      </c>
      <c r="C112" s="4" t="s">
        <v>6052</v>
      </c>
      <c r="D112" s="5" t="s">
        <v>1485</v>
      </c>
      <c r="E112" s="4" t="s">
        <v>2852</v>
      </c>
      <c r="F112" s="5">
        <v>1</v>
      </c>
      <c r="G112" s="5" t="s">
        <v>76</v>
      </c>
      <c r="H112" s="5" t="s">
        <v>76</v>
      </c>
      <c r="I112" s="5" t="s">
        <v>3758</v>
      </c>
      <c r="J112" s="5"/>
      <c r="K112" s="2"/>
    </row>
    <row r="113" spans="1:11">
      <c r="A113" s="4" t="s">
        <v>6053</v>
      </c>
      <c r="B113" s="4" t="s">
        <v>6050</v>
      </c>
      <c r="C113" s="4" t="s">
        <v>6054</v>
      </c>
      <c r="D113" s="5" t="s">
        <v>1485</v>
      </c>
      <c r="E113" s="4" t="s">
        <v>2852</v>
      </c>
      <c r="F113" s="5">
        <v>1</v>
      </c>
      <c r="G113" s="5" t="s">
        <v>76</v>
      </c>
      <c r="H113" s="5" t="s">
        <v>76</v>
      </c>
      <c r="I113" s="5" t="s">
        <v>3758</v>
      </c>
      <c r="J113" s="5"/>
      <c r="K113" s="2"/>
    </row>
    <row r="114" spans="1:11">
      <c r="A114" s="4" t="s">
        <v>6055</v>
      </c>
      <c r="B114" s="4" t="s">
        <v>120</v>
      </c>
      <c r="C114" s="4" t="s">
        <v>6056</v>
      </c>
      <c r="D114" s="5" t="s">
        <v>1485</v>
      </c>
      <c r="E114" s="4" t="s">
        <v>2852</v>
      </c>
      <c r="F114" s="5">
        <v>1</v>
      </c>
      <c r="G114" s="5" t="s">
        <v>76</v>
      </c>
      <c r="H114" s="5" t="s">
        <v>76</v>
      </c>
      <c r="I114" s="5" t="s">
        <v>3758</v>
      </c>
      <c r="J114" s="5"/>
      <c r="K114" s="2"/>
    </row>
    <row r="115" spans="1:11">
      <c r="A115" s="4" t="s">
        <v>6057</v>
      </c>
      <c r="B115" s="4" t="s">
        <v>137</v>
      </c>
      <c r="C115" s="4" t="s">
        <v>5894</v>
      </c>
      <c r="D115" s="5" t="s">
        <v>6002</v>
      </c>
      <c r="E115" s="4" t="s">
        <v>2852</v>
      </c>
      <c r="F115" s="5">
        <v>1</v>
      </c>
      <c r="G115" s="5" t="s">
        <v>76</v>
      </c>
      <c r="H115" s="5" t="s">
        <v>76</v>
      </c>
      <c r="I115" s="5" t="s">
        <v>3758</v>
      </c>
      <c r="J115" s="5"/>
      <c r="K115" s="2"/>
    </row>
    <row r="116" spans="1:11">
      <c r="A116" s="4" t="s">
        <v>6058</v>
      </c>
      <c r="B116" s="4" t="s">
        <v>137</v>
      </c>
      <c r="C116" s="4" t="s">
        <v>5904</v>
      </c>
      <c r="D116" s="5" t="s">
        <v>6002</v>
      </c>
      <c r="E116" s="4" t="s">
        <v>2852</v>
      </c>
      <c r="F116" s="5">
        <v>3</v>
      </c>
      <c r="G116" s="5" t="s">
        <v>76</v>
      </c>
      <c r="H116" s="5" t="s">
        <v>76</v>
      </c>
      <c r="I116" s="5" t="s">
        <v>3758</v>
      </c>
      <c r="J116" s="5"/>
      <c r="K116" s="2"/>
    </row>
    <row r="117" customFormat="1" spans="1:11">
      <c r="A117" s="4" t="s">
        <v>6059</v>
      </c>
      <c r="B117" s="4" t="s">
        <v>137</v>
      </c>
      <c r="C117" s="4" t="s">
        <v>1943</v>
      </c>
      <c r="D117" s="5" t="s">
        <v>6002</v>
      </c>
      <c r="E117" s="4" t="s">
        <v>2852</v>
      </c>
      <c r="F117" s="5">
        <v>2</v>
      </c>
      <c r="G117" s="5" t="s">
        <v>76</v>
      </c>
      <c r="H117" s="5" t="s">
        <v>76</v>
      </c>
      <c r="I117" s="5" t="s">
        <v>3758</v>
      </c>
      <c r="J117" s="5"/>
      <c r="K117" s="2"/>
    </row>
    <row r="118" spans="1:10">
      <c r="A118" s="4" t="s">
        <v>6060</v>
      </c>
      <c r="B118" s="4" t="s">
        <v>137</v>
      </c>
      <c r="C118" s="4" t="s">
        <v>5894</v>
      </c>
      <c r="D118" s="5" t="s">
        <v>6002</v>
      </c>
      <c r="E118" s="4" t="s">
        <v>2852</v>
      </c>
      <c r="F118" s="5">
        <v>2</v>
      </c>
      <c r="G118" s="5" t="s">
        <v>76</v>
      </c>
      <c r="H118" s="5" t="s">
        <v>76</v>
      </c>
      <c r="I118" s="5" t="s">
        <v>3758</v>
      </c>
      <c r="J118" s="4"/>
    </row>
    <row r="119" customFormat="1" spans="1:10">
      <c r="A119" s="4"/>
      <c r="B119" s="4"/>
      <c r="C119" s="4"/>
      <c r="D119" s="5"/>
      <c r="E119" s="4"/>
      <c r="F119" s="5"/>
      <c r="G119" s="5" t="s">
        <v>76</v>
      </c>
      <c r="H119" s="5" t="s">
        <v>76</v>
      </c>
      <c r="I119" s="5" t="s">
        <v>3758</v>
      </c>
      <c r="J119" s="4"/>
    </row>
    <row r="120" spans="1:11">
      <c r="A120" s="4" t="s">
        <v>6061</v>
      </c>
      <c r="B120" s="4" t="s">
        <v>657</v>
      </c>
      <c r="C120" s="4" t="s">
        <v>6062</v>
      </c>
      <c r="D120" s="5" t="s">
        <v>1485</v>
      </c>
      <c r="E120" s="4" t="s">
        <v>6063</v>
      </c>
      <c r="F120" s="5">
        <v>1</v>
      </c>
      <c r="G120" s="5" t="s">
        <v>76</v>
      </c>
      <c r="H120" s="5" t="s">
        <v>76</v>
      </c>
      <c r="I120" s="5" t="s">
        <v>3758</v>
      </c>
      <c r="J120" s="5"/>
      <c r="K120" s="2"/>
    </row>
    <row r="121" spans="1:11">
      <c r="A121" s="4" t="s">
        <v>6064</v>
      </c>
      <c r="B121" s="4" t="s">
        <v>6065</v>
      </c>
      <c r="C121" s="4" t="s">
        <v>6056</v>
      </c>
      <c r="D121" s="5" t="s">
        <v>1485</v>
      </c>
      <c r="E121" s="4" t="s">
        <v>6063</v>
      </c>
      <c r="F121" s="5">
        <v>1</v>
      </c>
      <c r="G121" s="5" t="s">
        <v>76</v>
      </c>
      <c r="H121" s="5" t="s">
        <v>76</v>
      </c>
      <c r="I121" s="5" t="s">
        <v>3758</v>
      </c>
      <c r="J121" s="5"/>
      <c r="K121" s="2"/>
    </row>
    <row r="122" spans="1:11">
      <c r="A122" s="4" t="s">
        <v>6066</v>
      </c>
      <c r="B122" s="4" t="s">
        <v>6067</v>
      </c>
      <c r="C122" s="4" t="s">
        <v>6068</v>
      </c>
      <c r="D122" s="5" t="s">
        <v>1485</v>
      </c>
      <c r="E122" s="4" t="s">
        <v>6063</v>
      </c>
      <c r="F122" s="5">
        <v>1</v>
      </c>
      <c r="G122" s="5" t="s">
        <v>76</v>
      </c>
      <c r="H122" s="5" t="s">
        <v>76</v>
      </c>
      <c r="I122" s="5" t="s">
        <v>3758</v>
      </c>
      <c r="J122" s="5"/>
      <c r="K122" s="2"/>
    </row>
    <row r="123" spans="1:11">
      <c r="A123" s="4" t="s">
        <v>6069</v>
      </c>
      <c r="B123" s="4" t="s">
        <v>6070</v>
      </c>
      <c r="C123" s="4" t="s">
        <v>6056</v>
      </c>
      <c r="D123" s="5" t="s">
        <v>1485</v>
      </c>
      <c r="E123" s="4" t="s">
        <v>6063</v>
      </c>
      <c r="F123" s="5">
        <v>1</v>
      </c>
      <c r="G123" s="5" t="s">
        <v>76</v>
      </c>
      <c r="H123" s="5" t="s">
        <v>76</v>
      </c>
      <c r="I123" s="5" t="s">
        <v>3758</v>
      </c>
      <c r="J123" s="5"/>
      <c r="K123" s="2"/>
    </row>
    <row r="124" spans="1:11">
      <c r="A124" s="4" t="s">
        <v>6071</v>
      </c>
      <c r="B124" s="4" t="s">
        <v>6072</v>
      </c>
      <c r="C124" s="4" t="s">
        <v>6068</v>
      </c>
      <c r="D124" s="5" t="s">
        <v>1485</v>
      </c>
      <c r="E124" s="4" t="s">
        <v>6063</v>
      </c>
      <c r="F124" s="5">
        <v>1</v>
      </c>
      <c r="G124" s="5" t="s">
        <v>76</v>
      </c>
      <c r="H124" s="5" t="s">
        <v>76</v>
      </c>
      <c r="I124" s="5" t="s">
        <v>3758</v>
      </c>
      <c r="J124" s="5"/>
      <c r="K124" s="2"/>
    </row>
    <row r="125" spans="1:11">
      <c r="A125" s="4" t="s">
        <v>6073</v>
      </c>
      <c r="B125" s="4" t="s">
        <v>6065</v>
      </c>
      <c r="C125" s="4" t="s">
        <v>6074</v>
      </c>
      <c r="D125" s="5" t="s">
        <v>1485</v>
      </c>
      <c r="E125" s="4" t="s">
        <v>6063</v>
      </c>
      <c r="F125" s="5">
        <v>1</v>
      </c>
      <c r="G125" s="5" t="s">
        <v>76</v>
      </c>
      <c r="H125" s="5" t="s">
        <v>76</v>
      </c>
      <c r="I125" s="5" t="s">
        <v>3758</v>
      </c>
      <c r="J125" s="5"/>
      <c r="K125" s="2"/>
    </row>
    <row r="126" spans="1:11">
      <c r="A126" s="4" t="s">
        <v>6075</v>
      </c>
      <c r="B126" s="4" t="s">
        <v>6065</v>
      </c>
      <c r="C126" s="4" t="s">
        <v>6076</v>
      </c>
      <c r="D126" s="5" t="s">
        <v>1485</v>
      </c>
      <c r="E126" s="4" t="s">
        <v>6063</v>
      </c>
      <c r="F126" s="5" t="s">
        <v>5816</v>
      </c>
      <c r="G126" s="5" t="s">
        <v>76</v>
      </c>
      <c r="H126" s="5" t="s">
        <v>76</v>
      </c>
      <c r="I126" s="5" t="s">
        <v>3758</v>
      </c>
      <c r="J126" s="5"/>
      <c r="K126" s="2"/>
    </row>
    <row r="127" customFormat="1" spans="1:11">
      <c r="A127" s="4" t="s">
        <v>6077</v>
      </c>
      <c r="B127" s="4" t="s">
        <v>120</v>
      </c>
      <c r="C127" s="4" t="s">
        <v>6068</v>
      </c>
      <c r="D127" s="5" t="s">
        <v>1485</v>
      </c>
      <c r="E127" s="4" t="s">
        <v>6063</v>
      </c>
      <c r="F127" s="5" t="s">
        <v>5816</v>
      </c>
      <c r="G127" s="5" t="s">
        <v>76</v>
      </c>
      <c r="H127" s="5" t="s">
        <v>76</v>
      </c>
      <c r="I127" s="5" t="s">
        <v>3758</v>
      </c>
      <c r="J127" s="5"/>
      <c r="K127" s="2"/>
    </row>
    <row r="128" customFormat="1" spans="1:11">
      <c r="A128" s="4" t="s">
        <v>6078</v>
      </c>
      <c r="B128" s="4" t="s">
        <v>6067</v>
      </c>
      <c r="C128" s="4" t="s">
        <v>6048</v>
      </c>
      <c r="D128" s="5" t="s">
        <v>1485</v>
      </c>
      <c r="E128" s="4" t="s">
        <v>6063</v>
      </c>
      <c r="F128" s="5" t="s">
        <v>5816</v>
      </c>
      <c r="G128" s="5" t="s">
        <v>76</v>
      </c>
      <c r="H128" s="5" t="s">
        <v>76</v>
      </c>
      <c r="I128" s="5" t="s">
        <v>3758</v>
      </c>
      <c r="J128" s="5"/>
      <c r="K128" s="2"/>
    </row>
    <row r="129" customFormat="1" spans="1:11">
      <c r="A129" s="4" t="s">
        <v>6079</v>
      </c>
      <c r="B129" s="4" t="s">
        <v>6067</v>
      </c>
      <c r="C129" s="4" t="s">
        <v>6080</v>
      </c>
      <c r="D129" s="5" t="s">
        <v>1485</v>
      </c>
      <c r="E129" s="4" t="s">
        <v>6063</v>
      </c>
      <c r="F129" s="5" t="s">
        <v>5816</v>
      </c>
      <c r="G129" s="5" t="s">
        <v>76</v>
      </c>
      <c r="H129" s="5" t="s">
        <v>76</v>
      </c>
      <c r="I129" s="5" t="s">
        <v>3758</v>
      </c>
      <c r="J129" s="5"/>
      <c r="K129" s="2"/>
    </row>
    <row r="130" customFormat="1" spans="1:11">
      <c r="A130" s="4" t="s">
        <v>6081</v>
      </c>
      <c r="B130" s="4" t="s">
        <v>6065</v>
      </c>
      <c r="C130" s="4" t="s">
        <v>6082</v>
      </c>
      <c r="D130" s="5" t="s">
        <v>1485</v>
      </c>
      <c r="E130" s="4" t="s">
        <v>6063</v>
      </c>
      <c r="F130" s="5">
        <v>1</v>
      </c>
      <c r="G130" s="5" t="s">
        <v>76</v>
      </c>
      <c r="H130" s="5" t="s">
        <v>76</v>
      </c>
      <c r="I130" s="5" t="s">
        <v>3758</v>
      </c>
      <c r="J130" s="5"/>
      <c r="K130" s="2"/>
    </row>
    <row r="131" spans="1:11">
      <c r="A131" s="4" t="s">
        <v>6083</v>
      </c>
      <c r="B131" s="4" t="s">
        <v>661</v>
      </c>
      <c r="C131" s="4" t="s">
        <v>6054</v>
      </c>
      <c r="D131" s="5" t="s">
        <v>1485</v>
      </c>
      <c r="E131" s="4" t="s">
        <v>6063</v>
      </c>
      <c r="F131" s="5" t="s">
        <v>5816</v>
      </c>
      <c r="G131" s="5" t="s">
        <v>76</v>
      </c>
      <c r="H131" s="5" t="s">
        <v>76</v>
      </c>
      <c r="I131" s="5" t="s">
        <v>3758</v>
      </c>
      <c r="J131" s="5"/>
      <c r="K131" s="2"/>
    </row>
    <row r="132" spans="1:11">
      <c r="A132" s="4" t="s">
        <v>6084</v>
      </c>
      <c r="B132" s="4" t="s">
        <v>6085</v>
      </c>
      <c r="C132" s="4" t="s">
        <v>6086</v>
      </c>
      <c r="D132" s="5" t="s">
        <v>1485</v>
      </c>
      <c r="E132" s="4" t="s">
        <v>2852</v>
      </c>
      <c r="F132" s="5" t="s">
        <v>5816</v>
      </c>
      <c r="G132" s="5" t="s">
        <v>76</v>
      </c>
      <c r="H132" s="5" t="s">
        <v>76</v>
      </c>
      <c r="I132" s="5" t="s">
        <v>3758</v>
      </c>
      <c r="J132" s="5"/>
      <c r="K132" s="2"/>
    </row>
    <row r="133" spans="1:11">
      <c r="A133" s="4"/>
      <c r="B133" s="4"/>
      <c r="C133" s="4"/>
      <c r="D133" s="5"/>
      <c r="E133" s="4"/>
      <c r="F133" s="5"/>
      <c r="G133" s="5"/>
      <c r="H133" s="5"/>
      <c r="I133" s="5"/>
      <c r="J133" s="5"/>
      <c r="K133" s="2"/>
    </row>
    <row r="134" customFormat="1" spans="1:11">
      <c r="A134" s="4"/>
      <c r="B134" s="4"/>
      <c r="C134" s="4"/>
      <c r="D134" s="5"/>
      <c r="E134" s="4"/>
      <c r="F134" s="5"/>
      <c r="G134" s="5"/>
      <c r="H134" s="5"/>
      <c r="I134" s="5"/>
      <c r="J134" s="5"/>
      <c r="K134" s="2"/>
    </row>
    <row r="135" customFormat="1" spans="1:11">
      <c r="A135" s="4" t="s">
        <v>6087</v>
      </c>
      <c r="B135" s="4" t="s">
        <v>642</v>
      </c>
      <c r="C135" s="4" t="s">
        <v>1943</v>
      </c>
      <c r="D135" s="5" t="s">
        <v>5909</v>
      </c>
      <c r="E135" s="4" t="s">
        <v>2852</v>
      </c>
      <c r="F135" s="5" t="s">
        <v>5866</v>
      </c>
      <c r="G135" s="5" t="s">
        <v>6088</v>
      </c>
      <c r="H135" s="5" t="s">
        <v>5888</v>
      </c>
      <c r="I135" s="5" t="s">
        <v>5820</v>
      </c>
      <c r="J135" s="5" t="s">
        <v>6089</v>
      </c>
      <c r="K135" s="2"/>
    </row>
    <row r="136" customFormat="1" spans="1:11">
      <c r="A136" s="4" t="s">
        <v>6090</v>
      </c>
      <c r="B136" s="4" t="s">
        <v>642</v>
      </c>
      <c r="C136" s="4" t="s">
        <v>6091</v>
      </c>
      <c r="D136" s="5" t="s">
        <v>5909</v>
      </c>
      <c r="E136" s="4" t="s">
        <v>2852</v>
      </c>
      <c r="F136" s="5" t="s">
        <v>6092</v>
      </c>
      <c r="G136" s="5" t="s">
        <v>5816</v>
      </c>
      <c r="H136" s="5" t="s">
        <v>3689</v>
      </c>
      <c r="I136" s="5" t="s">
        <v>5820</v>
      </c>
      <c r="J136" s="5" t="s">
        <v>6093</v>
      </c>
      <c r="K136" s="2"/>
    </row>
    <row r="137" customFormat="1" spans="1:11">
      <c r="A137" s="4" t="s">
        <v>6094</v>
      </c>
      <c r="B137" s="4" t="s">
        <v>120</v>
      </c>
      <c r="C137" s="4" t="s">
        <v>5908</v>
      </c>
      <c r="D137" s="5" t="s">
        <v>1485</v>
      </c>
      <c r="E137" s="4" t="s">
        <v>2852</v>
      </c>
      <c r="F137" s="5" t="s">
        <v>5816</v>
      </c>
      <c r="G137" s="5" t="s">
        <v>5816</v>
      </c>
      <c r="H137" s="5" t="s">
        <v>6095</v>
      </c>
      <c r="I137" s="5" t="s">
        <v>5820</v>
      </c>
      <c r="J137" s="5" t="s">
        <v>6096</v>
      </c>
      <c r="K137" s="2"/>
    </row>
    <row r="138" customFormat="1" spans="1:11">
      <c r="A138" s="4" t="s">
        <v>6097</v>
      </c>
      <c r="B138" s="4" t="s">
        <v>6098</v>
      </c>
      <c r="C138" s="4" t="s">
        <v>5646</v>
      </c>
      <c r="D138" s="5" t="s">
        <v>1485</v>
      </c>
      <c r="E138" s="4" t="s">
        <v>2852</v>
      </c>
      <c r="F138" s="5" t="s">
        <v>5816</v>
      </c>
      <c r="G138" s="5" t="s">
        <v>5816</v>
      </c>
      <c r="H138" s="5" t="s">
        <v>6095</v>
      </c>
      <c r="I138" s="5" t="s">
        <v>5820</v>
      </c>
      <c r="J138" s="5" t="s">
        <v>6099</v>
      </c>
      <c r="K138" s="2"/>
    </row>
    <row r="139" customFormat="1" spans="1:11">
      <c r="A139" s="4" t="s">
        <v>6100</v>
      </c>
      <c r="B139" s="4" t="s">
        <v>133</v>
      </c>
      <c r="C139" s="4" t="s">
        <v>1951</v>
      </c>
      <c r="D139" s="5" t="s">
        <v>5909</v>
      </c>
      <c r="E139" s="4" t="s">
        <v>2852</v>
      </c>
      <c r="F139" s="5" t="s">
        <v>5866</v>
      </c>
      <c r="G139" s="5" t="s">
        <v>5816</v>
      </c>
      <c r="H139" s="5" t="s">
        <v>3689</v>
      </c>
      <c r="I139" s="5" t="s">
        <v>5820</v>
      </c>
      <c r="J139" s="5" t="s">
        <v>6101</v>
      </c>
      <c r="K139" s="2"/>
    </row>
    <row r="140" customFormat="1" spans="1:11">
      <c r="A140" s="4" t="s">
        <v>6102</v>
      </c>
      <c r="B140" s="4" t="s">
        <v>133</v>
      </c>
      <c r="C140" s="4" t="s">
        <v>1943</v>
      </c>
      <c r="D140" s="5" t="s">
        <v>338</v>
      </c>
      <c r="E140" s="4" t="s">
        <v>2852</v>
      </c>
      <c r="F140" s="5" t="s">
        <v>5816</v>
      </c>
      <c r="G140" s="5" t="s">
        <v>5816</v>
      </c>
      <c r="H140" s="5" t="s">
        <v>3689</v>
      </c>
      <c r="I140" s="5" t="s">
        <v>5820</v>
      </c>
      <c r="J140" s="5" t="s">
        <v>6103</v>
      </c>
      <c r="K140" s="2"/>
    </row>
    <row r="141" customFormat="1" spans="1:11">
      <c r="A141" s="4" t="s">
        <v>6104</v>
      </c>
      <c r="B141" s="4" t="s">
        <v>133</v>
      </c>
      <c r="C141" s="4" t="s">
        <v>6105</v>
      </c>
      <c r="D141" s="5" t="s">
        <v>6106</v>
      </c>
      <c r="E141" s="4" t="s">
        <v>2852</v>
      </c>
      <c r="F141" s="5" t="s">
        <v>5816</v>
      </c>
      <c r="G141" s="5" t="s">
        <v>5816</v>
      </c>
      <c r="H141" s="5" t="s">
        <v>3689</v>
      </c>
      <c r="I141" s="5" t="s">
        <v>5820</v>
      </c>
      <c r="J141" s="5" t="s">
        <v>6107</v>
      </c>
      <c r="K141" s="2"/>
    </row>
    <row r="142" customFormat="1" spans="1:11">
      <c r="A142" s="4"/>
      <c r="B142" s="4"/>
      <c r="C142" s="4"/>
      <c r="D142" s="5"/>
      <c r="E142" s="4"/>
      <c r="F142" s="5"/>
      <c r="G142" s="5"/>
      <c r="H142" s="5"/>
      <c r="I142" s="5"/>
      <c r="J142" s="5"/>
      <c r="K142" s="2"/>
    </row>
    <row r="143" customFormat="1" spans="1:11">
      <c r="A143" s="4" t="s">
        <v>6108</v>
      </c>
      <c r="B143" s="4" t="s">
        <v>660</v>
      </c>
      <c r="C143" s="4" t="s">
        <v>1959</v>
      </c>
      <c r="D143" s="5" t="s">
        <v>1485</v>
      </c>
      <c r="E143" s="4" t="s">
        <v>2852</v>
      </c>
      <c r="F143" s="5" t="s">
        <v>5816</v>
      </c>
      <c r="G143" s="5" t="s">
        <v>6109</v>
      </c>
      <c r="H143" s="5" t="s">
        <v>6109</v>
      </c>
      <c r="I143" s="5" t="s">
        <v>5820</v>
      </c>
      <c r="J143" s="5"/>
      <c r="K143" s="2"/>
    </row>
    <row r="144" customFormat="1" spans="1:11">
      <c r="A144" s="4" t="s">
        <v>6110</v>
      </c>
      <c r="B144" s="4" t="s">
        <v>660</v>
      </c>
      <c r="C144" s="4" t="s">
        <v>5978</v>
      </c>
      <c r="D144" s="5" t="s">
        <v>1485</v>
      </c>
      <c r="E144" s="4" t="s">
        <v>2852</v>
      </c>
      <c r="F144" s="5" t="s">
        <v>5816</v>
      </c>
      <c r="G144" s="5" t="s">
        <v>6109</v>
      </c>
      <c r="H144" s="5" t="s">
        <v>6109</v>
      </c>
      <c r="I144" s="5" t="s">
        <v>5820</v>
      </c>
      <c r="J144" s="5"/>
      <c r="K144" s="2"/>
    </row>
    <row r="145" customFormat="1" spans="1:11">
      <c r="A145" s="4" t="s">
        <v>6111</v>
      </c>
      <c r="B145" s="4" t="s">
        <v>660</v>
      </c>
      <c r="C145" s="4" t="s">
        <v>5938</v>
      </c>
      <c r="D145" s="5" t="s">
        <v>1485</v>
      </c>
      <c r="E145" s="4" t="s">
        <v>2852</v>
      </c>
      <c r="F145" s="5" t="s">
        <v>5816</v>
      </c>
      <c r="G145" s="5" t="s">
        <v>6109</v>
      </c>
      <c r="H145" s="5" t="s">
        <v>6109</v>
      </c>
      <c r="I145" s="5" t="s">
        <v>5820</v>
      </c>
      <c r="J145" s="5"/>
      <c r="K145" s="2"/>
    </row>
    <row r="146" ht="56" spans="1:11">
      <c r="A146" s="4" t="s">
        <v>6112</v>
      </c>
      <c r="B146" s="4" t="s">
        <v>660</v>
      </c>
      <c r="C146" s="4" t="s">
        <v>6113</v>
      </c>
      <c r="D146" s="5" t="s">
        <v>1485</v>
      </c>
      <c r="E146" s="4" t="s">
        <v>2852</v>
      </c>
      <c r="F146" s="5" t="s">
        <v>5850</v>
      </c>
      <c r="G146" s="5" t="s">
        <v>6109</v>
      </c>
      <c r="H146" s="5" t="s">
        <v>6109</v>
      </c>
      <c r="I146" s="5" t="s">
        <v>5820</v>
      </c>
      <c r="J146" s="5"/>
      <c r="K146" s="7" t="s">
        <v>6114</v>
      </c>
    </row>
    <row r="147" spans="1:11">
      <c r="A147" s="4" t="s">
        <v>6115</v>
      </c>
      <c r="B147" s="4" t="s">
        <v>660</v>
      </c>
      <c r="C147" s="4" t="s">
        <v>6068</v>
      </c>
      <c r="D147" s="5" t="s">
        <v>1485</v>
      </c>
      <c r="E147" s="4" t="s">
        <v>2852</v>
      </c>
      <c r="F147" s="5" t="s">
        <v>3898</v>
      </c>
      <c r="G147" s="5" t="s">
        <v>6109</v>
      </c>
      <c r="H147" s="5" t="s">
        <v>6109</v>
      </c>
      <c r="I147" s="5" t="s">
        <v>5820</v>
      </c>
      <c r="J147" s="5"/>
      <c r="K147" s="2" t="s">
        <v>6116</v>
      </c>
    </row>
    <row r="148" spans="1:11">
      <c r="A148" s="4" t="s">
        <v>6117</v>
      </c>
      <c r="B148" s="4" t="s">
        <v>659</v>
      </c>
      <c r="C148" s="4" t="s">
        <v>6118</v>
      </c>
      <c r="D148" s="5" t="s">
        <v>1485</v>
      </c>
      <c r="E148" s="4" t="s">
        <v>2852</v>
      </c>
      <c r="F148" s="5" t="s">
        <v>5816</v>
      </c>
      <c r="G148" s="5" t="s">
        <v>6109</v>
      </c>
      <c r="H148" s="5" t="s">
        <v>6109</v>
      </c>
      <c r="I148" s="5" t="s">
        <v>5820</v>
      </c>
      <c r="J148" s="5"/>
      <c r="K148" s="2" t="s">
        <v>6119</v>
      </c>
    </row>
    <row r="149" spans="1:11">
      <c r="A149" s="4" t="s">
        <v>6120</v>
      </c>
      <c r="B149" s="4" t="s">
        <v>659</v>
      </c>
      <c r="C149" s="4" t="s">
        <v>6074</v>
      </c>
      <c r="D149" s="5" t="s">
        <v>1485</v>
      </c>
      <c r="E149" s="4" t="s">
        <v>2852</v>
      </c>
      <c r="F149" s="5" t="s">
        <v>5816</v>
      </c>
      <c r="G149" s="5" t="s">
        <v>6109</v>
      </c>
      <c r="H149" s="5" t="s">
        <v>6109</v>
      </c>
      <c r="I149" s="5" t="s">
        <v>5820</v>
      </c>
      <c r="J149" s="5"/>
      <c r="K149" s="2" t="s">
        <v>6121</v>
      </c>
    </row>
    <row r="150" customFormat="1" spans="1:11">
      <c r="A150" s="4" t="s">
        <v>6122</v>
      </c>
      <c r="B150" s="4" t="s">
        <v>677</v>
      </c>
      <c r="C150" s="4" t="s">
        <v>6123</v>
      </c>
      <c r="D150" s="5" t="s">
        <v>1485</v>
      </c>
      <c r="E150" s="4" t="s">
        <v>2852</v>
      </c>
      <c r="F150" s="5" t="s">
        <v>3898</v>
      </c>
      <c r="G150" s="5" t="s">
        <v>6109</v>
      </c>
      <c r="H150" s="5" t="s">
        <v>6109</v>
      </c>
      <c r="I150" s="5" t="s">
        <v>5820</v>
      </c>
      <c r="J150" s="5"/>
      <c r="K150" s="2" t="s">
        <v>6124</v>
      </c>
    </row>
    <row r="151" customFormat="1" spans="1:11">
      <c r="A151" s="4" t="s">
        <v>6125</v>
      </c>
      <c r="B151" s="4" t="s">
        <v>677</v>
      </c>
      <c r="C151" s="4" t="s">
        <v>6048</v>
      </c>
      <c r="D151" s="5" t="s">
        <v>1485</v>
      </c>
      <c r="E151" s="4" t="s">
        <v>2852</v>
      </c>
      <c r="F151" s="5" t="s">
        <v>5816</v>
      </c>
      <c r="G151" s="5" t="s">
        <v>6109</v>
      </c>
      <c r="H151" s="5" t="s">
        <v>6109</v>
      </c>
      <c r="I151" s="5" t="s">
        <v>5820</v>
      </c>
      <c r="J151" s="5"/>
      <c r="K151" s="2" t="s">
        <v>6126</v>
      </c>
    </row>
    <row r="152" customFormat="1" spans="1:11">
      <c r="A152" s="4" t="s">
        <v>6127</v>
      </c>
      <c r="B152" s="4" t="s">
        <v>6098</v>
      </c>
      <c r="C152" s="4" t="s">
        <v>6054</v>
      </c>
      <c r="D152" s="5" t="s">
        <v>1485</v>
      </c>
      <c r="E152" s="4" t="s">
        <v>2852</v>
      </c>
      <c r="F152" s="5" t="s">
        <v>5816</v>
      </c>
      <c r="G152" s="5" t="s">
        <v>6109</v>
      </c>
      <c r="H152" s="5" t="s">
        <v>6109</v>
      </c>
      <c r="I152" s="5" t="s">
        <v>5820</v>
      </c>
      <c r="J152" s="5"/>
      <c r="K152" s="2" t="s">
        <v>6128</v>
      </c>
    </row>
    <row r="153" customFormat="1" spans="1:11">
      <c r="A153" s="4" t="s">
        <v>6129</v>
      </c>
      <c r="B153" s="4" t="s">
        <v>677</v>
      </c>
      <c r="C153" s="4" t="s">
        <v>6130</v>
      </c>
      <c r="D153" s="5" t="s">
        <v>1485</v>
      </c>
      <c r="E153" s="4" t="s">
        <v>2852</v>
      </c>
      <c r="F153" s="5" t="s">
        <v>3898</v>
      </c>
      <c r="G153" s="5" t="s">
        <v>6109</v>
      </c>
      <c r="H153" s="5" t="s">
        <v>6109</v>
      </c>
      <c r="I153" s="5" t="s">
        <v>5820</v>
      </c>
      <c r="J153" s="5"/>
      <c r="K153" s="2" t="s">
        <v>6131</v>
      </c>
    </row>
    <row r="154" spans="1:11">
      <c r="A154" s="4"/>
      <c r="B154" s="4"/>
      <c r="C154" s="4"/>
      <c r="D154" s="5"/>
      <c r="E154" s="4"/>
      <c r="F154" s="5"/>
      <c r="G154" s="5" t="s">
        <v>6109</v>
      </c>
      <c r="H154" s="5" t="s">
        <v>6109</v>
      </c>
      <c r="I154" s="5" t="s">
        <v>5820</v>
      </c>
      <c r="J154" s="5"/>
      <c r="K154" s="2"/>
    </row>
    <row r="155" customFormat="1" spans="1:11">
      <c r="A155" s="4" t="s">
        <v>6132</v>
      </c>
      <c r="B155" s="4" t="s">
        <v>660</v>
      </c>
      <c r="C155" s="4" t="s">
        <v>6054</v>
      </c>
      <c r="D155" s="5" t="s">
        <v>1485</v>
      </c>
      <c r="E155" s="4"/>
      <c r="F155" s="5"/>
      <c r="G155" s="5" t="s">
        <v>6109</v>
      </c>
      <c r="H155" s="5" t="s">
        <v>6109</v>
      </c>
      <c r="I155" s="5" t="s">
        <v>5820</v>
      </c>
      <c r="J155" s="5"/>
      <c r="K155" s="2" t="s">
        <v>6133</v>
      </c>
    </row>
    <row r="156" customFormat="1" spans="1:11">
      <c r="A156" s="4" t="s">
        <v>6134</v>
      </c>
      <c r="B156" s="4" t="s">
        <v>660</v>
      </c>
      <c r="C156" s="4" t="s">
        <v>6135</v>
      </c>
      <c r="D156" s="5" t="s">
        <v>1485</v>
      </c>
      <c r="E156" s="4" t="s">
        <v>2852</v>
      </c>
      <c r="F156" s="5"/>
      <c r="G156" s="5" t="s">
        <v>6109</v>
      </c>
      <c r="H156" s="5" t="s">
        <v>6109</v>
      </c>
      <c r="I156" s="5" t="s">
        <v>5820</v>
      </c>
      <c r="J156" s="5"/>
      <c r="K156" s="2" t="s">
        <v>6136</v>
      </c>
    </row>
    <row r="157" customFormat="1" spans="1:11">
      <c r="A157" s="4" t="s">
        <v>6137</v>
      </c>
      <c r="B157" s="4" t="s">
        <v>6138</v>
      </c>
      <c r="C157" s="4" t="s">
        <v>6139</v>
      </c>
      <c r="D157" s="5" t="s">
        <v>1485</v>
      </c>
      <c r="E157" s="4" t="s">
        <v>210</v>
      </c>
      <c r="F157" s="5"/>
      <c r="G157" s="5" t="s">
        <v>6109</v>
      </c>
      <c r="H157" s="5" t="s">
        <v>6109</v>
      </c>
      <c r="I157" s="5" t="s">
        <v>5820</v>
      </c>
      <c r="J157" s="5"/>
      <c r="K157" s="2" t="s">
        <v>6140</v>
      </c>
    </row>
    <row r="158" customFormat="1" spans="1:11">
      <c r="A158" s="4" t="s">
        <v>6141</v>
      </c>
      <c r="B158" s="4" t="s">
        <v>6138</v>
      </c>
      <c r="C158" s="4" t="s">
        <v>6068</v>
      </c>
      <c r="D158" s="5" t="s">
        <v>1485</v>
      </c>
      <c r="E158" s="4" t="s">
        <v>210</v>
      </c>
      <c r="F158" s="5" t="s">
        <v>6088</v>
      </c>
      <c r="G158" s="5" t="s">
        <v>6109</v>
      </c>
      <c r="H158" s="5" t="s">
        <v>6109</v>
      </c>
      <c r="I158" s="5" t="s">
        <v>5820</v>
      </c>
      <c r="J158" s="5"/>
      <c r="K158" s="2" t="s">
        <v>6142</v>
      </c>
    </row>
    <row r="159" customFormat="1" spans="1:11">
      <c r="A159" s="4" t="s">
        <v>6143</v>
      </c>
      <c r="B159" s="4" t="s">
        <v>120</v>
      </c>
      <c r="C159" s="4" t="s">
        <v>6056</v>
      </c>
      <c r="D159" s="5"/>
      <c r="E159" s="4" t="s">
        <v>210</v>
      </c>
      <c r="F159" s="5" t="s">
        <v>3898</v>
      </c>
      <c r="G159" s="5" t="s">
        <v>6109</v>
      </c>
      <c r="H159" s="5" t="s">
        <v>6109</v>
      </c>
      <c r="I159" s="5" t="s">
        <v>5820</v>
      </c>
      <c r="J159" s="5"/>
      <c r="K159" s="2" t="s">
        <v>6144</v>
      </c>
    </row>
    <row r="160" customFormat="1" ht="42.35" customHeight="1" spans="1:11">
      <c r="A160" s="4" t="s">
        <v>6145</v>
      </c>
      <c r="B160" s="4" t="s">
        <v>6070</v>
      </c>
      <c r="C160" s="4" t="s">
        <v>6146</v>
      </c>
      <c r="D160" s="5" t="s">
        <v>6147</v>
      </c>
      <c r="E160" s="4" t="s">
        <v>2852</v>
      </c>
      <c r="F160" s="5" t="s">
        <v>5816</v>
      </c>
      <c r="G160" s="5" t="s">
        <v>6109</v>
      </c>
      <c r="H160" s="5" t="s">
        <v>6109</v>
      </c>
      <c r="I160" s="5" t="s">
        <v>5820</v>
      </c>
      <c r="J160" s="5"/>
      <c r="K160" s="2" t="s">
        <v>6148</v>
      </c>
    </row>
    <row r="161" customFormat="1" spans="1:11">
      <c r="A161" s="4" t="s">
        <v>6149</v>
      </c>
      <c r="B161" s="4" t="s">
        <v>677</v>
      </c>
      <c r="C161" s="4" t="s">
        <v>6048</v>
      </c>
      <c r="D161" s="5" t="s">
        <v>1485</v>
      </c>
      <c r="E161" s="4" t="s">
        <v>2852</v>
      </c>
      <c r="F161" s="5" t="s">
        <v>3898</v>
      </c>
      <c r="G161" s="5" t="s">
        <v>6109</v>
      </c>
      <c r="H161" s="5" t="s">
        <v>6109</v>
      </c>
      <c r="I161" s="5" t="s">
        <v>5820</v>
      </c>
      <c r="J161" s="5"/>
      <c r="K161" s="2" t="s">
        <v>6150</v>
      </c>
    </row>
    <row r="162" customFormat="1" spans="1:11">
      <c r="A162" s="4" t="s">
        <v>6151</v>
      </c>
      <c r="B162" s="4" t="s">
        <v>120</v>
      </c>
      <c r="C162" s="4" t="s">
        <v>6152</v>
      </c>
      <c r="D162" s="5" t="s">
        <v>1485</v>
      </c>
      <c r="E162" s="4" t="s">
        <v>210</v>
      </c>
      <c r="F162" s="5" t="s">
        <v>5816</v>
      </c>
      <c r="G162" s="5" t="s">
        <v>6109</v>
      </c>
      <c r="H162" s="5" t="s">
        <v>6109</v>
      </c>
      <c r="I162" s="5" t="s">
        <v>5820</v>
      </c>
      <c r="J162" s="5"/>
      <c r="K162" s="2" t="s">
        <v>6153</v>
      </c>
    </row>
    <row r="163" customFormat="1" spans="1:11">
      <c r="A163" s="4" t="s">
        <v>6154</v>
      </c>
      <c r="B163" s="4" t="s">
        <v>120</v>
      </c>
      <c r="C163" s="4" t="s">
        <v>6155</v>
      </c>
      <c r="D163" s="5" t="s">
        <v>1485</v>
      </c>
      <c r="E163" s="4" t="s">
        <v>2852</v>
      </c>
      <c r="F163" s="5" t="s">
        <v>5816</v>
      </c>
      <c r="G163" s="5" t="s">
        <v>6109</v>
      </c>
      <c r="H163" s="5" t="s">
        <v>6109</v>
      </c>
      <c r="I163" s="5" t="s">
        <v>5820</v>
      </c>
      <c r="J163" s="5"/>
      <c r="K163" s="2" t="s">
        <v>6156</v>
      </c>
    </row>
    <row r="164" customFormat="1" spans="1:11">
      <c r="A164" s="4" t="s">
        <v>6157</v>
      </c>
      <c r="B164" s="4" t="s">
        <v>120</v>
      </c>
      <c r="C164" s="4" t="s">
        <v>6056</v>
      </c>
      <c r="D164" s="5" t="s">
        <v>1485</v>
      </c>
      <c r="E164" s="4" t="s">
        <v>210</v>
      </c>
      <c r="F164" s="5" t="s">
        <v>5816</v>
      </c>
      <c r="G164" s="5" t="s">
        <v>6109</v>
      </c>
      <c r="H164" s="5" t="s">
        <v>6109</v>
      </c>
      <c r="I164" s="5" t="s">
        <v>5820</v>
      </c>
      <c r="J164" s="5"/>
      <c r="K164" s="2" t="s">
        <v>6158</v>
      </c>
    </row>
    <row r="165" customFormat="1" spans="1:11">
      <c r="A165" s="4" t="s">
        <v>6159</v>
      </c>
      <c r="B165" s="4" t="s">
        <v>6070</v>
      </c>
      <c r="C165" s="4" t="s">
        <v>6056</v>
      </c>
      <c r="D165" s="5" t="s">
        <v>1485</v>
      </c>
      <c r="E165" s="4" t="s">
        <v>2852</v>
      </c>
      <c r="F165" s="5" t="s">
        <v>3898</v>
      </c>
      <c r="G165" s="5" t="s">
        <v>6109</v>
      </c>
      <c r="H165" s="5" t="s">
        <v>6109</v>
      </c>
      <c r="I165" s="5" t="s">
        <v>5820</v>
      </c>
      <c r="J165" s="5"/>
      <c r="K165" s="2" t="s">
        <v>6160</v>
      </c>
    </row>
    <row r="166" customFormat="1" spans="1:11">
      <c r="A166" s="4" t="s">
        <v>6161</v>
      </c>
      <c r="B166" s="4" t="s">
        <v>120</v>
      </c>
      <c r="C166" s="4" t="s">
        <v>6162</v>
      </c>
      <c r="D166" s="5" t="s">
        <v>1485</v>
      </c>
      <c r="E166" s="4" t="s">
        <v>2852</v>
      </c>
      <c r="F166" s="5" t="s">
        <v>5816</v>
      </c>
      <c r="G166" s="5" t="s">
        <v>6109</v>
      </c>
      <c r="H166" s="5" t="s">
        <v>6109</v>
      </c>
      <c r="I166" s="5" t="s">
        <v>5820</v>
      </c>
      <c r="J166" s="5"/>
      <c r="K166" s="2" t="s">
        <v>6163</v>
      </c>
    </row>
    <row r="167" customFormat="1" spans="1:11">
      <c r="A167" s="4"/>
      <c r="B167" s="4"/>
      <c r="C167" s="4"/>
      <c r="D167" s="5"/>
      <c r="E167" s="4"/>
      <c r="F167" s="5"/>
      <c r="G167" s="5"/>
      <c r="H167" s="5"/>
      <c r="I167" s="5"/>
      <c r="J167" s="5"/>
      <c r="K167" s="2"/>
    </row>
    <row r="168" spans="1:11">
      <c r="A168" s="4" t="s">
        <v>6164</v>
      </c>
      <c r="B168" s="4" t="s">
        <v>120</v>
      </c>
      <c r="C168" s="4" t="s">
        <v>6165</v>
      </c>
      <c r="D168" s="5" t="s">
        <v>1485</v>
      </c>
      <c r="E168" s="4" t="s">
        <v>210</v>
      </c>
      <c r="F168" s="5" t="s">
        <v>5816</v>
      </c>
      <c r="G168" s="5" t="s">
        <v>76</v>
      </c>
      <c r="H168" s="5" t="s">
        <v>5817</v>
      </c>
      <c r="I168" s="5" t="s">
        <v>12</v>
      </c>
      <c r="J168" s="5" t="s">
        <v>6166</v>
      </c>
      <c r="K168" s="2"/>
    </row>
    <row r="169" spans="1:11">
      <c r="A169" s="4"/>
      <c r="B169" s="4"/>
      <c r="C169" s="4"/>
      <c r="D169" s="5"/>
      <c r="E169" s="4"/>
      <c r="F169" s="5"/>
      <c r="G169" s="5"/>
      <c r="H169" s="5"/>
      <c r="I169" s="5"/>
      <c r="J169" s="5"/>
      <c r="K169" s="2"/>
    </row>
    <row r="170" spans="1:11">
      <c r="A170" s="4" t="s">
        <v>6167</v>
      </c>
      <c r="B170" s="4" t="s">
        <v>137</v>
      </c>
      <c r="C170" s="4" t="s">
        <v>1963</v>
      </c>
      <c r="D170" s="5" t="s">
        <v>6002</v>
      </c>
      <c r="E170" s="4" t="s">
        <v>210</v>
      </c>
      <c r="F170" s="5" t="s">
        <v>5816</v>
      </c>
      <c r="G170" s="5" t="s">
        <v>76</v>
      </c>
      <c r="H170" s="5" t="s">
        <v>76</v>
      </c>
      <c r="I170" s="5" t="s">
        <v>3882</v>
      </c>
      <c r="J170" s="5" t="s">
        <v>6168</v>
      </c>
      <c r="K170" s="2"/>
    </row>
    <row r="171" spans="1:11">
      <c r="A171" s="4" t="s">
        <v>6169</v>
      </c>
      <c r="B171" s="4" t="s">
        <v>137</v>
      </c>
      <c r="C171" s="4" t="s">
        <v>6170</v>
      </c>
      <c r="D171" s="5" t="s">
        <v>6002</v>
      </c>
      <c r="E171" s="4" t="s">
        <v>210</v>
      </c>
      <c r="F171" s="5">
        <v>1</v>
      </c>
      <c r="G171" s="5" t="s">
        <v>76</v>
      </c>
      <c r="H171" s="5" t="s">
        <v>76</v>
      </c>
      <c r="I171" s="5" t="s">
        <v>3882</v>
      </c>
      <c r="J171" s="5" t="s">
        <v>6171</v>
      </c>
      <c r="K171" s="2" t="s">
        <v>6172</v>
      </c>
    </row>
    <row r="172" spans="1:11">
      <c r="A172" s="4"/>
      <c r="B172" s="4"/>
      <c r="C172" s="4"/>
      <c r="D172" s="5"/>
      <c r="E172" s="4"/>
      <c r="F172" s="5"/>
      <c r="G172" s="5"/>
      <c r="H172" s="5"/>
      <c r="I172" s="5"/>
      <c r="J172" s="5"/>
      <c r="K172" s="2"/>
    </row>
    <row r="173" spans="1:11">
      <c r="A173" s="4" t="s">
        <v>6173</v>
      </c>
      <c r="B173" s="4" t="s">
        <v>659</v>
      </c>
      <c r="C173" s="4" t="s">
        <v>5971</v>
      </c>
      <c r="D173" s="5" t="s">
        <v>1485</v>
      </c>
      <c r="E173" s="4" t="s">
        <v>2852</v>
      </c>
      <c r="F173" s="5" t="s">
        <v>5816</v>
      </c>
      <c r="G173" s="5" t="s">
        <v>76</v>
      </c>
      <c r="H173" s="5" t="s">
        <v>76</v>
      </c>
      <c r="I173" s="5" t="s">
        <v>3758</v>
      </c>
      <c r="J173" s="5" t="s">
        <v>6174</v>
      </c>
      <c r="K173" s="2"/>
    </row>
    <row r="174" spans="1:11">
      <c r="A174" s="4" t="s">
        <v>6175</v>
      </c>
      <c r="B174" s="4" t="s">
        <v>659</v>
      </c>
      <c r="C174" s="4" t="s">
        <v>6176</v>
      </c>
      <c r="D174" s="5" t="s">
        <v>1485</v>
      </c>
      <c r="E174" s="4" t="s">
        <v>2852</v>
      </c>
      <c r="F174" s="5" t="s">
        <v>5816</v>
      </c>
      <c r="G174" s="5" t="s">
        <v>76</v>
      </c>
      <c r="H174" s="5" t="s">
        <v>76</v>
      </c>
      <c r="I174" s="5" t="s">
        <v>3758</v>
      </c>
      <c r="J174" s="5" t="s">
        <v>6177</v>
      </c>
      <c r="K174" s="2"/>
    </row>
    <row r="175" customFormat="1" spans="1:11">
      <c r="A175" s="4"/>
      <c r="B175" s="4"/>
      <c r="C175" s="4"/>
      <c r="D175" s="5"/>
      <c r="E175" s="4"/>
      <c r="F175" s="5"/>
      <c r="G175" s="5"/>
      <c r="H175" s="5"/>
      <c r="I175" s="5"/>
      <c r="J175" s="5"/>
      <c r="K175" s="2"/>
    </row>
    <row r="176" customFormat="1" spans="1:11">
      <c r="A176" s="4" t="s">
        <v>6178</v>
      </c>
      <c r="B176" s="4" t="s">
        <v>133</v>
      </c>
      <c r="C176" s="4" t="s">
        <v>1943</v>
      </c>
      <c r="D176" s="5">
        <v>10</v>
      </c>
      <c r="E176" s="4" t="s">
        <v>2852</v>
      </c>
      <c r="F176" s="5">
        <v>1</v>
      </c>
      <c r="G176" s="5" t="s">
        <v>5925</v>
      </c>
      <c r="H176" s="5">
        <v>96</v>
      </c>
      <c r="I176" s="5" t="s">
        <v>12</v>
      </c>
      <c r="J176" s="5">
        <v>150</v>
      </c>
      <c r="K176" s="2" t="s">
        <v>6179</v>
      </c>
    </row>
    <row r="177" customFormat="1" spans="1:11">
      <c r="A177" s="4" t="s">
        <v>6180</v>
      </c>
      <c r="B177" s="4" t="s">
        <v>133</v>
      </c>
      <c r="C177" s="4" t="s">
        <v>6165</v>
      </c>
      <c r="D177" s="5" t="s">
        <v>6181</v>
      </c>
      <c r="E177" s="4" t="s">
        <v>210</v>
      </c>
      <c r="F177" s="5" t="s">
        <v>5816</v>
      </c>
      <c r="G177" s="5" t="s">
        <v>6088</v>
      </c>
      <c r="H177" s="5" t="s">
        <v>5888</v>
      </c>
      <c r="I177" s="5" t="s">
        <v>12</v>
      </c>
      <c r="J177" s="5" t="s">
        <v>6182</v>
      </c>
      <c r="K177" s="2"/>
    </row>
    <row r="178" customFormat="1" hidden="1" spans="1:11">
      <c r="A178" s="4" t="s">
        <v>6183</v>
      </c>
      <c r="B178" s="4" t="s">
        <v>133</v>
      </c>
      <c r="C178" s="4" t="s">
        <v>5869</v>
      </c>
      <c r="D178" s="5" t="s">
        <v>5925</v>
      </c>
      <c r="E178" s="4" t="s">
        <v>2852</v>
      </c>
      <c r="F178" s="5" t="s">
        <v>5841</v>
      </c>
      <c r="G178" s="5" t="s">
        <v>5816</v>
      </c>
      <c r="H178" s="5" t="s">
        <v>5888</v>
      </c>
      <c r="I178" s="5" t="s">
        <v>3882</v>
      </c>
      <c r="J178" s="5" t="s">
        <v>6184</v>
      </c>
      <c r="K178" s="2"/>
    </row>
    <row r="179" customFormat="1" spans="1:11">
      <c r="A179" s="4" t="s">
        <v>6185</v>
      </c>
      <c r="B179" s="4" t="s">
        <v>133</v>
      </c>
      <c r="C179" s="4" t="s">
        <v>1943</v>
      </c>
      <c r="D179" s="5" t="s">
        <v>5925</v>
      </c>
      <c r="E179" s="4" t="s">
        <v>2852</v>
      </c>
      <c r="F179" s="5" t="s">
        <v>5866</v>
      </c>
      <c r="G179" s="5" t="s">
        <v>6186</v>
      </c>
      <c r="H179" s="5" t="s">
        <v>3689</v>
      </c>
      <c r="I179" s="5" t="s">
        <v>3758</v>
      </c>
      <c r="J179" s="5" t="s">
        <v>6187</v>
      </c>
      <c r="K179" s="2"/>
    </row>
    <row r="180" customFormat="1" spans="1:11">
      <c r="A180" s="4" t="s">
        <v>6188</v>
      </c>
      <c r="B180" s="4" t="s">
        <v>133</v>
      </c>
      <c r="C180" s="4" t="s">
        <v>1943</v>
      </c>
      <c r="D180" s="5" t="s">
        <v>6088</v>
      </c>
      <c r="E180" s="4" t="s">
        <v>2852</v>
      </c>
      <c r="F180" s="5" t="s">
        <v>5816</v>
      </c>
      <c r="G180" s="5">
        <v>1</v>
      </c>
      <c r="H180" s="5" t="s">
        <v>3689</v>
      </c>
      <c r="I180" s="5" t="s">
        <v>3769</v>
      </c>
      <c r="J180" s="5" t="s">
        <v>6189</v>
      </c>
      <c r="K180" s="2"/>
    </row>
    <row r="181" customFormat="1" spans="1:11">
      <c r="A181" s="4" t="s">
        <v>6190</v>
      </c>
      <c r="B181" s="4" t="s">
        <v>133</v>
      </c>
      <c r="C181" s="4" t="s">
        <v>1951</v>
      </c>
      <c r="D181" s="5" t="s">
        <v>4009</v>
      </c>
      <c r="E181" s="4" t="s">
        <v>2852</v>
      </c>
      <c r="F181" s="5" t="s">
        <v>5866</v>
      </c>
      <c r="G181" s="5" t="s">
        <v>6186</v>
      </c>
      <c r="H181" s="5" t="s">
        <v>3689</v>
      </c>
      <c r="I181" s="5" t="s">
        <v>3758</v>
      </c>
      <c r="J181" s="5" t="s">
        <v>6191</v>
      </c>
      <c r="K181" s="2"/>
    </row>
    <row r="182" customFormat="1" spans="1:11">
      <c r="A182" s="4" t="s">
        <v>6192</v>
      </c>
      <c r="B182" s="4" t="s">
        <v>133</v>
      </c>
      <c r="C182" s="4" t="s">
        <v>1951</v>
      </c>
      <c r="D182" s="5" t="s">
        <v>4009</v>
      </c>
      <c r="E182" s="4" t="s">
        <v>2852</v>
      </c>
      <c r="F182" s="5" t="s">
        <v>5866</v>
      </c>
      <c r="G182" s="5" t="s">
        <v>4005</v>
      </c>
      <c r="H182" s="5" t="s">
        <v>5895</v>
      </c>
      <c r="I182" s="5" t="s">
        <v>3758</v>
      </c>
      <c r="J182" s="5" t="s">
        <v>5818</v>
      </c>
      <c r="K182" s="2"/>
    </row>
    <row r="183" customFormat="1" spans="1:11">
      <c r="A183" s="4" t="s">
        <v>6193</v>
      </c>
      <c r="B183" s="4" t="s">
        <v>133</v>
      </c>
      <c r="C183" s="4" t="s">
        <v>1993</v>
      </c>
      <c r="D183" s="5" t="s">
        <v>4009</v>
      </c>
      <c r="E183" s="4" t="s">
        <v>2852</v>
      </c>
      <c r="F183" s="5" t="s">
        <v>5866</v>
      </c>
      <c r="G183" s="5" t="s">
        <v>6186</v>
      </c>
      <c r="H183" s="5" t="s">
        <v>3689</v>
      </c>
      <c r="I183" s="5" t="s">
        <v>12</v>
      </c>
      <c r="J183" s="5" t="s">
        <v>6194</v>
      </c>
      <c r="K183" s="2"/>
    </row>
    <row r="184" customFormat="1" spans="1:11">
      <c r="A184" s="4" t="s">
        <v>6195</v>
      </c>
      <c r="B184" s="4" t="s">
        <v>133</v>
      </c>
      <c r="C184" s="4" t="s">
        <v>495</v>
      </c>
      <c r="D184" s="5" t="s">
        <v>4009</v>
      </c>
      <c r="E184" s="4" t="s">
        <v>2852</v>
      </c>
      <c r="F184" s="5" t="s">
        <v>5866</v>
      </c>
      <c r="G184" s="5" t="s">
        <v>6186</v>
      </c>
      <c r="H184" s="5" t="s">
        <v>3689</v>
      </c>
      <c r="I184" s="5" t="s">
        <v>3758</v>
      </c>
      <c r="J184" s="5" t="s">
        <v>6107</v>
      </c>
      <c r="K184" s="2"/>
    </row>
    <row r="185" customFormat="1" spans="1:11">
      <c r="A185" s="4" t="s">
        <v>6196</v>
      </c>
      <c r="B185" s="4" t="s">
        <v>133</v>
      </c>
      <c r="C185" s="4" t="s">
        <v>495</v>
      </c>
      <c r="D185" s="5" t="s">
        <v>4009</v>
      </c>
      <c r="E185" s="4" t="s">
        <v>2852</v>
      </c>
      <c r="F185" s="5" t="s">
        <v>5866</v>
      </c>
      <c r="G185" s="5" t="s">
        <v>4005</v>
      </c>
      <c r="H185" s="5" t="s">
        <v>5895</v>
      </c>
      <c r="I185" s="5" t="s">
        <v>3758</v>
      </c>
      <c r="J185" s="5" t="s">
        <v>6197</v>
      </c>
      <c r="K185" s="2"/>
    </row>
    <row r="186" customFormat="1" spans="1:11">
      <c r="A186" s="4" t="s">
        <v>6198</v>
      </c>
      <c r="B186" s="4" t="s">
        <v>133</v>
      </c>
      <c r="C186" s="4" t="s">
        <v>495</v>
      </c>
      <c r="D186" s="5" t="s">
        <v>4009</v>
      </c>
      <c r="E186" s="4" t="s">
        <v>2852</v>
      </c>
      <c r="F186" s="5" t="s">
        <v>5866</v>
      </c>
      <c r="G186" s="5" t="s">
        <v>4009</v>
      </c>
      <c r="H186" s="5" t="s">
        <v>6095</v>
      </c>
      <c r="I186" s="5" t="s">
        <v>12</v>
      </c>
      <c r="J186" s="5" t="s">
        <v>6199</v>
      </c>
      <c r="K186" s="2"/>
    </row>
    <row r="187" customFormat="1" spans="1:11">
      <c r="A187" s="4" t="s">
        <v>6200</v>
      </c>
      <c r="B187" s="4" t="s">
        <v>133</v>
      </c>
      <c r="C187" s="4" t="s">
        <v>495</v>
      </c>
      <c r="D187" s="5" t="s">
        <v>4009</v>
      </c>
      <c r="E187" s="4" t="s">
        <v>2852</v>
      </c>
      <c r="F187" s="5" t="s">
        <v>5866</v>
      </c>
      <c r="G187" s="5" t="s">
        <v>6201</v>
      </c>
      <c r="H187" s="5" t="s">
        <v>6095</v>
      </c>
      <c r="I187" s="5" t="s">
        <v>12</v>
      </c>
      <c r="J187" s="5" t="s">
        <v>6199</v>
      </c>
      <c r="K187" s="2"/>
    </row>
    <row r="188" customFormat="1" spans="1:11">
      <c r="A188" s="4" t="s">
        <v>6202</v>
      </c>
      <c r="B188" s="4" t="s">
        <v>133</v>
      </c>
      <c r="C188" s="4" t="s">
        <v>495</v>
      </c>
      <c r="D188" s="5" t="s">
        <v>4009</v>
      </c>
      <c r="E188" s="4" t="s">
        <v>2852</v>
      </c>
      <c r="F188" s="5" t="s">
        <v>5866</v>
      </c>
      <c r="G188" s="5" t="s">
        <v>4005</v>
      </c>
      <c r="H188" s="5" t="s">
        <v>5895</v>
      </c>
      <c r="I188" s="5" t="s">
        <v>3758</v>
      </c>
      <c r="J188" s="5" t="s">
        <v>6203</v>
      </c>
      <c r="K188" s="2"/>
    </row>
    <row r="189" customFormat="1" spans="1:11">
      <c r="A189" s="4" t="s">
        <v>6204</v>
      </c>
      <c r="B189" s="4" t="s">
        <v>133</v>
      </c>
      <c r="C189" s="4" t="s">
        <v>495</v>
      </c>
      <c r="D189" s="5" t="s">
        <v>4009</v>
      </c>
      <c r="E189" s="4" t="s">
        <v>2852</v>
      </c>
      <c r="F189" s="5" t="s">
        <v>5866</v>
      </c>
      <c r="G189" s="5" t="s">
        <v>4005</v>
      </c>
      <c r="H189" s="5" t="s">
        <v>3689</v>
      </c>
      <c r="I189" s="5" t="s">
        <v>6205</v>
      </c>
      <c r="J189" s="5" t="s">
        <v>6206</v>
      </c>
      <c r="K189" s="2"/>
    </row>
    <row r="190" customFormat="1" spans="1:11">
      <c r="A190" s="4" t="s">
        <v>6207</v>
      </c>
      <c r="B190" s="4" t="s">
        <v>133</v>
      </c>
      <c r="C190" s="4" t="s">
        <v>6208</v>
      </c>
      <c r="D190" s="5" t="s">
        <v>4009</v>
      </c>
      <c r="E190" s="4" t="s">
        <v>2852</v>
      </c>
      <c r="F190" s="5" t="s">
        <v>5866</v>
      </c>
      <c r="G190" s="5" t="s">
        <v>6186</v>
      </c>
      <c r="H190" s="5" t="s">
        <v>3689</v>
      </c>
      <c r="I190" s="5" t="s">
        <v>12</v>
      </c>
      <c r="J190" s="5">
        <v>475</v>
      </c>
      <c r="K190" s="2"/>
    </row>
    <row r="191" customFormat="1" spans="1:11">
      <c r="A191" s="4" t="s">
        <v>6209</v>
      </c>
      <c r="B191" s="4" t="s">
        <v>133</v>
      </c>
      <c r="C191" s="4" t="s">
        <v>5846</v>
      </c>
      <c r="D191" s="5" t="s">
        <v>4009</v>
      </c>
      <c r="E191" s="4" t="s">
        <v>2852</v>
      </c>
      <c r="F191" s="5" t="s">
        <v>5866</v>
      </c>
      <c r="G191" s="5" t="s">
        <v>6186</v>
      </c>
      <c r="H191" s="5" t="s">
        <v>3689</v>
      </c>
      <c r="I191" s="5" t="s">
        <v>3758</v>
      </c>
      <c r="J191" s="5" t="s">
        <v>6184</v>
      </c>
      <c r="K191" s="2"/>
    </row>
    <row r="192" customFormat="1" spans="1:11">
      <c r="A192" s="4" t="s">
        <v>6210</v>
      </c>
      <c r="B192" s="4" t="s">
        <v>133</v>
      </c>
      <c r="C192" s="4" t="s">
        <v>5846</v>
      </c>
      <c r="D192" s="5" t="s">
        <v>4009</v>
      </c>
      <c r="E192" s="4" t="s">
        <v>2852</v>
      </c>
      <c r="F192" s="5" t="s">
        <v>5866</v>
      </c>
      <c r="G192" s="5" t="s">
        <v>6211</v>
      </c>
      <c r="H192" s="5" t="s">
        <v>3689</v>
      </c>
      <c r="I192" s="5" t="s">
        <v>3758</v>
      </c>
      <c r="J192" s="5" t="s">
        <v>6212</v>
      </c>
      <c r="K192" s="2"/>
    </row>
    <row r="193" customFormat="1" spans="1:11">
      <c r="A193" s="4" t="s">
        <v>6213</v>
      </c>
      <c r="B193" s="4" t="s">
        <v>133</v>
      </c>
      <c r="C193" s="4" t="s">
        <v>6214</v>
      </c>
      <c r="D193" s="5" t="s">
        <v>4009</v>
      </c>
      <c r="E193" s="4" t="s">
        <v>2852</v>
      </c>
      <c r="F193" s="5" t="s">
        <v>5866</v>
      </c>
      <c r="G193" s="5" t="s">
        <v>6211</v>
      </c>
      <c r="H193" s="5" t="s">
        <v>6215</v>
      </c>
      <c r="I193" s="5" t="s">
        <v>12</v>
      </c>
      <c r="J193" s="5">
        <v>650</v>
      </c>
      <c r="K193" s="2"/>
    </row>
    <row r="194" spans="1:11">
      <c r="A194" s="4"/>
      <c r="B194" s="4"/>
      <c r="C194" s="4"/>
      <c r="D194" s="5"/>
      <c r="E194" s="4"/>
      <c r="F194" s="5"/>
      <c r="G194" s="5"/>
      <c r="H194" s="5"/>
      <c r="I194" s="5"/>
      <c r="J194" s="5"/>
      <c r="K194" s="2"/>
    </row>
    <row r="195" customFormat="1" spans="1:11">
      <c r="A195" s="4" t="s">
        <v>6216</v>
      </c>
      <c r="B195" s="4" t="s">
        <v>470</v>
      </c>
      <c r="C195" s="4" t="s">
        <v>5854</v>
      </c>
      <c r="D195" s="5" t="s">
        <v>5982</v>
      </c>
      <c r="E195" s="4" t="s">
        <v>2852</v>
      </c>
      <c r="F195" s="5" t="s">
        <v>5841</v>
      </c>
      <c r="G195" s="5" t="s">
        <v>5816</v>
      </c>
      <c r="H195" s="5" t="s">
        <v>5888</v>
      </c>
      <c r="I195" s="5" t="s">
        <v>3882</v>
      </c>
      <c r="J195" s="5" t="s">
        <v>6217</v>
      </c>
      <c r="K195" s="2"/>
    </row>
    <row r="196" customFormat="1" spans="1:11">
      <c r="A196" s="4" t="s">
        <v>6218</v>
      </c>
      <c r="B196" s="4" t="s">
        <v>470</v>
      </c>
      <c r="C196" s="4" t="s">
        <v>5869</v>
      </c>
      <c r="D196" s="5" t="s">
        <v>6219</v>
      </c>
      <c r="E196" s="4" t="s">
        <v>2852</v>
      </c>
      <c r="F196" s="5" t="s">
        <v>5816</v>
      </c>
      <c r="G196" s="5" t="s">
        <v>6186</v>
      </c>
      <c r="H196" s="5" t="s">
        <v>5895</v>
      </c>
      <c r="I196" s="5" t="s">
        <v>3758</v>
      </c>
      <c r="J196" s="5" t="s">
        <v>6220</v>
      </c>
      <c r="K196" s="2"/>
    </row>
    <row r="197" customFormat="1" spans="1:11">
      <c r="A197" s="4" t="s">
        <v>6221</v>
      </c>
      <c r="B197" s="4" t="s">
        <v>470</v>
      </c>
      <c r="C197" s="4" t="s">
        <v>5719</v>
      </c>
      <c r="D197" s="5" t="s">
        <v>3679</v>
      </c>
      <c r="E197" s="4" t="s">
        <v>2852</v>
      </c>
      <c r="F197" s="5" t="s">
        <v>5816</v>
      </c>
      <c r="G197" s="5" t="s">
        <v>6186</v>
      </c>
      <c r="H197" s="5" t="s">
        <v>6095</v>
      </c>
      <c r="I197" s="5" t="s">
        <v>3758</v>
      </c>
      <c r="J197" s="5" t="s">
        <v>6222</v>
      </c>
      <c r="K197" s="2"/>
    </row>
    <row r="198" customFormat="1" spans="1:11">
      <c r="A198" s="4" t="s">
        <v>6223</v>
      </c>
      <c r="B198" s="4" t="s">
        <v>470</v>
      </c>
      <c r="C198" s="4" t="s">
        <v>6224</v>
      </c>
      <c r="D198" s="5" t="s">
        <v>5960</v>
      </c>
      <c r="E198" s="4" t="s">
        <v>2852</v>
      </c>
      <c r="F198" s="5" t="s">
        <v>5847</v>
      </c>
      <c r="G198" s="5" t="s">
        <v>5816</v>
      </c>
      <c r="H198" s="5" t="s">
        <v>3689</v>
      </c>
      <c r="I198" s="5" t="s">
        <v>3769</v>
      </c>
      <c r="J198" s="5" t="s">
        <v>6225</v>
      </c>
      <c r="K198" s="2"/>
    </row>
    <row r="199" customFormat="1" spans="1:11">
      <c r="A199" s="4" t="s">
        <v>6226</v>
      </c>
      <c r="B199" s="4" t="s">
        <v>470</v>
      </c>
      <c r="C199" s="4" t="s">
        <v>6227</v>
      </c>
      <c r="D199" s="5" t="s">
        <v>5939</v>
      </c>
      <c r="E199" s="4" t="s">
        <v>2852</v>
      </c>
      <c r="F199" s="5" t="s">
        <v>5847</v>
      </c>
      <c r="G199" s="5" t="s">
        <v>5816</v>
      </c>
      <c r="H199" s="5" t="s">
        <v>6228</v>
      </c>
      <c r="I199" s="5" t="s">
        <v>3769</v>
      </c>
      <c r="J199" s="5" t="s">
        <v>5915</v>
      </c>
      <c r="K199" s="2"/>
    </row>
    <row r="200" customFormat="1" spans="1:11">
      <c r="A200" s="4" t="s">
        <v>6229</v>
      </c>
      <c r="B200" s="4" t="s">
        <v>470</v>
      </c>
      <c r="C200" s="4" t="s">
        <v>6230</v>
      </c>
      <c r="D200" s="5" t="s">
        <v>6231</v>
      </c>
      <c r="E200" s="4" t="s">
        <v>2852</v>
      </c>
      <c r="F200" s="5" t="s">
        <v>5816</v>
      </c>
      <c r="G200" s="5" t="s">
        <v>4005</v>
      </c>
      <c r="H200" s="5" t="s">
        <v>3689</v>
      </c>
      <c r="I200" s="5" t="s">
        <v>6232</v>
      </c>
      <c r="J200" s="5" t="s">
        <v>6233</v>
      </c>
      <c r="K200" s="2"/>
    </row>
    <row r="201" customFormat="1" spans="1:11">
      <c r="A201" s="4" t="s">
        <v>6234</v>
      </c>
      <c r="B201" s="4" t="s">
        <v>470</v>
      </c>
      <c r="C201" s="4" t="s">
        <v>6227</v>
      </c>
      <c r="D201" s="5" t="s">
        <v>6235</v>
      </c>
      <c r="E201" s="4" t="s">
        <v>2852</v>
      </c>
      <c r="F201" s="5" t="s">
        <v>6092</v>
      </c>
      <c r="G201" s="5" t="s">
        <v>5925</v>
      </c>
      <c r="H201" s="5" t="s">
        <v>5817</v>
      </c>
      <c r="I201" s="5" t="s">
        <v>12</v>
      </c>
      <c r="J201" s="5" t="s">
        <v>3698</v>
      </c>
      <c r="K201" s="2"/>
    </row>
    <row r="202" customFormat="1" spans="1:11">
      <c r="A202" s="4" t="s">
        <v>6236</v>
      </c>
      <c r="B202" s="4" t="s">
        <v>470</v>
      </c>
      <c r="C202" s="4" t="s">
        <v>6230</v>
      </c>
      <c r="D202" s="5" t="s">
        <v>6231</v>
      </c>
      <c r="E202" s="4" t="s">
        <v>2852</v>
      </c>
      <c r="F202" s="5" t="s">
        <v>5816</v>
      </c>
      <c r="G202" s="5" t="s">
        <v>5858</v>
      </c>
      <c r="H202" s="5" t="s">
        <v>3689</v>
      </c>
      <c r="I202" s="5" t="s">
        <v>3758</v>
      </c>
      <c r="J202" s="5" t="s">
        <v>6237</v>
      </c>
      <c r="K202" s="2"/>
    </row>
    <row r="203" customFormat="1" spans="1:11">
      <c r="A203" s="4" t="s">
        <v>6238</v>
      </c>
      <c r="B203" s="4" t="s">
        <v>470</v>
      </c>
      <c r="C203" s="4" t="s">
        <v>6230</v>
      </c>
      <c r="D203" s="5" t="s">
        <v>6231</v>
      </c>
      <c r="E203" s="4" t="s">
        <v>2852</v>
      </c>
      <c r="F203" s="5" t="s">
        <v>5816</v>
      </c>
      <c r="G203" s="5" t="s">
        <v>5858</v>
      </c>
      <c r="H203" s="5" t="s">
        <v>3689</v>
      </c>
      <c r="I203" s="5" t="s">
        <v>3758</v>
      </c>
      <c r="J203" s="5" t="s">
        <v>6239</v>
      </c>
      <c r="K203" s="2"/>
    </row>
    <row r="204" customFormat="1" spans="1:11">
      <c r="A204" s="4" t="s">
        <v>6240</v>
      </c>
      <c r="B204" s="4" t="s">
        <v>470</v>
      </c>
      <c r="C204" s="4" t="s">
        <v>6230</v>
      </c>
      <c r="D204" s="5" t="s">
        <v>6231</v>
      </c>
      <c r="E204" s="4" t="s">
        <v>2852</v>
      </c>
      <c r="F204" s="5" t="s">
        <v>5816</v>
      </c>
      <c r="G204" s="5" t="s">
        <v>5858</v>
      </c>
      <c r="H204" s="5" t="s">
        <v>3689</v>
      </c>
      <c r="I204" s="5" t="s">
        <v>12</v>
      </c>
      <c r="J204" s="5" t="s">
        <v>6241</v>
      </c>
      <c r="K204" s="2"/>
    </row>
    <row r="205" customFormat="1" spans="1:11">
      <c r="A205" s="4" t="s">
        <v>6242</v>
      </c>
      <c r="B205" s="4" t="s">
        <v>470</v>
      </c>
      <c r="C205" s="4" t="s">
        <v>6243</v>
      </c>
      <c r="D205" s="5" t="s">
        <v>6231</v>
      </c>
      <c r="E205" s="4" t="s">
        <v>2852</v>
      </c>
      <c r="F205" s="5" t="s">
        <v>5816</v>
      </c>
      <c r="G205" s="5" t="s">
        <v>5858</v>
      </c>
      <c r="H205" s="5" t="s">
        <v>6095</v>
      </c>
      <c r="I205" s="5" t="s">
        <v>12</v>
      </c>
      <c r="J205" s="5">
        <v>400</v>
      </c>
      <c r="K205" s="2"/>
    </row>
    <row r="206" spans="1:11">
      <c r="A206" s="4"/>
      <c r="B206" s="4"/>
      <c r="C206" s="4"/>
      <c r="D206" s="5"/>
      <c r="E206" s="4"/>
      <c r="F206" s="5"/>
      <c r="G206" s="5"/>
      <c r="H206" s="5"/>
      <c r="I206" s="5"/>
      <c r="J206" s="5"/>
      <c r="K206" s="2"/>
    </row>
    <row r="207" customFormat="1" spans="1:11">
      <c r="A207" s="4" t="s">
        <v>6244</v>
      </c>
      <c r="B207" s="4" t="s">
        <v>470</v>
      </c>
      <c r="C207" s="4" t="s">
        <v>6245</v>
      </c>
      <c r="D207" s="5" t="s">
        <v>3689</v>
      </c>
      <c r="E207" s="4" t="s">
        <v>2852</v>
      </c>
      <c r="F207" s="5" t="s">
        <v>6246</v>
      </c>
      <c r="G207" s="5" t="s">
        <v>3898</v>
      </c>
      <c r="H207" s="5" t="s">
        <v>3689</v>
      </c>
      <c r="I207" s="5" t="s">
        <v>3758</v>
      </c>
      <c r="J207" s="5" t="s">
        <v>6247</v>
      </c>
      <c r="K207" s="2"/>
    </row>
    <row r="208" customFormat="1" spans="1:11">
      <c r="A208" s="4" t="s">
        <v>6248</v>
      </c>
      <c r="B208" s="4" t="s">
        <v>470</v>
      </c>
      <c r="C208" s="4" t="s">
        <v>6249</v>
      </c>
      <c r="D208" s="5" t="s">
        <v>6250</v>
      </c>
      <c r="E208" s="4" t="s">
        <v>210</v>
      </c>
      <c r="F208" s="5" t="s">
        <v>6246</v>
      </c>
      <c r="G208" s="5" t="s">
        <v>3898</v>
      </c>
      <c r="H208" s="5" t="s">
        <v>3689</v>
      </c>
      <c r="I208" s="5" t="s">
        <v>3769</v>
      </c>
      <c r="J208" s="5" t="s">
        <v>6103</v>
      </c>
      <c r="K208" s="2"/>
    </row>
    <row r="209" customFormat="1" spans="1:11">
      <c r="A209" s="4" t="s">
        <v>6251</v>
      </c>
      <c r="B209" s="4" t="s">
        <v>470</v>
      </c>
      <c r="C209" s="4" t="s">
        <v>6252</v>
      </c>
      <c r="D209" s="5" t="s">
        <v>6250</v>
      </c>
      <c r="E209" s="4" t="s">
        <v>210</v>
      </c>
      <c r="F209" s="5" t="s">
        <v>6246</v>
      </c>
      <c r="G209" s="5" t="s">
        <v>3898</v>
      </c>
      <c r="H209" s="5" t="s">
        <v>3689</v>
      </c>
      <c r="I209" s="5" t="s">
        <v>3769</v>
      </c>
      <c r="J209" s="5" t="s">
        <v>6253</v>
      </c>
      <c r="K209" s="2"/>
    </row>
    <row r="210" customFormat="1" spans="1:11">
      <c r="A210" s="4" t="s">
        <v>6254</v>
      </c>
      <c r="B210" s="4" t="s">
        <v>470</v>
      </c>
      <c r="C210" s="4" t="s">
        <v>6255</v>
      </c>
      <c r="D210" s="5" t="s">
        <v>6250</v>
      </c>
      <c r="E210" s="4" t="s">
        <v>210</v>
      </c>
      <c r="F210" s="5" t="s">
        <v>6246</v>
      </c>
      <c r="G210" s="5" t="s">
        <v>3898</v>
      </c>
      <c r="H210" s="5" t="s">
        <v>3689</v>
      </c>
      <c r="I210" s="5" t="s">
        <v>3758</v>
      </c>
      <c r="J210" s="5" t="s">
        <v>6256</v>
      </c>
      <c r="K210" s="2"/>
    </row>
    <row r="211" customFormat="1" spans="1:11">
      <c r="A211" s="4" t="s">
        <v>6257</v>
      </c>
      <c r="B211" s="4" t="s">
        <v>470</v>
      </c>
      <c r="C211" s="4" t="s">
        <v>6255</v>
      </c>
      <c r="D211" s="5" t="s">
        <v>6250</v>
      </c>
      <c r="E211" s="4" t="s">
        <v>210</v>
      </c>
      <c r="F211" s="5" t="s">
        <v>5816</v>
      </c>
      <c r="G211" s="5" t="s">
        <v>5858</v>
      </c>
      <c r="H211" s="5" t="s">
        <v>3689</v>
      </c>
      <c r="I211" s="5" t="s">
        <v>12</v>
      </c>
      <c r="J211" s="5" t="s">
        <v>6258</v>
      </c>
      <c r="K211" s="2"/>
    </row>
    <row r="212" customFormat="1" spans="1:11">
      <c r="A212" s="4" t="s">
        <v>6259</v>
      </c>
      <c r="B212" s="4" t="s">
        <v>470</v>
      </c>
      <c r="C212" s="4" t="s">
        <v>6255</v>
      </c>
      <c r="D212" s="5" t="s">
        <v>6250</v>
      </c>
      <c r="E212" s="4" t="s">
        <v>210</v>
      </c>
      <c r="F212" s="5" t="s">
        <v>6092</v>
      </c>
      <c r="G212" s="5" t="s">
        <v>5858</v>
      </c>
      <c r="H212" s="5" t="s">
        <v>3689</v>
      </c>
      <c r="I212" s="5" t="s">
        <v>3758</v>
      </c>
      <c r="J212" s="5" t="s">
        <v>6258</v>
      </c>
      <c r="K212" s="2"/>
    </row>
    <row r="213" customFormat="1" spans="1:11">
      <c r="A213" s="4" t="s">
        <v>6260</v>
      </c>
      <c r="B213" s="4" t="s">
        <v>470</v>
      </c>
      <c r="C213" s="4" t="s">
        <v>6261</v>
      </c>
      <c r="D213" s="5" t="s">
        <v>6177</v>
      </c>
      <c r="E213" s="4" t="s">
        <v>210</v>
      </c>
      <c r="F213" s="5" t="s">
        <v>6246</v>
      </c>
      <c r="G213" s="5" t="s">
        <v>3898</v>
      </c>
      <c r="H213" s="5" t="s">
        <v>3689</v>
      </c>
      <c r="I213" s="5" t="s">
        <v>3769</v>
      </c>
      <c r="J213" s="5" t="s">
        <v>3770</v>
      </c>
      <c r="K213" s="2"/>
    </row>
    <row r="214" customFormat="1" spans="1:11">
      <c r="A214" s="4" t="s">
        <v>6262</v>
      </c>
      <c r="B214" s="4" t="s">
        <v>470</v>
      </c>
      <c r="C214" s="4" t="s">
        <v>6263</v>
      </c>
      <c r="D214" s="5" t="s">
        <v>6250</v>
      </c>
      <c r="E214" s="4" t="s">
        <v>210</v>
      </c>
      <c r="F214" s="5" t="s">
        <v>6246</v>
      </c>
      <c r="G214" s="5" t="s">
        <v>3898</v>
      </c>
      <c r="H214" s="5" t="s">
        <v>3689</v>
      </c>
      <c r="I214" s="5" t="s">
        <v>6264</v>
      </c>
      <c r="J214" s="5" t="s">
        <v>6265</v>
      </c>
      <c r="K214" s="2"/>
    </row>
    <row r="215" customFormat="1" spans="1:11">
      <c r="A215" s="4" t="s">
        <v>6266</v>
      </c>
      <c r="B215" s="4" t="s">
        <v>470</v>
      </c>
      <c r="C215" s="4" t="s">
        <v>6255</v>
      </c>
      <c r="D215" s="5" t="s">
        <v>6250</v>
      </c>
      <c r="E215" s="4" t="s">
        <v>210</v>
      </c>
      <c r="F215" s="5" t="s">
        <v>6092</v>
      </c>
      <c r="G215" s="5" t="s">
        <v>6211</v>
      </c>
      <c r="H215" s="5" t="s">
        <v>3689</v>
      </c>
      <c r="I215" s="5" t="s">
        <v>12</v>
      </c>
      <c r="J215" s="5" t="s">
        <v>6267</v>
      </c>
      <c r="K215" s="2"/>
    </row>
    <row r="216" customFormat="1" spans="1:11">
      <c r="A216" s="4" t="s">
        <v>6268</v>
      </c>
      <c r="B216" s="4" t="s">
        <v>470</v>
      </c>
      <c r="C216" s="4" t="s">
        <v>6255</v>
      </c>
      <c r="D216" s="5" t="s">
        <v>6250</v>
      </c>
      <c r="E216" s="4" t="s">
        <v>210</v>
      </c>
      <c r="F216" s="5" t="s">
        <v>5816</v>
      </c>
      <c r="G216" s="5" t="s">
        <v>4005</v>
      </c>
      <c r="H216" s="5" t="s">
        <v>6095</v>
      </c>
      <c r="I216" s="5" t="s">
        <v>12</v>
      </c>
      <c r="J216" s="5" t="s">
        <v>6269</v>
      </c>
      <c r="K216" s="2"/>
    </row>
    <row r="217" spans="1:11">
      <c r="A217" s="4"/>
      <c r="B217" s="4"/>
      <c r="C217" s="4"/>
      <c r="D217" s="5"/>
      <c r="E217" s="4"/>
      <c r="F217" s="5"/>
      <c r="G217" s="5"/>
      <c r="H217" s="5"/>
      <c r="I217" s="5"/>
      <c r="J217" s="5"/>
      <c r="K217" s="2"/>
    </row>
    <row r="218" customFormat="1" spans="1:11">
      <c r="A218" s="4" t="s">
        <v>6270</v>
      </c>
      <c r="B218" s="4" t="s">
        <v>470</v>
      </c>
      <c r="C218" s="4" t="s">
        <v>6227</v>
      </c>
      <c r="D218" s="5" t="s">
        <v>3689</v>
      </c>
      <c r="E218" s="4" t="s">
        <v>2852</v>
      </c>
      <c r="F218" s="5" t="s">
        <v>6271</v>
      </c>
      <c r="G218" s="5" t="s">
        <v>6219</v>
      </c>
      <c r="H218" s="5" t="s">
        <v>3689</v>
      </c>
      <c r="I218" s="5" t="s">
        <v>12</v>
      </c>
      <c r="J218" s="5" t="s">
        <v>6166</v>
      </c>
      <c r="K218" s="2"/>
    </row>
    <row r="219" customFormat="1" spans="1:11">
      <c r="A219" s="4" t="s">
        <v>6272</v>
      </c>
      <c r="B219" s="4" t="s">
        <v>470</v>
      </c>
      <c r="C219" s="4" t="s">
        <v>6227</v>
      </c>
      <c r="D219" s="5" t="s">
        <v>6231</v>
      </c>
      <c r="E219" s="4" t="s">
        <v>2852</v>
      </c>
      <c r="F219" s="5" t="s">
        <v>6271</v>
      </c>
      <c r="G219" s="5" t="s">
        <v>6219</v>
      </c>
      <c r="H219" s="5" t="s">
        <v>5817</v>
      </c>
      <c r="I219" s="5" t="s">
        <v>12</v>
      </c>
      <c r="J219" s="5" t="s">
        <v>6273</v>
      </c>
      <c r="K219" s="2"/>
    </row>
    <row r="220" customFormat="1" spans="1:11">
      <c r="A220" s="4" t="s">
        <v>6274</v>
      </c>
      <c r="B220" s="4" t="s">
        <v>470</v>
      </c>
      <c r="C220" s="4" t="s">
        <v>6275</v>
      </c>
      <c r="D220" s="5" t="s">
        <v>6276</v>
      </c>
      <c r="E220" s="4" t="s">
        <v>2852</v>
      </c>
      <c r="F220" s="5" t="s">
        <v>5816</v>
      </c>
      <c r="G220" s="5" t="s">
        <v>4000</v>
      </c>
      <c r="H220" s="5" t="s">
        <v>5851</v>
      </c>
      <c r="I220" s="5" t="s">
        <v>12</v>
      </c>
      <c r="J220" s="5" t="s">
        <v>6277</v>
      </c>
      <c r="K220" s="2"/>
    </row>
    <row r="221" customFormat="1" spans="1:11">
      <c r="A221" s="4" t="s">
        <v>6278</v>
      </c>
      <c r="B221" s="4" t="s">
        <v>470</v>
      </c>
      <c r="C221" s="4" t="s">
        <v>6230</v>
      </c>
      <c r="D221" s="5" t="s">
        <v>6231</v>
      </c>
      <c r="E221" s="4" t="s">
        <v>2852</v>
      </c>
      <c r="F221" s="5" t="s">
        <v>6279</v>
      </c>
      <c r="G221" s="5" t="s">
        <v>5939</v>
      </c>
      <c r="H221" s="5" t="s">
        <v>5817</v>
      </c>
      <c r="I221" s="5" t="s">
        <v>12</v>
      </c>
      <c r="J221" s="5" t="s">
        <v>6280</v>
      </c>
      <c r="K221" s="2"/>
    </row>
    <row r="222" customFormat="1" spans="1:11">
      <c r="A222" s="4" t="s">
        <v>6281</v>
      </c>
      <c r="B222" s="4" t="s">
        <v>470</v>
      </c>
      <c r="C222" s="4" t="s">
        <v>5719</v>
      </c>
      <c r="D222" s="5" t="s">
        <v>6231</v>
      </c>
      <c r="E222" s="4" t="s">
        <v>2852</v>
      </c>
      <c r="F222" s="5" t="s">
        <v>6282</v>
      </c>
      <c r="G222" s="5" t="s">
        <v>5939</v>
      </c>
      <c r="H222" s="5" t="s">
        <v>6095</v>
      </c>
      <c r="I222" s="5" t="s">
        <v>12</v>
      </c>
      <c r="J222" s="5" t="s">
        <v>6283</v>
      </c>
      <c r="K222" s="2"/>
    </row>
    <row r="223" customFormat="1" spans="1:11">
      <c r="A223" s="4" t="s">
        <v>6284</v>
      </c>
      <c r="B223" s="4" t="s">
        <v>470</v>
      </c>
      <c r="C223" s="4" t="s">
        <v>5719</v>
      </c>
      <c r="D223" s="5" t="s">
        <v>6231</v>
      </c>
      <c r="E223" s="4" t="s">
        <v>2852</v>
      </c>
      <c r="F223" s="5" t="s">
        <v>6279</v>
      </c>
      <c r="G223" s="5" t="s">
        <v>6219</v>
      </c>
      <c r="H223" s="5" t="s">
        <v>5817</v>
      </c>
      <c r="I223" s="5" t="s">
        <v>12</v>
      </c>
      <c r="J223" s="5" t="s">
        <v>3770</v>
      </c>
      <c r="K223" s="2"/>
    </row>
    <row r="224" customFormat="1" spans="1:11">
      <c r="A224" s="4" t="s">
        <v>6285</v>
      </c>
      <c r="B224" s="4" t="s">
        <v>470</v>
      </c>
      <c r="C224" s="4" t="s">
        <v>5719</v>
      </c>
      <c r="D224" s="5" t="s">
        <v>6235</v>
      </c>
      <c r="E224" s="4" t="s">
        <v>2852</v>
      </c>
      <c r="F224" s="5" t="s">
        <v>6286</v>
      </c>
      <c r="G224" s="5" t="s">
        <v>6219</v>
      </c>
      <c r="H224" s="5" t="s">
        <v>5817</v>
      </c>
      <c r="I224" s="5" t="s">
        <v>12</v>
      </c>
      <c r="J224" s="5" t="s">
        <v>3770</v>
      </c>
      <c r="K224" s="2"/>
    </row>
    <row r="225" customFormat="1" spans="1:11">
      <c r="A225" s="4" t="s">
        <v>6287</v>
      </c>
      <c r="B225" s="4" t="s">
        <v>470</v>
      </c>
      <c r="C225" s="4" t="s">
        <v>5719</v>
      </c>
      <c r="D225" s="5" t="s">
        <v>6231</v>
      </c>
      <c r="E225" s="4" t="s">
        <v>2852</v>
      </c>
      <c r="F225" s="5" t="s">
        <v>6271</v>
      </c>
      <c r="G225" s="5" t="s">
        <v>6219</v>
      </c>
      <c r="H225" s="5" t="s">
        <v>5895</v>
      </c>
      <c r="I225" s="5" t="s">
        <v>12</v>
      </c>
      <c r="J225" s="5" t="s">
        <v>6288</v>
      </c>
      <c r="K225" s="2"/>
    </row>
    <row r="226" customFormat="1" spans="1:11">
      <c r="A226" s="4" t="s">
        <v>6289</v>
      </c>
      <c r="B226" s="4" t="s">
        <v>470</v>
      </c>
      <c r="C226" s="4" t="s">
        <v>5719</v>
      </c>
      <c r="D226" s="5" t="s">
        <v>6231</v>
      </c>
      <c r="E226" s="4" t="s">
        <v>2852</v>
      </c>
      <c r="F226" s="5" t="s">
        <v>6290</v>
      </c>
      <c r="G226" s="5" t="s">
        <v>6219</v>
      </c>
      <c r="H226" s="5" t="s">
        <v>5895</v>
      </c>
      <c r="I226" s="5" t="s">
        <v>12</v>
      </c>
      <c r="J226" s="5" t="s">
        <v>6291</v>
      </c>
      <c r="K226" s="2"/>
    </row>
    <row r="227" spans="1:11">
      <c r="A227" s="4"/>
      <c r="B227" s="4"/>
      <c r="C227" s="4"/>
      <c r="D227" s="5"/>
      <c r="E227" s="4"/>
      <c r="F227" s="5"/>
      <c r="G227" s="5"/>
      <c r="H227" s="5"/>
      <c r="I227" s="5"/>
      <c r="J227" s="5"/>
      <c r="K227" s="2"/>
    </row>
    <row r="228" customFormat="1" spans="1:11">
      <c r="A228" s="4" t="s">
        <v>6292</v>
      </c>
      <c r="B228" s="4" t="s">
        <v>637</v>
      </c>
      <c r="C228" s="4" t="s">
        <v>495</v>
      </c>
      <c r="D228" s="5" t="s">
        <v>5939</v>
      </c>
      <c r="E228" s="4" t="s">
        <v>2852</v>
      </c>
      <c r="F228" s="5" t="s">
        <v>6271</v>
      </c>
      <c r="G228" s="5" t="s">
        <v>6293</v>
      </c>
      <c r="H228" s="5" t="s">
        <v>5851</v>
      </c>
      <c r="I228" s="5" t="s">
        <v>3769</v>
      </c>
      <c r="J228" s="5" t="s">
        <v>6294</v>
      </c>
      <c r="K228" s="2"/>
    </row>
    <row r="229" customFormat="1" spans="1:11">
      <c r="A229" s="4" t="s">
        <v>6295</v>
      </c>
      <c r="B229" s="4" t="s">
        <v>637</v>
      </c>
      <c r="C229" s="4" t="s">
        <v>495</v>
      </c>
      <c r="D229" s="5" t="s">
        <v>5939</v>
      </c>
      <c r="E229" s="4" t="s">
        <v>2852</v>
      </c>
      <c r="F229" s="5" t="s">
        <v>6271</v>
      </c>
      <c r="G229" s="5" t="s">
        <v>6296</v>
      </c>
      <c r="H229" s="5" t="s">
        <v>5817</v>
      </c>
      <c r="I229" s="5" t="s">
        <v>12</v>
      </c>
      <c r="J229" s="5" t="s">
        <v>3770</v>
      </c>
      <c r="K229" s="2"/>
    </row>
    <row r="230" customFormat="1" spans="1:11">
      <c r="A230" s="4" t="s">
        <v>6297</v>
      </c>
      <c r="B230" s="4" t="s">
        <v>637</v>
      </c>
      <c r="C230" s="4" t="s">
        <v>495</v>
      </c>
      <c r="D230" s="5" t="s">
        <v>4009</v>
      </c>
      <c r="E230" s="4" t="s">
        <v>2852</v>
      </c>
      <c r="F230" s="5" t="s">
        <v>6298</v>
      </c>
      <c r="G230" s="5" t="s">
        <v>6299</v>
      </c>
      <c r="H230" s="5" t="s">
        <v>5851</v>
      </c>
      <c r="I230" s="5" t="s">
        <v>12</v>
      </c>
      <c r="J230" s="5" t="s">
        <v>6300</v>
      </c>
      <c r="K230" s="2"/>
    </row>
    <row r="231" customFormat="1" spans="1:11">
      <c r="A231" s="4" t="s">
        <v>6301</v>
      </c>
      <c r="B231" s="4" t="s">
        <v>637</v>
      </c>
      <c r="C231" s="4" t="s">
        <v>1951</v>
      </c>
      <c r="D231" s="5" t="s">
        <v>4009</v>
      </c>
      <c r="E231" s="4" t="s">
        <v>2852</v>
      </c>
      <c r="F231" s="5" t="s">
        <v>6298</v>
      </c>
      <c r="G231" s="5" t="s">
        <v>5939</v>
      </c>
      <c r="H231" s="5" t="s">
        <v>5851</v>
      </c>
      <c r="I231" s="5" t="s">
        <v>12</v>
      </c>
      <c r="J231" s="5" t="s">
        <v>3770</v>
      </c>
      <c r="K231" s="2"/>
    </row>
    <row r="232" customFormat="1" spans="1:11">
      <c r="A232" s="4" t="s">
        <v>6302</v>
      </c>
      <c r="B232" s="4" t="s">
        <v>637</v>
      </c>
      <c r="C232" s="4" t="s">
        <v>5846</v>
      </c>
      <c r="D232" s="5" t="s">
        <v>5939</v>
      </c>
      <c r="E232" s="4" t="s">
        <v>2852</v>
      </c>
      <c r="F232" s="5" t="s">
        <v>6290</v>
      </c>
      <c r="G232" s="5" t="s">
        <v>6303</v>
      </c>
      <c r="H232" s="5" t="s">
        <v>5851</v>
      </c>
      <c r="I232" s="5" t="s">
        <v>3769</v>
      </c>
      <c r="J232" s="5" t="s">
        <v>6304</v>
      </c>
      <c r="K232" s="2"/>
    </row>
    <row r="233" customFormat="1" spans="1:11">
      <c r="A233" s="4" t="s">
        <v>6305</v>
      </c>
      <c r="B233" s="4" t="s">
        <v>637</v>
      </c>
      <c r="C233" s="4" t="s">
        <v>495</v>
      </c>
      <c r="D233" s="5" t="s">
        <v>5939</v>
      </c>
      <c r="E233" s="4" t="s">
        <v>2852</v>
      </c>
      <c r="F233" s="5" t="s">
        <v>6271</v>
      </c>
      <c r="G233" s="5" t="s">
        <v>6299</v>
      </c>
      <c r="H233" s="5" t="s">
        <v>6095</v>
      </c>
      <c r="I233" s="5" t="s">
        <v>12</v>
      </c>
      <c r="J233" s="5" t="s">
        <v>6273</v>
      </c>
      <c r="K233" s="2"/>
    </row>
    <row r="234" spans="1:11">
      <c r="A234" s="4"/>
      <c r="B234" s="4"/>
      <c r="C234" s="4"/>
      <c r="D234" s="5"/>
      <c r="E234" s="4"/>
      <c r="F234" s="5"/>
      <c r="G234" s="5"/>
      <c r="H234" s="5"/>
      <c r="I234" s="5"/>
      <c r="J234" s="5"/>
      <c r="K234" s="2"/>
    </row>
    <row r="235" customFormat="1" spans="1:11">
      <c r="A235" s="4" t="s">
        <v>6306</v>
      </c>
      <c r="B235" s="4" t="s">
        <v>646</v>
      </c>
      <c r="C235" s="4" t="s">
        <v>6230</v>
      </c>
      <c r="D235" s="5" t="s">
        <v>3689</v>
      </c>
      <c r="E235" s="4" t="s">
        <v>2852</v>
      </c>
      <c r="F235" s="5" t="s">
        <v>6307</v>
      </c>
      <c r="G235" s="5" t="s">
        <v>5915</v>
      </c>
      <c r="H235" s="5" t="s">
        <v>5851</v>
      </c>
      <c r="I235" s="5" t="s">
        <v>6264</v>
      </c>
      <c r="J235" s="5" t="s">
        <v>6308</v>
      </c>
      <c r="K235" s="2"/>
    </row>
    <row r="236" customFormat="1" spans="1:11">
      <c r="A236" s="4" t="s">
        <v>6309</v>
      </c>
      <c r="B236" s="4" t="s">
        <v>646</v>
      </c>
      <c r="C236" s="4" t="s">
        <v>6230</v>
      </c>
      <c r="D236" s="5" t="s">
        <v>6235</v>
      </c>
      <c r="E236" s="4" t="s">
        <v>2852</v>
      </c>
      <c r="F236" s="5" t="s">
        <v>6271</v>
      </c>
      <c r="G236" s="5" t="s">
        <v>5939</v>
      </c>
      <c r="H236" s="5" t="s">
        <v>3689</v>
      </c>
      <c r="I236" s="5" t="s">
        <v>3769</v>
      </c>
      <c r="J236" s="5" t="s">
        <v>6310</v>
      </c>
      <c r="K236" s="2"/>
    </row>
    <row r="237" customFormat="1" spans="1:11">
      <c r="A237" s="4" t="s">
        <v>6311</v>
      </c>
      <c r="B237" s="4" t="s">
        <v>646</v>
      </c>
      <c r="C237" s="4" t="s">
        <v>6230</v>
      </c>
      <c r="D237" s="5" t="s">
        <v>3696</v>
      </c>
      <c r="E237" s="4" t="s">
        <v>2852</v>
      </c>
      <c r="F237" s="5" t="s">
        <v>6307</v>
      </c>
      <c r="G237" s="5" t="s">
        <v>6276</v>
      </c>
      <c r="H237" s="5" t="s">
        <v>5851</v>
      </c>
      <c r="I237" s="5" t="s">
        <v>3769</v>
      </c>
      <c r="J237" s="5" t="s">
        <v>6312</v>
      </c>
      <c r="K237" s="2"/>
    </row>
    <row r="238" customFormat="1" spans="1:11">
      <c r="A238" s="4" t="s">
        <v>6313</v>
      </c>
      <c r="B238" s="4" t="s">
        <v>646</v>
      </c>
      <c r="C238" s="4" t="s">
        <v>6230</v>
      </c>
      <c r="D238" s="5" t="s">
        <v>6231</v>
      </c>
      <c r="E238" s="4" t="s">
        <v>2852</v>
      </c>
      <c r="F238" s="5" t="s">
        <v>6290</v>
      </c>
      <c r="G238" s="5" t="s">
        <v>6314</v>
      </c>
      <c r="H238" s="5" t="s">
        <v>5851</v>
      </c>
      <c r="I238" s="5" t="s">
        <v>3769</v>
      </c>
      <c r="J238" s="5" t="s">
        <v>6315</v>
      </c>
      <c r="K238" s="2"/>
    </row>
    <row r="239" customFormat="1" spans="1:11">
      <c r="A239" s="4" t="s">
        <v>6316</v>
      </c>
      <c r="B239" s="4" t="s">
        <v>646</v>
      </c>
      <c r="C239" s="4" t="s">
        <v>6230</v>
      </c>
      <c r="D239" s="5" t="s">
        <v>6231</v>
      </c>
      <c r="E239" s="4" t="s">
        <v>2852</v>
      </c>
      <c r="F239" s="5" t="s">
        <v>6307</v>
      </c>
      <c r="G239" s="5" t="s">
        <v>6317</v>
      </c>
      <c r="H239" s="5" t="s">
        <v>5851</v>
      </c>
      <c r="I239" s="5" t="s">
        <v>3769</v>
      </c>
      <c r="J239" s="5" t="s">
        <v>6318</v>
      </c>
      <c r="K239" s="2"/>
    </row>
    <row r="240" customFormat="1" spans="1:11">
      <c r="A240" s="4" t="s">
        <v>6319</v>
      </c>
      <c r="B240" s="4" t="s">
        <v>646</v>
      </c>
      <c r="C240" s="4" t="s">
        <v>6230</v>
      </c>
      <c r="D240" s="5" t="s">
        <v>5915</v>
      </c>
      <c r="E240" s="4" t="s">
        <v>2852</v>
      </c>
      <c r="F240" s="5" t="s">
        <v>6307</v>
      </c>
      <c r="G240" s="5" t="s">
        <v>6320</v>
      </c>
      <c r="H240" s="5" t="s">
        <v>6095</v>
      </c>
      <c r="I240" s="5" t="s">
        <v>12</v>
      </c>
      <c r="J240" s="5" t="s">
        <v>3770</v>
      </c>
      <c r="K240" s="2"/>
    </row>
    <row r="241" customFormat="1" spans="1:11">
      <c r="A241" s="4" t="s">
        <v>6321</v>
      </c>
      <c r="B241" s="4" t="s">
        <v>646</v>
      </c>
      <c r="C241" s="4" t="s">
        <v>5719</v>
      </c>
      <c r="D241" s="5" t="s">
        <v>6231</v>
      </c>
      <c r="E241" s="4" t="s">
        <v>2852</v>
      </c>
      <c r="F241" s="5" t="s">
        <v>6307</v>
      </c>
      <c r="G241" s="5" t="s">
        <v>6322</v>
      </c>
      <c r="H241" s="5" t="s">
        <v>5895</v>
      </c>
      <c r="I241" s="5" t="s">
        <v>12</v>
      </c>
      <c r="J241" s="5" t="s">
        <v>3770</v>
      </c>
      <c r="K241" s="2"/>
    </row>
    <row r="242" customFormat="1" spans="1:11">
      <c r="A242" s="4" t="s">
        <v>6323</v>
      </c>
      <c r="B242" s="4" t="s">
        <v>646</v>
      </c>
      <c r="C242" s="4" t="s">
        <v>6230</v>
      </c>
      <c r="D242" s="5" t="s">
        <v>6231</v>
      </c>
      <c r="E242" s="4" t="s">
        <v>2852</v>
      </c>
      <c r="F242" s="5" t="s">
        <v>6307</v>
      </c>
      <c r="G242" s="5" t="s">
        <v>6276</v>
      </c>
      <c r="H242" s="5" t="s">
        <v>5895</v>
      </c>
      <c r="I242" s="5" t="s">
        <v>3769</v>
      </c>
      <c r="J242" s="5" t="s">
        <v>3770</v>
      </c>
      <c r="K242" s="2"/>
    </row>
    <row r="243" spans="1:11">
      <c r="A243" s="4"/>
      <c r="B243" s="4"/>
      <c r="C243" s="4"/>
      <c r="D243" s="5"/>
      <c r="E243" s="4"/>
      <c r="F243" s="5"/>
      <c r="G243" s="5"/>
      <c r="H243" s="5"/>
      <c r="I243" s="5"/>
      <c r="J243" s="5"/>
      <c r="K243" s="2"/>
    </row>
    <row r="244" customFormat="1" spans="1:11">
      <c r="A244" s="4" t="s">
        <v>6324</v>
      </c>
      <c r="B244" s="4" t="s">
        <v>133</v>
      </c>
      <c r="C244" s="4" t="s">
        <v>6325</v>
      </c>
      <c r="D244" s="5" t="s">
        <v>5925</v>
      </c>
      <c r="E244" s="4" t="s">
        <v>2852</v>
      </c>
      <c r="F244" s="5" t="s">
        <v>5850</v>
      </c>
      <c r="G244" s="5" t="s">
        <v>5816</v>
      </c>
      <c r="H244" s="5" t="s">
        <v>3689</v>
      </c>
      <c r="I244" s="5" t="s">
        <v>3758</v>
      </c>
      <c r="J244" s="5" t="s">
        <v>6326</v>
      </c>
      <c r="K244" s="2"/>
    </row>
    <row r="245" s="3" customFormat="1" spans="1:11">
      <c r="A245" s="8" t="s">
        <v>6327</v>
      </c>
      <c r="B245" s="4" t="s">
        <v>133</v>
      </c>
      <c r="C245" s="4" t="s">
        <v>6328</v>
      </c>
      <c r="D245" s="5" t="s">
        <v>5840</v>
      </c>
      <c r="E245" s="4"/>
      <c r="F245" s="5">
        <v>1</v>
      </c>
      <c r="G245" s="5" t="s">
        <v>6004</v>
      </c>
      <c r="H245" s="5" t="s">
        <v>76</v>
      </c>
      <c r="I245" s="5" t="s">
        <v>1575</v>
      </c>
      <c r="J245" s="5"/>
      <c r="K245" s="2" t="s">
        <v>6329</v>
      </c>
    </row>
    <row r="246" spans="1:11">
      <c r="A246" s="4"/>
      <c r="B246" s="4"/>
      <c r="C246" s="4"/>
      <c r="D246" s="5"/>
      <c r="E246" s="4"/>
      <c r="F246" s="5"/>
      <c r="G246" s="5"/>
      <c r="H246" s="5"/>
      <c r="I246" s="5"/>
      <c r="J246" s="5"/>
      <c r="K246" s="2"/>
    </row>
    <row r="247" customFormat="1" spans="1:11">
      <c r="A247" s="4" t="s">
        <v>6330</v>
      </c>
      <c r="B247" s="4" t="s">
        <v>137</v>
      </c>
      <c r="C247" s="4" t="s">
        <v>6331</v>
      </c>
      <c r="D247" s="5" t="s">
        <v>6332</v>
      </c>
      <c r="E247" s="4" t="s">
        <v>2852</v>
      </c>
      <c r="F247" s="5" t="s">
        <v>5850</v>
      </c>
      <c r="G247" s="5" t="s">
        <v>6004</v>
      </c>
      <c r="H247" s="5" t="s">
        <v>5888</v>
      </c>
      <c r="I247" s="5" t="s">
        <v>3758</v>
      </c>
      <c r="J247" s="5" t="s">
        <v>3770</v>
      </c>
      <c r="K247" s="2"/>
    </row>
    <row r="248" customFormat="1" spans="1:11">
      <c r="A248" s="4" t="s">
        <v>6333</v>
      </c>
      <c r="B248" s="4" t="s">
        <v>137</v>
      </c>
      <c r="C248" s="4" t="s">
        <v>6334</v>
      </c>
      <c r="D248" s="5" t="s">
        <v>6335</v>
      </c>
      <c r="E248" s="4" t="s">
        <v>2852</v>
      </c>
      <c r="F248" s="5" t="s">
        <v>5850</v>
      </c>
      <c r="G248" s="5" t="s">
        <v>6004</v>
      </c>
      <c r="H248" s="5" t="s">
        <v>5895</v>
      </c>
      <c r="I248" s="5" t="s">
        <v>3758</v>
      </c>
      <c r="J248" s="5" t="s">
        <v>6336</v>
      </c>
      <c r="K248" s="2"/>
    </row>
    <row r="249" customFormat="1" spans="1:11">
      <c r="A249" s="4" t="s">
        <v>6337</v>
      </c>
      <c r="B249" s="4" t="s">
        <v>137</v>
      </c>
      <c r="C249" s="4" t="s">
        <v>6334</v>
      </c>
      <c r="D249" s="5" t="s">
        <v>6335</v>
      </c>
      <c r="E249" s="4" t="s">
        <v>2852</v>
      </c>
      <c r="F249" s="5" t="s">
        <v>5850</v>
      </c>
      <c r="G249" s="5" t="s">
        <v>6004</v>
      </c>
      <c r="H249" s="5" t="s">
        <v>5895</v>
      </c>
      <c r="I249" s="5" t="s">
        <v>3758</v>
      </c>
      <c r="J249" s="5" t="s">
        <v>3770</v>
      </c>
      <c r="K249" s="2"/>
    </row>
    <row r="250" spans="1:11">
      <c r="A250" s="4"/>
      <c r="B250" s="4"/>
      <c r="C250" s="4"/>
      <c r="D250" s="5"/>
      <c r="E250" s="4"/>
      <c r="F250" s="5"/>
      <c r="G250" s="5"/>
      <c r="H250" s="5"/>
      <c r="I250" s="5"/>
      <c r="J250" s="5"/>
      <c r="K250" s="2"/>
    </row>
    <row r="251" spans="1:11">
      <c r="A251" s="4" t="s">
        <v>6338</v>
      </c>
      <c r="B251" s="4" t="s">
        <v>154</v>
      </c>
      <c r="C251" s="4" t="s">
        <v>6339</v>
      </c>
      <c r="D251" s="5" t="s">
        <v>6340</v>
      </c>
      <c r="E251" s="4" t="s">
        <v>2852</v>
      </c>
      <c r="F251" s="5" t="s">
        <v>3898</v>
      </c>
      <c r="G251" s="5" t="s">
        <v>6341</v>
      </c>
      <c r="H251" s="5" t="s">
        <v>3689</v>
      </c>
      <c r="I251" s="5" t="s">
        <v>12</v>
      </c>
      <c r="J251" s="5" t="s">
        <v>3770</v>
      </c>
      <c r="K251" s="2"/>
    </row>
    <row r="252" spans="1:11">
      <c r="A252" s="4" t="s">
        <v>6342</v>
      </c>
      <c r="B252" s="4" t="s">
        <v>154</v>
      </c>
      <c r="C252" s="4" t="s">
        <v>6343</v>
      </c>
      <c r="D252" s="5" t="s">
        <v>6340</v>
      </c>
      <c r="E252" s="4" t="s">
        <v>2852</v>
      </c>
      <c r="F252" s="5" t="s">
        <v>5841</v>
      </c>
      <c r="G252" s="5" t="s">
        <v>6341</v>
      </c>
      <c r="H252" s="5" t="s">
        <v>5895</v>
      </c>
      <c r="I252" s="5" t="s">
        <v>3758</v>
      </c>
      <c r="J252" s="5" t="s">
        <v>6344</v>
      </c>
      <c r="K252" s="2"/>
    </row>
    <row r="253" spans="1:11">
      <c r="A253" s="4" t="s">
        <v>6345</v>
      </c>
      <c r="B253" s="4" t="s">
        <v>154</v>
      </c>
      <c r="C253" s="4" t="s">
        <v>6343</v>
      </c>
      <c r="D253" s="5" t="s">
        <v>6346</v>
      </c>
      <c r="E253" s="4" t="s">
        <v>2852</v>
      </c>
      <c r="F253" s="5" t="s">
        <v>5816</v>
      </c>
      <c r="G253" s="5" t="s">
        <v>6341</v>
      </c>
      <c r="H253" s="5" t="s">
        <v>3689</v>
      </c>
      <c r="I253" s="5" t="s">
        <v>12</v>
      </c>
      <c r="J253" s="5" t="s">
        <v>3770</v>
      </c>
      <c r="K253" s="2"/>
    </row>
    <row r="254" spans="1:11">
      <c r="A254" s="4" t="s">
        <v>6347</v>
      </c>
      <c r="B254" s="4" t="s">
        <v>154</v>
      </c>
      <c r="C254" s="4" t="s">
        <v>6348</v>
      </c>
      <c r="D254" s="5" t="s">
        <v>6349</v>
      </c>
      <c r="E254" s="4" t="s">
        <v>2852</v>
      </c>
      <c r="F254" s="5">
        <v>1</v>
      </c>
      <c r="G254" s="5" t="s">
        <v>6350</v>
      </c>
      <c r="H254" s="5" t="s">
        <v>6095</v>
      </c>
      <c r="I254" s="5" t="s">
        <v>12</v>
      </c>
      <c r="J254" s="5" t="s">
        <v>3770</v>
      </c>
      <c r="K254" s="2"/>
    </row>
    <row r="255" spans="1:11">
      <c r="A255" s="4"/>
      <c r="B255" s="4"/>
      <c r="C255" s="4"/>
      <c r="D255" s="5"/>
      <c r="E255" s="4"/>
      <c r="F255" s="5"/>
      <c r="G255" s="5"/>
      <c r="H255" s="5"/>
      <c r="I255" s="5"/>
      <c r="J255" s="5"/>
      <c r="K255" s="2"/>
    </row>
    <row r="256" customFormat="1" spans="1:11">
      <c r="A256" s="4" t="s">
        <v>6351</v>
      </c>
      <c r="B256" s="4" t="s">
        <v>146</v>
      </c>
      <c r="C256" s="4" t="s">
        <v>6352</v>
      </c>
      <c r="D256" s="5" t="s">
        <v>3770</v>
      </c>
      <c r="E256" s="4" t="s">
        <v>2852</v>
      </c>
      <c r="F256" s="5" t="s">
        <v>3770</v>
      </c>
      <c r="G256" s="5" t="s">
        <v>6004</v>
      </c>
      <c r="H256" s="5" t="s">
        <v>3689</v>
      </c>
      <c r="I256" s="5" t="s">
        <v>3758</v>
      </c>
      <c r="J256" s="5" t="s">
        <v>6353</v>
      </c>
      <c r="K256" s="2"/>
    </row>
    <row r="257" spans="1:11">
      <c r="A257" s="4" t="s">
        <v>6354</v>
      </c>
      <c r="B257" s="4" t="s">
        <v>146</v>
      </c>
      <c r="C257" s="4" t="s">
        <v>6355</v>
      </c>
      <c r="D257" s="5" t="s">
        <v>6356</v>
      </c>
      <c r="E257" s="4" t="s">
        <v>2852</v>
      </c>
      <c r="F257" s="5" t="s">
        <v>6357</v>
      </c>
      <c r="G257" s="5" t="s">
        <v>6004</v>
      </c>
      <c r="H257" s="5" t="s">
        <v>5888</v>
      </c>
      <c r="I257" s="5" t="s">
        <v>3758</v>
      </c>
      <c r="J257" s="5" t="s">
        <v>3770</v>
      </c>
      <c r="K257" s="2"/>
    </row>
    <row r="258" spans="1:11">
      <c r="A258" s="4" t="s">
        <v>6358</v>
      </c>
      <c r="B258" s="4" t="s">
        <v>146</v>
      </c>
      <c r="C258" s="4" t="s">
        <v>6359</v>
      </c>
      <c r="D258" s="5" t="s">
        <v>6356</v>
      </c>
      <c r="E258" s="4" t="s">
        <v>2852</v>
      </c>
      <c r="F258" s="5" t="s">
        <v>6357</v>
      </c>
      <c r="G258" s="5" t="s">
        <v>6004</v>
      </c>
      <c r="H258" s="5" t="s">
        <v>5895</v>
      </c>
      <c r="I258" s="5" t="s">
        <v>12</v>
      </c>
      <c r="J258" s="5" t="s">
        <v>3770</v>
      </c>
      <c r="K258" s="2"/>
    </row>
    <row r="259" spans="1:11">
      <c r="A259" s="4" t="s">
        <v>6360</v>
      </c>
      <c r="B259" s="4" t="s">
        <v>146</v>
      </c>
      <c r="C259" s="4" t="s">
        <v>6361</v>
      </c>
      <c r="D259" s="5" t="s">
        <v>6356</v>
      </c>
      <c r="E259" s="4" t="s">
        <v>2852</v>
      </c>
      <c r="F259" s="5" t="s">
        <v>6362</v>
      </c>
      <c r="G259" s="5" t="s">
        <v>6004</v>
      </c>
      <c r="H259" s="5" t="s">
        <v>5895</v>
      </c>
      <c r="I259" s="5" t="s">
        <v>3758</v>
      </c>
      <c r="J259" s="5" t="s">
        <v>3770</v>
      </c>
      <c r="K259" s="2"/>
    </row>
    <row r="260" spans="1:11">
      <c r="A260" s="4" t="s">
        <v>6363</v>
      </c>
      <c r="B260" s="4" t="s">
        <v>146</v>
      </c>
      <c r="C260" s="4" t="s">
        <v>6364</v>
      </c>
      <c r="D260" s="5" t="s">
        <v>6356</v>
      </c>
      <c r="E260" s="4" t="s">
        <v>2852</v>
      </c>
      <c r="F260" s="5" t="s">
        <v>6362</v>
      </c>
      <c r="G260" s="5" t="s">
        <v>6004</v>
      </c>
      <c r="H260" s="5" t="s">
        <v>5895</v>
      </c>
      <c r="I260" s="5" t="s">
        <v>12</v>
      </c>
      <c r="J260" s="5" t="s">
        <v>3770</v>
      </c>
      <c r="K260" s="2"/>
    </row>
    <row r="261" spans="1:11">
      <c r="A261" s="4"/>
      <c r="B261" s="4"/>
      <c r="C261" s="4"/>
      <c r="D261" s="5"/>
      <c r="E261" s="4"/>
      <c r="F261" s="5"/>
      <c r="G261" s="5"/>
      <c r="H261" s="5"/>
      <c r="I261" s="5"/>
      <c r="J261" s="5"/>
      <c r="K261" s="2"/>
    </row>
    <row r="262" spans="1:11">
      <c r="A262" s="4" t="s">
        <v>6365</v>
      </c>
      <c r="B262" s="4" t="s">
        <v>645</v>
      </c>
      <c r="C262" s="4" t="s">
        <v>6331</v>
      </c>
      <c r="D262" s="5" t="s">
        <v>6366</v>
      </c>
      <c r="E262" s="4" t="s">
        <v>2852</v>
      </c>
      <c r="F262" s="5" t="s">
        <v>5816</v>
      </c>
      <c r="G262" s="5" t="s">
        <v>6367</v>
      </c>
      <c r="H262" s="5" t="s">
        <v>6368</v>
      </c>
      <c r="I262" s="5" t="s">
        <v>3758</v>
      </c>
      <c r="J262" s="5" t="s">
        <v>3770</v>
      </c>
      <c r="K262" s="2"/>
    </row>
    <row r="263" spans="1:11">
      <c r="A263" s="4" t="s">
        <v>6369</v>
      </c>
      <c r="B263" s="4" t="s">
        <v>645</v>
      </c>
      <c r="C263" s="4" t="s">
        <v>6370</v>
      </c>
      <c r="D263" s="5" t="s">
        <v>5840</v>
      </c>
      <c r="E263" s="4" t="s">
        <v>2852</v>
      </c>
      <c r="F263" s="5">
        <v>1</v>
      </c>
      <c r="G263" s="5" t="s">
        <v>5858</v>
      </c>
      <c r="H263" s="5" t="s">
        <v>5888</v>
      </c>
      <c r="I263" s="5" t="s">
        <v>1575</v>
      </c>
      <c r="J263" s="5"/>
      <c r="K263" s="2"/>
    </row>
    <row r="264" spans="1:11">
      <c r="A264" s="4" t="s">
        <v>6371</v>
      </c>
      <c r="B264" s="4" t="s">
        <v>645</v>
      </c>
      <c r="C264" s="4" t="s">
        <v>6372</v>
      </c>
      <c r="D264" s="5" t="s">
        <v>6373</v>
      </c>
      <c r="E264" s="4" t="s">
        <v>2852</v>
      </c>
      <c r="F264" s="5" t="s">
        <v>6357</v>
      </c>
      <c r="G264" s="5" t="s">
        <v>6004</v>
      </c>
      <c r="H264" s="5" t="s">
        <v>5895</v>
      </c>
      <c r="I264" s="5" t="s">
        <v>1575</v>
      </c>
      <c r="J264" s="5"/>
      <c r="K264" s="2" t="s">
        <v>6374</v>
      </c>
    </row>
    <row r="265" customFormat="1" spans="1:11">
      <c r="A265" s="4" t="s">
        <v>6375</v>
      </c>
      <c r="B265" s="4" t="s">
        <v>645</v>
      </c>
      <c r="C265" s="4" t="s">
        <v>6376</v>
      </c>
      <c r="D265" s="5" t="s">
        <v>6373</v>
      </c>
      <c r="E265" s="4" t="s">
        <v>2852</v>
      </c>
      <c r="F265" s="5">
        <v>1</v>
      </c>
      <c r="G265" s="5" t="s">
        <v>6367</v>
      </c>
      <c r="H265" s="5" t="s">
        <v>5817</v>
      </c>
      <c r="I265" s="5" t="s">
        <v>1575</v>
      </c>
      <c r="J265" s="5"/>
      <c r="K265" s="2" t="s">
        <v>6377</v>
      </c>
    </row>
    <row r="266" customFormat="1" spans="1:11">
      <c r="A266" s="4" t="s">
        <v>6378</v>
      </c>
      <c r="B266" s="4" t="s">
        <v>645</v>
      </c>
      <c r="C266" s="4" t="s">
        <v>6379</v>
      </c>
      <c r="D266" s="5" t="s">
        <v>6373</v>
      </c>
      <c r="E266" s="4" t="s">
        <v>2852</v>
      </c>
      <c r="F266" s="5">
        <v>1</v>
      </c>
      <c r="G266" s="5" t="s">
        <v>6380</v>
      </c>
      <c r="H266" s="5" t="s">
        <v>5895</v>
      </c>
      <c r="I266" s="5" t="s">
        <v>6381</v>
      </c>
      <c r="J266" s="5"/>
      <c r="K266" s="2" t="s">
        <v>6382</v>
      </c>
    </row>
    <row r="267" spans="1:11">
      <c r="A267" s="4"/>
      <c r="B267" s="4"/>
      <c r="C267" s="4"/>
      <c r="D267" s="5"/>
      <c r="E267" s="4"/>
      <c r="F267" s="5"/>
      <c r="G267" s="5"/>
      <c r="H267" s="5"/>
      <c r="I267" s="5"/>
      <c r="J267" s="5"/>
      <c r="K267" s="2"/>
    </row>
    <row r="268" spans="1:11">
      <c r="A268" s="4" t="s">
        <v>6383</v>
      </c>
      <c r="B268" s="4" t="s">
        <v>647</v>
      </c>
      <c r="C268" s="4" t="s">
        <v>6384</v>
      </c>
      <c r="D268" s="5" t="s">
        <v>6385</v>
      </c>
      <c r="E268" s="4" t="s">
        <v>2852</v>
      </c>
      <c r="F268" s="5" t="s">
        <v>5816</v>
      </c>
      <c r="G268" s="5" t="s">
        <v>5816</v>
      </c>
      <c r="H268" s="5" t="s">
        <v>6095</v>
      </c>
      <c r="I268" s="5" t="s">
        <v>12</v>
      </c>
      <c r="J268" s="5" t="s">
        <v>3770</v>
      </c>
      <c r="K268" s="2"/>
    </row>
    <row r="269" spans="1:11">
      <c r="A269" s="4" t="s">
        <v>6386</v>
      </c>
      <c r="B269" s="4" t="s">
        <v>647</v>
      </c>
      <c r="C269" s="4" t="s">
        <v>6387</v>
      </c>
      <c r="D269" s="5" t="s">
        <v>6373</v>
      </c>
      <c r="E269" s="4" t="s">
        <v>2852</v>
      </c>
      <c r="F269" s="5" t="s">
        <v>5847</v>
      </c>
      <c r="G269" s="5" t="s">
        <v>5816</v>
      </c>
      <c r="H269" s="5" t="s">
        <v>5895</v>
      </c>
      <c r="I269" s="5" t="s">
        <v>12</v>
      </c>
      <c r="J269" s="5" t="s">
        <v>3770</v>
      </c>
      <c r="K269" s="2"/>
    </row>
    <row r="270" customFormat="1" spans="1:11">
      <c r="A270" s="4" t="s">
        <v>6388</v>
      </c>
      <c r="B270" s="4" t="s">
        <v>647</v>
      </c>
      <c r="C270" s="4" t="s">
        <v>6389</v>
      </c>
      <c r="D270" s="5" t="s">
        <v>6390</v>
      </c>
      <c r="E270" s="4" t="s">
        <v>2852</v>
      </c>
      <c r="F270" s="5" t="s">
        <v>5850</v>
      </c>
      <c r="G270" s="5" t="s">
        <v>5816</v>
      </c>
      <c r="H270" s="5">
        <v>94</v>
      </c>
      <c r="I270" s="5" t="s">
        <v>6391</v>
      </c>
      <c r="J270" s="5" t="s">
        <v>6392</v>
      </c>
      <c r="K270" s="2" t="s">
        <v>6393</v>
      </c>
    </row>
    <row r="271" customFormat="1" spans="1:11">
      <c r="A271" s="4" t="s">
        <v>6394</v>
      </c>
      <c r="B271" s="4" t="s">
        <v>647</v>
      </c>
      <c r="C271" s="4" t="s">
        <v>6395</v>
      </c>
      <c r="D271" s="5" t="s">
        <v>6385</v>
      </c>
      <c r="E271" s="4" t="s">
        <v>2852</v>
      </c>
      <c r="F271" s="5" t="s">
        <v>5847</v>
      </c>
      <c r="G271" s="5" t="s">
        <v>5816</v>
      </c>
      <c r="H271" s="5">
        <v>92</v>
      </c>
      <c r="I271" s="5" t="s">
        <v>12</v>
      </c>
      <c r="J271" s="5" t="s">
        <v>6396</v>
      </c>
      <c r="K271" s="2" t="s">
        <v>6397</v>
      </c>
    </row>
    <row r="272" customFormat="1" spans="1:11">
      <c r="A272" s="4" t="s">
        <v>6398</v>
      </c>
      <c r="B272" s="4" t="s">
        <v>647</v>
      </c>
      <c r="C272" s="4" t="s">
        <v>6399</v>
      </c>
      <c r="D272" s="5" t="s">
        <v>6400</v>
      </c>
      <c r="E272" s="4" t="s">
        <v>2852</v>
      </c>
      <c r="F272" s="5" t="s">
        <v>6357</v>
      </c>
      <c r="G272" s="5" t="s">
        <v>6004</v>
      </c>
      <c r="H272" s="5">
        <v>95</v>
      </c>
      <c r="I272" s="5" t="s">
        <v>12</v>
      </c>
      <c r="J272" s="5"/>
      <c r="K272" s="2" t="s">
        <v>6401</v>
      </c>
    </row>
    <row r="273" customFormat="1" spans="1:11">
      <c r="A273" s="4" t="s">
        <v>6402</v>
      </c>
      <c r="B273" s="4" t="s">
        <v>647</v>
      </c>
      <c r="C273" s="4" t="s">
        <v>6403</v>
      </c>
      <c r="D273" s="5" t="s">
        <v>6390</v>
      </c>
      <c r="E273" s="4" t="s">
        <v>2852</v>
      </c>
      <c r="F273" s="5" t="s">
        <v>5850</v>
      </c>
      <c r="G273" s="5" t="s">
        <v>5816</v>
      </c>
      <c r="H273" s="5">
        <v>93</v>
      </c>
      <c r="I273" s="5" t="s">
        <v>12</v>
      </c>
      <c r="J273" s="5" t="s">
        <v>6404</v>
      </c>
      <c r="K273" s="2" t="s">
        <v>6405</v>
      </c>
    </row>
    <row r="274" customFormat="1" spans="1:11">
      <c r="A274" s="4" t="s">
        <v>6406</v>
      </c>
      <c r="B274" s="4" t="s">
        <v>647</v>
      </c>
      <c r="C274" s="4" t="s">
        <v>6407</v>
      </c>
      <c r="D274" s="5" t="s">
        <v>6340</v>
      </c>
      <c r="E274" s="4" t="s">
        <v>2852</v>
      </c>
      <c r="F274" s="5" t="s">
        <v>5850</v>
      </c>
      <c r="G274" s="5" t="s">
        <v>5816</v>
      </c>
      <c r="H274" s="5">
        <v>96</v>
      </c>
      <c r="I274" s="5" t="s">
        <v>12</v>
      </c>
      <c r="J274" s="5" t="s">
        <v>6408</v>
      </c>
      <c r="K274" s="2" t="s">
        <v>6409</v>
      </c>
    </row>
    <row r="275" spans="1:11">
      <c r="A275" s="4" t="s">
        <v>6410</v>
      </c>
      <c r="B275" s="4" t="s">
        <v>647</v>
      </c>
      <c r="C275" s="4" t="s">
        <v>6411</v>
      </c>
      <c r="D275" s="5" t="s">
        <v>6412</v>
      </c>
      <c r="E275" s="4" t="s">
        <v>2852</v>
      </c>
      <c r="F275" s="5" t="s">
        <v>6413</v>
      </c>
      <c r="G275" s="5" t="s">
        <v>6004</v>
      </c>
      <c r="H275" s="5">
        <v>98</v>
      </c>
      <c r="I275" s="5" t="s">
        <v>12</v>
      </c>
      <c r="J275" s="5">
        <v>120000</v>
      </c>
      <c r="K275" s="2" t="s">
        <v>6414</v>
      </c>
    </row>
    <row r="276" customFormat="1" spans="1:11">
      <c r="A276" s="4"/>
      <c r="B276" s="4"/>
      <c r="C276" s="4"/>
      <c r="D276" s="5"/>
      <c r="E276" s="4"/>
      <c r="F276" s="5"/>
      <c r="G276" s="5"/>
      <c r="H276" s="5"/>
      <c r="I276" s="5"/>
      <c r="J276" s="5"/>
      <c r="K276" s="2"/>
    </row>
    <row r="277" customFormat="1" spans="1:11">
      <c r="A277" s="4" t="s">
        <v>6415</v>
      </c>
      <c r="B277" s="4" t="s">
        <v>650</v>
      </c>
      <c r="C277" s="4" t="s">
        <v>6416</v>
      </c>
      <c r="D277" s="5" t="s">
        <v>6417</v>
      </c>
      <c r="E277" s="4" t="s">
        <v>2852</v>
      </c>
      <c r="F277" s="5" t="s">
        <v>5847</v>
      </c>
      <c r="G277" s="5" t="s">
        <v>5925</v>
      </c>
      <c r="H277" s="5">
        <v>97</v>
      </c>
      <c r="I277" s="5" t="s">
        <v>1575</v>
      </c>
      <c r="J277" s="5">
        <v>500000</v>
      </c>
      <c r="K277" s="2" t="s">
        <v>6418</v>
      </c>
    </row>
    <row r="278" customFormat="1" spans="1:11">
      <c r="A278" s="4" t="s">
        <v>6419</v>
      </c>
      <c r="B278" s="4" t="s">
        <v>650</v>
      </c>
      <c r="C278" s="4" t="s">
        <v>6420</v>
      </c>
      <c r="D278" s="5" t="s">
        <v>6421</v>
      </c>
      <c r="E278" s="4" t="s">
        <v>2852</v>
      </c>
      <c r="F278" s="5" t="s">
        <v>5850</v>
      </c>
      <c r="G278" s="5" t="s">
        <v>5858</v>
      </c>
      <c r="H278" s="5">
        <v>95</v>
      </c>
      <c r="I278" s="5" t="s">
        <v>1575</v>
      </c>
      <c r="J278" s="5">
        <v>300000</v>
      </c>
      <c r="K278" s="2" t="s">
        <v>6422</v>
      </c>
    </row>
    <row r="279" customFormat="1" spans="1:11">
      <c r="A279" s="4" t="s">
        <v>6423</v>
      </c>
      <c r="B279" s="4" t="s">
        <v>650</v>
      </c>
      <c r="C279" s="4" t="s">
        <v>6424</v>
      </c>
      <c r="D279" s="5" t="s">
        <v>6340</v>
      </c>
      <c r="E279" s="4" t="s">
        <v>2852</v>
      </c>
      <c r="F279" s="5" t="s">
        <v>6413</v>
      </c>
      <c r="G279" s="5" t="s">
        <v>6088</v>
      </c>
      <c r="H279" s="5">
        <v>90</v>
      </c>
      <c r="I279" s="5" t="s">
        <v>1575</v>
      </c>
      <c r="J279" s="5" t="s">
        <v>3770</v>
      </c>
      <c r="K279" s="2" t="s">
        <v>6425</v>
      </c>
    </row>
    <row r="280" customFormat="1" spans="1:11">
      <c r="A280" s="4" t="s">
        <v>6426</v>
      </c>
      <c r="B280" s="4" t="s">
        <v>650</v>
      </c>
      <c r="C280" s="4" t="s">
        <v>6399</v>
      </c>
      <c r="D280" s="5" t="s">
        <v>6427</v>
      </c>
      <c r="E280" s="4" t="s">
        <v>2852</v>
      </c>
      <c r="F280" s="5" t="s">
        <v>5850</v>
      </c>
      <c r="G280" s="5" t="s">
        <v>5925</v>
      </c>
      <c r="H280" s="5">
        <v>94</v>
      </c>
      <c r="I280" s="5" t="s">
        <v>1575</v>
      </c>
      <c r="J280" s="5" t="s">
        <v>3770</v>
      </c>
      <c r="K280" s="2" t="s">
        <v>6428</v>
      </c>
    </row>
    <row r="281" customFormat="1" spans="1:11">
      <c r="A281" s="4"/>
      <c r="B281" s="4"/>
      <c r="C281" s="4"/>
      <c r="D281" s="5"/>
      <c r="E281" s="4" t="s">
        <v>2852</v>
      </c>
      <c r="F281" s="5"/>
      <c r="G281" s="5"/>
      <c r="H281" s="5"/>
      <c r="I281" s="5"/>
      <c r="J281" s="5"/>
      <c r="K281" s="2"/>
    </row>
    <row r="282" customFormat="1" spans="1:11">
      <c r="A282" s="4" t="s">
        <v>6429</v>
      </c>
      <c r="B282" s="4" t="s">
        <v>647</v>
      </c>
      <c r="C282" s="4" t="s">
        <v>6430</v>
      </c>
      <c r="D282" s="5" t="s">
        <v>6431</v>
      </c>
      <c r="E282" s="4" t="s">
        <v>2852</v>
      </c>
      <c r="F282" s="5" t="s">
        <v>6432</v>
      </c>
      <c r="G282" s="5" t="s">
        <v>6186</v>
      </c>
      <c r="H282" s="5">
        <v>99</v>
      </c>
      <c r="I282" s="5" t="s">
        <v>1575</v>
      </c>
      <c r="J282" s="5">
        <v>1000000</v>
      </c>
      <c r="K282" s="2" t="s">
        <v>6433</v>
      </c>
    </row>
    <row r="283" customFormat="1" spans="1:11">
      <c r="A283" s="4" t="s">
        <v>6434</v>
      </c>
      <c r="B283" s="4" t="s">
        <v>647</v>
      </c>
      <c r="C283" s="4" t="s">
        <v>6430</v>
      </c>
      <c r="D283" s="5" t="s">
        <v>5823</v>
      </c>
      <c r="E283" s="4" t="s">
        <v>2852</v>
      </c>
      <c r="F283" s="5" t="s">
        <v>6435</v>
      </c>
      <c r="G283" s="5" t="s">
        <v>3689</v>
      </c>
      <c r="H283" s="5">
        <v>90</v>
      </c>
      <c r="I283" s="5" t="s">
        <v>1575</v>
      </c>
      <c r="J283" s="5">
        <v>50000</v>
      </c>
      <c r="K283" s="2" t="s">
        <v>6436</v>
      </c>
    </row>
    <row r="284" spans="1:11">
      <c r="A284" s="4" t="s">
        <v>6437</v>
      </c>
      <c r="B284" s="4" t="s">
        <v>647</v>
      </c>
      <c r="C284" s="4" t="s">
        <v>6438</v>
      </c>
      <c r="D284" s="5" t="s">
        <v>6400</v>
      </c>
      <c r="E284" s="4" t="s">
        <v>2852</v>
      </c>
      <c r="F284" s="5">
        <v>1</v>
      </c>
      <c r="G284" s="5" t="s">
        <v>5939</v>
      </c>
      <c r="H284" s="5">
        <v>95</v>
      </c>
      <c r="I284" s="5" t="s">
        <v>1575</v>
      </c>
      <c r="J284" s="5"/>
      <c r="K284" s="2" t="s">
        <v>6439</v>
      </c>
    </row>
    <row r="285" spans="1:11">
      <c r="A285" s="4" t="s">
        <v>6440</v>
      </c>
      <c r="B285" s="4" t="s">
        <v>647</v>
      </c>
      <c r="C285" s="4" t="s">
        <v>6441</v>
      </c>
      <c r="D285" s="5" t="s">
        <v>5815</v>
      </c>
      <c r="E285" s="4" t="s">
        <v>2852</v>
      </c>
      <c r="F285" s="5"/>
      <c r="G285" s="5"/>
      <c r="H285" s="5"/>
      <c r="I285" s="5" t="s">
        <v>1575</v>
      </c>
      <c r="J285" s="5"/>
      <c r="K285" s="2" t="s">
        <v>6442</v>
      </c>
    </row>
    <row r="286" spans="1:11">
      <c r="A286" s="4" t="s">
        <v>6443</v>
      </c>
      <c r="B286" s="4" t="s">
        <v>647</v>
      </c>
      <c r="C286" s="4" t="s">
        <v>6444</v>
      </c>
      <c r="D286" s="5" t="s">
        <v>6445</v>
      </c>
      <c r="E286" s="4" t="s">
        <v>2852</v>
      </c>
      <c r="F286" s="5" t="s">
        <v>6446</v>
      </c>
      <c r="G286" s="5" t="s">
        <v>6004</v>
      </c>
      <c r="H286" s="5">
        <v>97</v>
      </c>
      <c r="I286" s="5" t="s">
        <v>1575</v>
      </c>
      <c r="J286" s="5">
        <v>30000</v>
      </c>
      <c r="K286" s="2" t="s">
        <v>6447</v>
      </c>
    </row>
    <row r="287" customFormat="1" spans="1:11">
      <c r="A287" s="4"/>
      <c r="B287" s="4"/>
      <c r="C287" s="4"/>
      <c r="D287" s="5"/>
      <c r="E287" s="4"/>
      <c r="F287" s="5"/>
      <c r="G287" s="5"/>
      <c r="H287" s="5"/>
      <c r="I287" s="5"/>
      <c r="J287" s="5"/>
      <c r="K287" s="2"/>
    </row>
    <row r="288" spans="1:11">
      <c r="A288" s="4" t="s">
        <v>6448</v>
      </c>
      <c r="B288" s="4" t="s">
        <v>650</v>
      </c>
      <c r="C288" s="4" t="s">
        <v>6449</v>
      </c>
      <c r="D288" s="5" t="s">
        <v>5815</v>
      </c>
      <c r="E288" s="4" t="s">
        <v>2852</v>
      </c>
      <c r="F288" s="5" t="s">
        <v>6092</v>
      </c>
      <c r="G288" s="5" t="s">
        <v>5939</v>
      </c>
      <c r="H288" s="5">
        <v>99</v>
      </c>
      <c r="I288" s="5" t="s">
        <v>1575</v>
      </c>
      <c r="J288" s="5">
        <v>3000</v>
      </c>
      <c r="K288" s="2" t="s">
        <v>6450</v>
      </c>
    </row>
    <row r="289" spans="1:11">
      <c r="A289" s="4" t="s">
        <v>6451</v>
      </c>
      <c r="B289" s="4" t="s">
        <v>650</v>
      </c>
      <c r="C289" s="4" t="s">
        <v>6245</v>
      </c>
      <c r="D289" s="5" t="s">
        <v>6452</v>
      </c>
      <c r="E289" s="4" t="s">
        <v>2852</v>
      </c>
      <c r="F289" s="5" t="s">
        <v>5866</v>
      </c>
      <c r="G289" s="5" t="s">
        <v>5935</v>
      </c>
      <c r="H289" s="5">
        <v>98</v>
      </c>
      <c r="I289" s="5" t="s">
        <v>1575</v>
      </c>
      <c r="J289" s="5">
        <v>10000</v>
      </c>
      <c r="K289" s="2" t="s">
        <v>6453</v>
      </c>
    </row>
    <row r="290" customFormat="1" spans="1:11">
      <c r="A290" s="4" t="s">
        <v>6454</v>
      </c>
      <c r="B290" s="4" t="s">
        <v>650</v>
      </c>
      <c r="C290" s="4" t="s">
        <v>6455</v>
      </c>
      <c r="D290" s="5" t="s">
        <v>6390</v>
      </c>
      <c r="E290" s="4" t="s">
        <v>2852</v>
      </c>
      <c r="F290" s="5">
        <v>0.5</v>
      </c>
      <c r="G290" s="5">
        <v>5</v>
      </c>
      <c r="H290" s="5" t="s">
        <v>5817</v>
      </c>
      <c r="I290" s="5" t="s">
        <v>1575</v>
      </c>
      <c r="J290" s="5"/>
      <c r="K290" s="2" t="s">
        <v>6456</v>
      </c>
    </row>
    <row r="291" spans="1:11">
      <c r="A291" s="4" t="s">
        <v>6457</v>
      </c>
      <c r="B291" s="4" t="s">
        <v>650</v>
      </c>
      <c r="C291" s="4" t="s">
        <v>6331</v>
      </c>
      <c r="D291" s="5" t="s">
        <v>5826</v>
      </c>
      <c r="E291" s="4" t="s">
        <v>2852</v>
      </c>
      <c r="F291" s="5" t="s">
        <v>6092</v>
      </c>
      <c r="G291" s="5" t="s">
        <v>6219</v>
      </c>
      <c r="H291" s="5" t="s">
        <v>5895</v>
      </c>
      <c r="I291" s="5" t="s">
        <v>1575</v>
      </c>
      <c r="J291" s="5"/>
      <c r="K291" s="2"/>
    </row>
    <row r="292" customFormat="1" spans="1:11">
      <c r="A292" s="4" t="s">
        <v>6458</v>
      </c>
      <c r="B292" s="4" t="s">
        <v>650</v>
      </c>
      <c r="C292" s="4" t="s">
        <v>6459</v>
      </c>
      <c r="D292" s="5" t="s">
        <v>6427</v>
      </c>
      <c r="E292" s="4" t="s">
        <v>2852</v>
      </c>
      <c r="F292" s="5">
        <v>1</v>
      </c>
      <c r="G292" s="5">
        <v>20</v>
      </c>
      <c r="H292" s="5" t="s">
        <v>6095</v>
      </c>
      <c r="I292" s="5" t="s">
        <v>1575</v>
      </c>
      <c r="J292" s="5"/>
      <c r="K292" s="2"/>
    </row>
    <row r="293" customFormat="1" spans="1:11">
      <c r="A293" s="4" t="s">
        <v>6460</v>
      </c>
      <c r="B293" s="4" t="s">
        <v>650</v>
      </c>
      <c r="C293" s="4" t="s">
        <v>6461</v>
      </c>
      <c r="D293" s="5" t="s">
        <v>6385</v>
      </c>
      <c r="E293" s="4" t="s">
        <v>2852</v>
      </c>
      <c r="F293" s="5">
        <v>1</v>
      </c>
      <c r="G293" s="5">
        <v>10</v>
      </c>
      <c r="H293" s="5" t="s">
        <v>5817</v>
      </c>
      <c r="I293" s="5" t="s">
        <v>1575</v>
      </c>
      <c r="J293" s="5"/>
      <c r="K293" s="2"/>
    </row>
    <row r="294" customFormat="1" spans="1:11">
      <c r="A294" s="4" t="s">
        <v>6462</v>
      </c>
      <c r="B294" s="4" t="s">
        <v>650</v>
      </c>
      <c r="C294" s="4" t="s">
        <v>6463</v>
      </c>
      <c r="D294" s="5" t="s">
        <v>6366</v>
      </c>
      <c r="E294" s="4" t="s">
        <v>2852</v>
      </c>
      <c r="F294" s="5">
        <v>1</v>
      </c>
      <c r="G294" s="5">
        <v>20</v>
      </c>
      <c r="H294" s="5" t="s">
        <v>5895</v>
      </c>
      <c r="I294" s="5" t="s">
        <v>1575</v>
      </c>
      <c r="J294" s="5"/>
      <c r="K294" s="2" t="s">
        <v>6464</v>
      </c>
    </row>
    <row r="295" customFormat="1" spans="1:11">
      <c r="A295" s="4" t="s">
        <v>6465</v>
      </c>
      <c r="B295" s="4" t="s">
        <v>650</v>
      </c>
      <c r="C295" s="4" t="s">
        <v>6466</v>
      </c>
      <c r="D295" s="5" t="s">
        <v>5815</v>
      </c>
      <c r="E295" s="4" t="s">
        <v>2852</v>
      </c>
      <c r="F295" s="5">
        <v>1</v>
      </c>
      <c r="G295" s="5">
        <v>15</v>
      </c>
      <c r="H295" s="5" t="s">
        <v>5895</v>
      </c>
      <c r="I295" s="5" t="s">
        <v>1575</v>
      </c>
      <c r="J295" s="5"/>
      <c r="K295" s="2" t="s">
        <v>6467</v>
      </c>
    </row>
    <row r="296" customFormat="1" spans="1:11">
      <c r="A296" s="4" t="s">
        <v>6468</v>
      </c>
      <c r="B296" s="4" t="s">
        <v>650</v>
      </c>
      <c r="C296" s="4" t="s">
        <v>6469</v>
      </c>
      <c r="D296" s="5" t="s">
        <v>6366</v>
      </c>
      <c r="E296" s="4" t="s">
        <v>2852</v>
      </c>
      <c r="F296" s="5">
        <v>1</v>
      </c>
      <c r="G296" s="5">
        <v>10</v>
      </c>
      <c r="H296" s="5" t="s">
        <v>5895</v>
      </c>
      <c r="I296" s="5" t="s">
        <v>1575</v>
      </c>
      <c r="J296" s="5"/>
      <c r="K296" s="2" t="s">
        <v>6470</v>
      </c>
    </row>
    <row r="297" customFormat="1" spans="1:11">
      <c r="A297" s="4" t="s">
        <v>6471</v>
      </c>
      <c r="B297" s="4" t="s">
        <v>650</v>
      </c>
      <c r="C297" s="4" t="s">
        <v>6472</v>
      </c>
      <c r="D297" s="5" t="s">
        <v>5826</v>
      </c>
      <c r="E297" s="4" t="s">
        <v>2852</v>
      </c>
      <c r="F297" s="5" t="s">
        <v>5816</v>
      </c>
      <c r="G297" s="5" t="s">
        <v>5925</v>
      </c>
      <c r="H297" s="5" t="s">
        <v>5895</v>
      </c>
      <c r="I297" s="5" t="s">
        <v>1575</v>
      </c>
      <c r="J297" s="5"/>
      <c r="K297" s="2" t="s">
        <v>6473</v>
      </c>
    </row>
    <row r="298" customFormat="1" spans="1:11">
      <c r="A298" s="4" t="s">
        <v>6474</v>
      </c>
      <c r="B298" s="4" t="s">
        <v>650</v>
      </c>
      <c r="C298" s="4" t="s">
        <v>6331</v>
      </c>
      <c r="D298" s="5" t="s">
        <v>6427</v>
      </c>
      <c r="E298" s="4" t="s">
        <v>2852</v>
      </c>
      <c r="F298" s="5" t="s">
        <v>6475</v>
      </c>
      <c r="G298" s="5" t="s">
        <v>6476</v>
      </c>
      <c r="H298" s="5" t="s">
        <v>5888</v>
      </c>
      <c r="I298" s="5" t="s">
        <v>1575</v>
      </c>
      <c r="J298" s="5"/>
      <c r="K298" s="2" t="s">
        <v>6477</v>
      </c>
    </row>
    <row r="299" customFormat="1" spans="1:11">
      <c r="A299" s="4" t="s">
        <v>6478</v>
      </c>
      <c r="B299" s="4" t="s">
        <v>650</v>
      </c>
      <c r="C299" s="4" t="s">
        <v>6230</v>
      </c>
      <c r="D299" s="5" t="s">
        <v>6427</v>
      </c>
      <c r="E299" s="4" t="s">
        <v>2852</v>
      </c>
      <c r="F299" s="5" t="s">
        <v>6092</v>
      </c>
      <c r="G299" s="5">
        <v>50</v>
      </c>
      <c r="H299" s="5" t="s">
        <v>5817</v>
      </c>
      <c r="I299" s="5" t="s">
        <v>1575</v>
      </c>
      <c r="J299" s="5"/>
      <c r="K299" s="2"/>
    </row>
    <row r="300" customFormat="1" spans="1:11">
      <c r="A300" s="4" t="s">
        <v>6479</v>
      </c>
      <c r="B300" s="4" t="s">
        <v>650</v>
      </c>
      <c r="C300" s="4" t="s">
        <v>5854</v>
      </c>
      <c r="D300" s="5" t="s">
        <v>5823</v>
      </c>
      <c r="E300" s="4" t="s">
        <v>2852</v>
      </c>
      <c r="F300" s="5" t="s">
        <v>6092</v>
      </c>
      <c r="G300" s="5">
        <v>100</v>
      </c>
      <c r="H300" s="5" t="s">
        <v>5817</v>
      </c>
      <c r="I300" s="5" t="s">
        <v>1575</v>
      </c>
      <c r="J300" s="5"/>
      <c r="K300" s="2"/>
    </row>
    <row r="301" customFormat="1" spans="1:11">
      <c r="A301" s="4" t="s">
        <v>6480</v>
      </c>
      <c r="B301" s="4" t="s">
        <v>650</v>
      </c>
      <c r="C301" s="4" t="s">
        <v>6481</v>
      </c>
      <c r="D301" s="5" t="s">
        <v>5826</v>
      </c>
      <c r="E301" s="4" t="s">
        <v>2852</v>
      </c>
      <c r="F301" s="5" t="s">
        <v>6482</v>
      </c>
      <c r="G301" s="5">
        <v>100</v>
      </c>
      <c r="H301" s="5" t="s">
        <v>5888</v>
      </c>
      <c r="I301" s="5" t="s">
        <v>1575</v>
      </c>
      <c r="J301" s="5"/>
      <c r="K301" s="2" t="s">
        <v>6483</v>
      </c>
    </row>
    <row r="302" customFormat="1" spans="1:11">
      <c r="A302" s="4" t="s">
        <v>6484</v>
      </c>
      <c r="B302" s="4" t="s">
        <v>650</v>
      </c>
      <c r="C302" s="4" t="s">
        <v>6485</v>
      </c>
      <c r="D302" s="5" t="s">
        <v>5823</v>
      </c>
      <c r="E302" s="4" t="s">
        <v>2852</v>
      </c>
      <c r="F302" s="5">
        <v>1</v>
      </c>
      <c r="G302" s="5">
        <v>10</v>
      </c>
      <c r="H302" s="5" t="s">
        <v>5817</v>
      </c>
      <c r="I302" s="5" t="s">
        <v>1575</v>
      </c>
      <c r="J302" s="5"/>
      <c r="K302" s="2" t="s">
        <v>6486</v>
      </c>
    </row>
    <row r="303" customFormat="1" spans="1:11">
      <c r="A303" s="4" t="s">
        <v>6487</v>
      </c>
      <c r="B303" s="4" t="s">
        <v>650</v>
      </c>
      <c r="C303" s="4" t="s">
        <v>6488</v>
      </c>
      <c r="D303" s="5" t="s">
        <v>5823</v>
      </c>
      <c r="E303" s="4" t="s">
        <v>2852</v>
      </c>
      <c r="F303" s="5">
        <v>1</v>
      </c>
      <c r="G303" s="5">
        <v>10</v>
      </c>
      <c r="H303" s="5" t="s">
        <v>5895</v>
      </c>
      <c r="I303" s="5" t="s">
        <v>1575</v>
      </c>
      <c r="J303" s="5"/>
      <c r="K303" s="2"/>
    </row>
    <row r="304" customFormat="1" spans="1:11">
      <c r="A304" s="4"/>
      <c r="B304" s="4"/>
      <c r="C304" s="4"/>
      <c r="D304" s="5"/>
      <c r="E304" s="4"/>
      <c r="F304" s="5"/>
      <c r="G304" s="5"/>
      <c r="H304" s="5"/>
      <c r="I304" s="5"/>
      <c r="J304" s="5"/>
      <c r="K304" s="2"/>
    </row>
    <row r="305" customFormat="1" spans="1:11">
      <c r="A305" s="4" t="s">
        <v>6489</v>
      </c>
      <c r="B305" s="4" t="s">
        <v>650</v>
      </c>
      <c r="C305" s="4" t="s">
        <v>6490</v>
      </c>
      <c r="D305" s="5" t="s">
        <v>5823</v>
      </c>
      <c r="E305" s="4" t="s">
        <v>2852</v>
      </c>
      <c r="F305" s="5">
        <v>0.5</v>
      </c>
      <c r="G305" s="5">
        <v>4</v>
      </c>
      <c r="H305" s="5" t="s">
        <v>5817</v>
      </c>
      <c r="I305" s="5" t="s">
        <v>1575</v>
      </c>
      <c r="J305" s="5"/>
      <c r="K305" s="2"/>
    </row>
    <row r="306" spans="1:11">
      <c r="A306" s="4" t="s">
        <v>6491</v>
      </c>
      <c r="B306" s="4" t="s">
        <v>650</v>
      </c>
      <c r="C306" s="4" t="s">
        <v>6492</v>
      </c>
      <c r="D306" s="5" t="s">
        <v>6340</v>
      </c>
      <c r="E306" s="4" t="s">
        <v>2852</v>
      </c>
      <c r="F306" s="5" t="s">
        <v>5816</v>
      </c>
      <c r="G306" s="5" t="s">
        <v>6493</v>
      </c>
      <c r="H306" s="5" t="s">
        <v>5888</v>
      </c>
      <c r="I306" s="5" t="s">
        <v>1575</v>
      </c>
      <c r="J306" s="5"/>
      <c r="K306" s="2" t="s">
        <v>6494</v>
      </c>
    </row>
    <row r="307" customFormat="1" spans="1:11">
      <c r="A307" s="4" t="s">
        <v>6495</v>
      </c>
      <c r="B307" s="4" t="s">
        <v>650</v>
      </c>
      <c r="C307" s="4" t="s">
        <v>594</v>
      </c>
      <c r="D307" s="5" t="s">
        <v>6496</v>
      </c>
      <c r="E307" s="4" t="s">
        <v>2852</v>
      </c>
      <c r="F307" s="5" t="s">
        <v>5847</v>
      </c>
      <c r="G307" s="5" t="s">
        <v>6497</v>
      </c>
      <c r="H307" s="5" t="s">
        <v>6095</v>
      </c>
      <c r="I307" s="5" t="s">
        <v>1575</v>
      </c>
      <c r="J307" s="5"/>
      <c r="K307" s="2" t="s">
        <v>6498</v>
      </c>
    </row>
    <row r="308" customFormat="1" spans="1:11">
      <c r="A308" s="4" t="s">
        <v>6499</v>
      </c>
      <c r="B308" s="4" t="s">
        <v>650</v>
      </c>
      <c r="C308" s="4" t="s">
        <v>6399</v>
      </c>
      <c r="D308" s="5" t="s">
        <v>6346</v>
      </c>
      <c r="E308" s="4" t="s">
        <v>2852</v>
      </c>
      <c r="F308" s="5" t="s">
        <v>5816</v>
      </c>
      <c r="G308" s="5" t="s">
        <v>6500</v>
      </c>
      <c r="H308" s="5" t="s">
        <v>5888</v>
      </c>
      <c r="I308" s="5" t="s">
        <v>1575</v>
      </c>
      <c r="J308" s="5"/>
      <c r="K308" s="2"/>
    </row>
    <row r="309" spans="1:11">
      <c r="A309" s="4" t="s">
        <v>6501</v>
      </c>
      <c r="B309" s="4" t="s">
        <v>650</v>
      </c>
      <c r="C309" s="4" t="s">
        <v>6502</v>
      </c>
      <c r="D309" s="5" t="s">
        <v>5836</v>
      </c>
      <c r="E309" s="4" t="s">
        <v>2852</v>
      </c>
      <c r="F309" s="5" t="s">
        <v>5850</v>
      </c>
      <c r="G309" s="5" t="s">
        <v>5858</v>
      </c>
      <c r="H309" s="5" t="s">
        <v>5895</v>
      </c>
      <c r="I309" s="5" t="s">
        <v>1575</v>
      </c>
      <c r="J309" s="5"/>
      <c r="K309" s="2" t="s">
        <v>6503</v>
      </c>
    </row>
    <row r="310" customFormat="1" spans="1:11">
      <c r="A310" s="4"/>
      <c r="B310" s="4"/>
      <c r="C310" s="4"/>
      <c r="D310" s="5"/>
      <c r="E310" s="4"/>
      <c r="F310" s="5"/>
      <c r="G310" s="5"/>
      <c r="H310" s="5"/>
      <c r="I310" s="5"/>
      <c r="J310" s="4"/>
      <c r="K310" s="2"/>
    </row>
    <row r="311" spans="1:11">
      <c r="A311" s="4" t="s">
        <v>6504</v>
      </c>
      <c r="B311" s="4" t="s">
        <v>637</v>
      </c>
      <c r="C311" s="4" t="s">
        <v>495</v>
      </c>
      <c r="D311" s="5" t="s">
        <v>5826</v>
      </c>
      <c r="E311" s="4" t="s">
        <v>2852</v>
      </c>
      <c r="F311" s="5" t="s">
        <v>6307</v>
      </c>
      <c r="G311" s="5" t="s">
        <v>3679</v>
      </c>
      <c r="H311" s="5">
        <v>97</v>
      </c>
      <c r="I311" s="5" t="s">
        <v>1575</v>
      </c>
      <c r="J311" s="5">
        <v>5000</v>
      </c>
      <c r="K311" s="2" t="s">
        <v>6505</v>
      </c>
    </row>
    <row r="312" spans="1:11">
      <c r="A312" s="4" t="s">
        <v>6506</v>
      </c>
      <c r="B312" s="4" t="s">
        <v>133</v>
      </c>
      <c r="C312" s="4" t="s">
        <v>495</v>
      </c>
      <c r="D312" s="5" t="s">
        <v>6366</v>
      </c>
      <c r="E312" s="4" t="s">
        <v>2852</v>
      </c>
      <c r="F312" s="5" t="s">
        <v>6307</v>
      </c>
      <c r="G312" s="5" t="s">
        <v>6507</v>
      </c>
      <c r="H312" s="5">
        <v>98</v>
      </c>
      <c r="I312" s="5" t="s">
        <v>1575</v>
      </c>
      <c r="J312" s="5">
        <v>3000</v>
      </c>
      <c r="K312" s="2" t="s">
        <v>6508</v>
      </c>
    </row>
    <row r="313" customFormat="1" spans="1:11">
      <c r="A313" s="4" t="s">
        <v>6509</v>
      </c>
      <c r="B313" s="4" t="s">
        <v>133</v>
      </c>
      <c r="C313" s="4" t="s">
        <v>6510</v>
      </c>
      <c r="D313" s="5" t="s">
        <v>6373</v>
      </c>
      <c r="E313" s="4" t="s">
        <v>2852</v>
      </c>
      <c r="F313" s="5">
        <v>1</v>
      </c>
      <c r="G313" s="5">
        <v>8</v>
      </c>
      <c r="H313" s="5" t="s">
        <v>5895</v>
      </c>
      <c r="I313" s="5" t="s">
        <v>1575</v>
      </c>
      <c r="J313" s="5"/>
      <c r="K313" s="2" t="s">
        <v>6511</v>
      </c>
    </row>
    <row r="314" spans="1:11">
      <c r="A314" s="8" t="s">
        <v>6512</v>
      </c>
      <c r="B314" s="4" t="s">
        <v>647</v>
      </c>
      <c r="C314" s="4" t="s">
        <v>6513</v>
      </c>
      <c r="D314" s="5" t="s">
        <v>5823</v>
      </c>
      <c r="E314" s="4" t="s">
        <v>2852</v>
      </c>
      <c r="F314" s="5" t="s">
        <v>5850</v>
      </c>
      <c r="G314" s="5" t="s">
        <v>6341</v>
      </c>
      <c r="H314" s="5" t="s">
        <v>5888</v>
      </c>
      <c r="I314" s="5" t="s">
        <v>1575</v>
      </c>
      <c r="J314" s="5"/>
      <c r="K314" s="2"/>
    </row>
    <row r="315" spans="1:11">
      <c r="A315" s="4" t="s">
        <v>6514</v>
      </c>
      <c r="B315" s="4" t="s">
        <v>647</v>
      </c>
      <c r="C315" s="4" t="s">
        <v>6515</v>
      </c>
      <c r="D315" s="5" t="s">
        <v>5840</v>
      </c>
      <c r="E315" s="4" t="s">
        <v>2852</v>
      </c>
      <c r="F315" s="5">
        <v>1</v>
      </c>
      <c r="G315" s="5" t="s">
        <v>5925</v>
      </c>
      <c r="H315" s="5" t="s">
        <v>5817</v>
      </c>
      <c r="I315" s="5" t="s">
        <v>1575</v>
      </c>
      <c r="J315" s="5"/>
      <c r="K315" s="2" t="s">
        <v>6516</v>
      </c>
    </row>
    <row r="316" customFormat="1" spans="1:11">
      <c r="A316" s="4"/>
      <c r="B316" s="4"/>
      <c r="C316" s="4"/>
      <c r="D316" s="5"/>
      <c r="E316" s="4" t="s">
        <v>2852</v>
      </c>
      <c r="F316" s="5"/>
      <c r="G316" s="5"/>
      <c r="H316" s="5"/>
      <c r="I316" s="5" t="s">
        <v>1575</v>
      </c>
      <c r="J316" s="5"/>
      <c r="K316" s="2"/>
    </row>
    <row r="317" customFormat="1" spans="1:11">
      <c r="A317" s="4" t="s">
        <v>6517</v>
      </c>
      <c r="B317" s="4" t="s">
        <v>137</v>
      </c>
      <c r="C317" s="4" t="s">
        <v>6399</v>
      </c>
      <c r="D317" s="5" t="s">
        <v>6002</v>
      </c>
      <c r="E317" s="4" t="s">
        <v>2852</v>
      </c>
      <c r="F317" s="5" t="s">
        <v>6357</v>
      </c>
      <c r="G317" s="5" t="s">
        <v>6004</v>
      </c>
      <c r="H317" s="5" t="s">
        <v>5895</v>
      </c>
      <c r="I317" s="5" t="s">
        <v>1575</v>
      </c>
      <c r="J317" s="5"/>
      <c r="K317" s="2" t="s">
        <v>6518</v>
      </c>
    </row>
    <row r="318" customFormat="1" spans="1:11">
      <c r="A318" s="4" t="s">
        <v>6519</v>
      </c>
      <c r="B318" s="4" t="s">
        <v>137</v>
      </c>
      <c r="C318" s="4" t="s">
        <v>6520</v>
      </c>
      <c r="D318" s="5" t="s">
        <v>6002</v>
      </c>
      <c r="E318" s="4" t="s">
        <v>2852</v>
      </c>
      <c r="F318" s="5" t="s">
        <v>6357</v>
      </c>
      <c r="G318" s="5" t="s">
        <v>6004</v>
      </c>
      <c r="H318" s="5" t="s">
        <v>5895</v>
      </c>
      <c r="I318" s="5" t="s">
        <v>1575</v>
      </c>
      <c r="J318" s="5"/>
      <c r="K318" s="2" t="s">
        <v>6521</v>
      </c>
    </row>
    <row r="319" ht="42" spans="1:11">
      <c r="A319" s="4" t="s">
        <v>6522</v>
      </c>
      <c r="B319" s="4" t="s">
        <v>137</v>
      </c>
      <c r="C319" s="4" t="s">
        <v>6523</v>
      </c>
      <c r="D319" s="5" t="s">
        <v>6002</v>
      </c>
      <c r="E319" s="4" t="s">
        <v>2852</v>
      </c>
      <c r="F319" s="5" t="s">
        <v>6357</v>
      </c>
      <c r="G319" s="5" t="s">
        <v>6004</v>
      </c>
      <c r="H319" s="5" t="s">
        <v>5895</v>
      </c>
      <c r="I319" s="5" t="s">
        <v>1575</v>
      </c>
      <c r="J319" s="5"/>
      <c r="K319" s="7" t="s">
        <v>6524</v>
      </c>
    </row>
    <row r="320" spans="1:11">
      <c r="A320" s="4" t="s">
        <v>6525</v>
      </c>
      <c r="B320" s="4" t="s">
        <v>137</v>
      </c>
      <c r="C320" s="4" t="s">
        <v>6526</v>
      </c>
      <c r="D320" s="5" t="s">
        <v>6002</v>
      </c>
      <c r="E320" s="4" t="s">
        <v>2852</v>
      </c>
      <c r="F320" s="5" t="s">
        <v>6357</v>
      </c>
      <c r="G320" s="5" t="s">
        <v>6004</v>
      </c>
      <c r="H320" s="5" t="s">
        <v>5895</v>
      </c>
      <c r="I320" s="5" t="s">
        <v>1575</v>
      </c>
      <c r="J320" s="5"/>
      <c r="K320" s="2" t="s">
        <v>6527</v>
      </c>
    </row>
    <row r="321" spans="1:11">
      <c r="A321" s="4" t="s">
        <v>6528</v>
      </c>
      <c r="B321" s="4" t="s">
        <v>137</v>
      </c>
      <c r="C321" s="4" t="s">
        <v>6529</v>
      </c>
      <c r="D321" s="5" t="s">
        <v>6002</v>
      </c>
      <c r="E321" s="4" t="s">
        <v>2852</v>
      </c>
      <c r="F321" s="5" t="s">
        <v>6357</v>
      </c>
      <c r="G321" s="5" t="s">
        <v>6004</v>
      </c>
      <c r="H321" s="5" t="s">
        <v>5895</v>
      </c>
      <c r="I321" s="5" t="s">
        <v>1575</v>
      </c>
      <c r="J321" s="5"/>
      <c r="K321" s="2" t="s">
        <v>6530</v>
      </c>
    </row>
    <row r="322" customFormat="1" spans="1:11">
      <c r="A322" s="4" t="s">
        <v>6531</v>
      </c>
      <c r="B322" s="4" t="s">
        <v>137</v>
      </c>
      <c r="C322" s="4" t="s">
        <v>6532</v>
      </c>
      <c r="D322" s="5" t="s">
        <v>6002</v>
      </c>
      <c r="E322" s="4" t="s">
        <v>2852</v>
      </c>
      <c r="F322" s="5" t="s">
        <v>6357</v>
      </c>
      <c r="G322" s="5" t="s">
        <v>6004</v>
      </c>
      <c r="H322" s="5" t="s">
        <v>5895</v>
      </c>
      <c r="I322" s="5" t="s">
        <v>1575</v>
      </c>
      <c r="J322" s="5"/>
      <c r="K322" s="2" t="s">
        <v>6533</v>
      </c>
    </row>
    <row r="323" customFormat="1" spans="1:11">
      <c r="A323" s="4" t="s">
        <v>6534</v>
      </c>
      <c r="B323" s="4" t="s">
        <v>137</v>
      </c>
      <c r="C323" s="4" t="s">
        <v>6535</v>
      </c>
      <c r="D323" s="5" t="s">
        <v>6002</v>
      </c>
      <c r="E323" s="4" t="s">
        <v>2852</v>
      </c>
      <c r="F323" s="5" t="s">
        <v>6357</v>
      </c>
      <c r="G323" s="5" t="s">
        <v>6004</v>
      </c>
      <c r="H323" s="5" t="s">
        <v>5895</v>
      </c>
      <c r="I323" s="5" t="s">
        <v>1575</v>
      </c>
      <c r="J323" s="5"/>
      <c r="K323" s="2" t="s">
        <v>6536</v>
      </c>
    </row>
    <row r="324" customFormat="1" spans="1:11">
      <c r="A324" s="4"/>
      <c r="B324" s="4"/>
      <c r="C324" s="4"/>
      <c r="D324" s="5"/>
      <c r="E324" s="4" t="s">
        <v>2852</v>
      </c>
      <c r="F324" s="5"/>
      <c r="G324" s="5"/>
      <c r="H324" s="5"/>
      <c r="I324" s="5" t="s">
        <v>1575</v>
      </c>
      <c r="J324" s="5"/>
      <c r="K324" s="2"/>
    </row>
    <row r="325" ht="28" spans="1:11">
      <c r="A325" s="8" t="s">
        <v>6537</v>
      </c>
      <c r="B325" s="4" t="s">
        <v>120</v>
      </c>
      <c r="C325" s="4" t="s">
        <v>5646</v>
      </c>
      <c r="D325" s="5" t="s">
        <v>1485</v>
      </c>
      <c r="E325" s="4" t="s">
        <v>2852</v>
      </c>
      <c r="F325" s="5">
        <v>1</v>
      </c>
      <c r="G325" s="5" t="s">
        <v>76</v>
      </c>
      <c r="H325" s="5" t="s">
        <v>5895</v>
      </c>
      <c r="I325" s="5" t="s">
        <v>1575</v>
      </c>
      <c r="J325" s="5"/>
      <c r="K325" s="2" t="s">
        <v>6538</v>
      </c>
    </row>
    <row r="326" spans="1:11">
      <c r="A326" s="4" t="s">
        <v>6539</v>
      </c>
      <c r="B326" s="4" t="s">
        <v>120</v>
      </c>
      <c r="C326" s="4" t="s">
        <v>1959</v>
      </c>
      <c r="D326" s="5" t="s">
        <v>1485</v>
      </c>
      <c r="E326" s="4" t="s">
        <v>2852</v>
      </c>
      <c r="F326" s="5">
        <v>1</v>
      </c>
      <c r="G326" s="5" t="s">
        <v>76</v>
      </c>
      <c r="H326" s="5" t="s">
        <v>5895</v>
      </c>
      <c r="I326" s="5" t="s">
        <v>1575</v>
      </c>
      <c r="J326" s="5"/>
      <c r="K326" s="2" t="s">
        <v>6540</v>
      </c>
    </row>
    <row r="327" customFormat="1" spans="1:11">
      <c r="A327" s="4" t="s">
        <v>6541</v>
      </c>
      <c r="B327" s="4" t="s">
        <v>120</v>
      </c>
      <c r="C327" s="4" t="s">
        <v>5928</v>
      </c>
      <c r="D327" s="5" t="s">
        <v>1485</v>
      </c>
      <c r="E327" s="4" t="s">
        <v>2852</v>
      </c>
      <c r="F327" s="5">
        <v>1</v>
      </c>
      <c r="G327" s="5" t="s">
        <v>76</v>
      </c>
      <c r="H327" s="5" t="s">
        <v>5888</v>
      </c>
      <c r="I327" s="5" t="s">
        <v>1575</v>
      </c>
      <c r="J327" s="5"/>
      <c r="K327" s="2" t="s">
        <v>6542</v>
      </c>
    </row>
    <row r="328" customFormat="1" spans="1:11">
      <c r="A328" s="4" t="s">
        <v>6543</v>
      </c>
      <c r="B328" s="4" t="s">
        <v>120</v>
      </c>
      <c r="C328" s="4" t="s">
        <v>1959</v>
      </c>
      <c r="D328" s="5" t="s">
        <v>1485</v>
      </c>
      <c r="E328" s="4" t="s">
        <v>2852</v>
      </c>
      <c r="F328" s="5">
        <v>2</v>
      </c>
      <c r="G328" s="5" t="s">
        <v>76</v>
      </c>
      <c r="H328" s="5" t="s">
        <v>5895</v>
      </c>
      <c r="I328" s="5" t="s">
        <v>1575</v>
      </c>
      <c r="J328" s="5"/>
      <c r="K328" s="2" t="s">
        <v>6544</v>
      </c>
    </row>
    <row r="329" customFormat="1" spans="1:11">
      <c r="A329" s="4" t="s">
        <v>6545</v>
      </c>
      <c r="B329" s="4" t="s">
        <v>120</v>
      </c>
      <c r="C329" s="4" t="s">
        <v>6546</v>
      </c>
      <c r="D329" s="5" t="s">
        <v>1485</v>
      </c>
      <c r="E329" s="4" t="s">
        <v>2852</v>
      </c>
      <c r="F329" s="5">
        <v>1</v>
      </c>
      <c r="G329" s="5" t="s">
        <v>76</v>
      </c>
      <c r="H329" s="5" t="s">
        <v>5895</v>
      </c>
      <c r="I329" s="5" t="s">
        <v>1575</v>
      </c>
      <c r="J329" s="5"/>
      <c r="K329" s="2" t="s">
        <v>6547</v>
      </c>
    </row>
    <row r="330" customFormat="1" spans="1:11">
      <c r="A330" s="4" t="s">
        <v>6548</v>
      </c>
      <c r="B330" s="4" t="s">
        <v>120</v>
      </c>
      <c r="C330" s="4" t="s">
        <v>6549</v>
      </c>
      <c r="D330" s="5" t="s">
        <v>1485</v>
      </c>
      <c r="E330" s="4" t="s">
        <v>2852</v>
      </c>
      <c r="F330" s="5">
        <v>1</v>
      </c>
      <c r="G330" s="5" t="s">
        <v>76</v>
      </c>
      <c r="H330" s="5" t="s">
        <v>5895</v>
      </c>
      <c r="I330" s="5" t="s">
        <v>1575</v>
      </c>
      <c r="J330" s="5"/>
      <c r="K330" s="2" t="s">
        <v>6550</v>
      </c>
    </row>
    <row r="331" customFormat="1" spans="1:11">
      <c r="A331" s="4"/>
      <c r="B331" s="4"/>
      <c r="C331" s="4"/>
      <c r="D331" s="5"/>
      <c r="E331" s="4" t="s">
        <v>2852</v>
      </c>
      <c r="F331" s="5"/>
      <c r="G331" s="5"/>
      <c r="H331" s="5"/>
      <c r="I331" s="5" t="s">
        <v>1575</v>
      </c>
      <c r="J331" s="5"/>
      <c r="K331" s="2"/>
    </row>
    <row r="332" customFormat="1" spans="1:11">
      <c r="A332" s="4" t="s">
        <v>6551</v>
      </c>
      <c r="B332" s="4" t="s">
        <v>660</v>
      </c>
      <c r="C332" s="4" t="s">
        <v>6552</v>
      </c>
      <c r="D332" s="5" t="s">
        <v>1485</v>
      </c>
      <c r="E332" s="4" t="s">
        <v>2852</v>
      </c>
      <c r="F332" s="5">
        <v>2</v>
      </c>
      <c r="G332" s="5" t="s">
        <v>5925</v>
      </c>
      <c r="H332" s="5" t="s">
        <v>5817</v>
      </c>
      <c r="I332" s="5" t="s">
        <v>1575</v>
      </c>
      <c r="J332" s="5"/>
      <c r="K332" s="2" t="s">
        <v>6553</v>
      </c>
    </row>
    <row r="333" spans="1:11">
      <c r="A333" s="4" t="s">
        <v>6554</v>
      </c>
      <c r="B333" s="4" t="s">
        <v>660</v>
      </c>
      <c r="C333" s="4" t="s">
        <v>5933</v>
      </c>
      <c r="D333" s="5" t="s">
        <v>1485</v>
      </c>
      <c r="E333" s="4" t="s">
        <v>2852</v>
      </c>
      <c r="F333" s="5">
        <v>1</v>
      </c>
      <c r="G333" s="5" t="s">
        <v>4009</v>
      </c>
      <c r="H333" s="5" t="s">
        <v>6095</v>
      </c>
      <c r="I333" s="5" t="s">
        <v>1575</v>
      </c>
      <c r="J333" s="5"/>
      <c r="K333" s="2" t="s">
        <v>6555</v>
      </c>
    </row>
    <row r="334" customFormat="1" spans="1:11">
      <c r="A334" s="4"/>
      <c r="B334" s="4"/>
      <c r="C334" s="4"/>
      <c r="D334" s="5"/>
      <c r="E334" s="4"/>
      <c r="F334" s="5"/>
      <c r="G334" s="5"/>
      <c r="H334" s="5"/>
      <c r="I334" s="5" t="s">
        <v>1575</v>
      </c>
      <c r="J334" s="5"/>
      <c r="K334" s="2"/>
    </row>
    <row r="335" ht="28" spans="1:11">
      <c r="A335" s="8" t="s">
        <v>6556</v>
      </c>
      <c r="B335" s="4" t="s">
        <v>6557</v>
      </c>
      <c r="C335" s="4" t="s">
        <v>6558</v>
      </c>
      <c r="D335" s="5" t="s">
        <v>6427</v>
      </c>
      <c r="E335" s="4"/>
      <c r="F335" s="5">
        <v>1</v>
      </c>
      <c r="G335" s="5" t="s">
        <v>5858</v>
      </c>
      <c r="H335" s="5" t="s">
        <v>5817</v>
      </c>
      <c r="I335" s="5" t="s">
        <v>1575</v>
      </c>
      <c r="J335" s="5"/>
      <c r="K335" s="7" t="s">
        <v>6559</v>
      </c>
    </row>
    <row r="336" spans="1:11">
      <c r="A336" s="4" t="s">
        <v>6560</v>
      </c>
      <c r="B336" s="4" t="s">
        <v>6561</v>
      </c>
      <c r="C336" s="4" t="s">
        <v>6562</v>
      </c>
      <c r="D336" s="5" t="s">
        <v>6563</v>
      </c>
      <c r="E336" s="4"/>
      <c r="F336" s="5" t="s">
        <v>6357</v>
      </c>
      <c r="G336" s="5" t="s">
        <v>6004</v>
      </c>
      <c r="H336" s="5" t="s">
        <v>5817</v>
      </c>
      <c r="I336" s="5" t="s">
        <v>1575</v>
      </c>
      <c r="J336" s="5"/>
      <c r="K336" s="2" t="s">
        <v>6564</v>
      </c>
    </row>
    <row r="337" spans="1:11">
      <c r="A337" s="4" t="s">
        <v>6565</v>
      </c>
      <c r="B337" s="4" t="s">
        <v>6557</v>
      </c>
      <c r="C337" s="4" t="s">
        <v>6566</v>
      </c>
      <c r="D337" s="5" t="s">
        <v>6567</v>
      </c>
      <c r="E337" s="4"/>
      <c r="F337" s="5" t="s">
        <v>6357</v>
      </c>
      <c r="G337" s="5" t="s">
        <v>6004</v>
      </c>
      <c r="H337" s="5" t="s">
        <v>5817</v>
      </c>
      <c r="I337" s="5" t="s">
        <v>1575</v>
      </c>
      <c r="J337" s="5"/>
      <c r="K337" s="2" t="s">
        <v>6568</v>
      </c>
    </row>
    <row r="338" spans="1:11">
      <c r="A338" s="4" t="s">
        <v>6569</v>
      </c>
      <c r="B338" s="4" t="s">
        <v>6557</v>
      </c>
      <c r="C338" s="4" t="s">
        <v>6570</v>
      </c>
      <c r="D338" s="5" t="s">
        <v>1485</v>
      </c>
      <c r="E338" s="4"/>
      <c r="F338" s="5" t="s">
        <v>6571</v>
      </c>
      <c r="G338" s="5" t="s">
        <v>6500</v>
      </c>
      <c r="H338" s="5" t="s">
        <v>5817</v>
      </c>
      <c r="I338" s="5" t="s">
        <v>1575</v>
      </c>
      <c r="J338" s="5"/>
      <c r="K338" s="2"/>
    </row>
    <row r="339" spans="1:11">
      <c r="A339" s="4" t="s">
        <v>6572</v>
      </c>
      <c r="B339" s="4" t="s">
        <v>6573</v>
      </c>
      <c r="C339" s="4" t="s">
        <v>6574</v>
      </c>
      <c r="D339" s="5" t="s">
        <v>6002</v>
      </c>
      <c r="E339" s="4"/>
      <c r="F339" s="5" t="s">
        <v>6362</v>
      </c>
      <c r="G339" s="5" t="s">
        <v>6004</v>
      </c>
      <c r="H339" s="5" t="s">
        <v>5817</v>
      </c>
      <c r="I339" s="5" t="s">
        <v>1575</v>
      </c>
      <c r="J339" s="5"/>
      <c r="K339" s="2" t="s">
        <v>6575</v>
      </c>
    </row>
    <row r="340" spans="1:11">
      <c r="A340" s="4" t="s">
        <v>6576</v>
      </c>
      <c r="B340" s="4" t="s">
        <v>6577</v>
      </c>
      <c r="C340" s="4" t="s">
        <v>1088</v>
      </c>
      <c r="D340" s="5" t="s">
        <v>6373</v>
      </c>
      <c r="E340" s="4"/>
      <c r="F340" s="5">
        <v>1</v>
      </c>
      <c r="G340" s="5" t="s">
        <v>6578</v>
      </c>
      <c r="H340" s="5" t="s">
        <v>5817</v>
      </c>
      <c r="I340" s="5" t="s">
        <v>1575</v>
      </c>
      <c r="J340" s="5"/>
      <c r="K340" s="2" t="s">
        <v>6579</v>
      </c>
    </row>
    <row r="341" spans="1:11">
      <c r="A341" s="4"/>
      <c r="B341" s="4"/>
      <c r="C341" s="4"/>
      <c r="D341" s="5"/>
      <c r="E341" s="4"/>
      <c r="F341" s="5"/>
      <c r="G341" s="5"/>
      <c r="H341" s="5"/>
      <c r="I341" s="5"/>
      <c r="J341" s="5"/>
      <c r="K341" s="2"/>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02"/>
  <sheetViews>
    <sheetView zoomScale="115" zoomScaleNormal="115" topLeftCell="B1" workbookViewId="0">
      <selection activeCell="E4" sqref="A1:G2202"/>
    </sheetView>
  </sheetViews>
  <sheetFormatPr defaultColWidth="10" defaultRowHeight="14" outlineLevelCol="6"/>
  <cols>
    <col min="1" max="1" width="10" customWidth="1"/>
    <col min="2" max="2" width="10" style="1"/>
    <col min="3" max="3" width="11.9272727272727" customWidth="1"/>
    <col min="4" max="4" width="10" customWidth="1"/>
    <col min="5" max="5" width="51.8363636363636" customWidth="1"/>
    <col min="6" max="6" width="165.245454545455" customWidth="1"/>
    <col min="7" max="7" width="10.4727272727273" customWidth="1"/>
    <col min="8" max="8" width="10" customWidth="1"/>
  </cols>
  <sheetData>
    <row r="1" spans="2:6">
      <c r="B1" s="1">
        <v>0</v>
      </c>
      <c r="C1" t="s">
        <v>6580</v>
      </c>
      <c r="D1" t="s">
        <v>197</v>
      </c>
      <c r="E1" t="s">
        <v>437</v>
      </c>
      <c r="F1" t="s">
        <v>298</v>
      </c>
    </row>
    <row r="2" spans="1:7">
      <c r="A2" t="s">
        <v>6581</v>
      </c>
      <c r="B2" s="1">
        <v>1</v>
      </c>
      <c r="C2" t="s">
        <v>6582</v>
      </c>
      <c r="D2" t="s">
        <v>6583</v>
      </c>
      <c r="E2" t="s">
        <v>6584</v>
      </c>
      <c r="F2" t="s">
        <v>6585</v>
      </c>
      <c r="G2" t="s">
        <v>6586</v>
      </c>
    </row>
    <row r="3" spans="1:7">
      <c r="A3" t="s">
        <v>6581</v>
      </c>
      <c r="B3" s="1">
        <v>2</v>
      </c>
      <c r="C3" t="s">
        <v>6587</v>
      </c>
      <c r="D3" t="s">
        <v>6583</v>
      </c>
      <c r="E3" t="s">
        <v>6588</v>
      </c>
      <c r="F3" t="s">
        <v>6589</v>
      </c>
      <c r="G3" t="s">
        <v>6586</v>
      </c>
    </row>
    <row r="4" spans="1:7">
      <c r="A4" t="s">
        <v>6581</v>
      </c>
      <c r="B4" s="1">
        <v>3</v>
      </c>
      <c r="C4" t="s">
        <v>6590</v>
      </c>
      <c r="D4" t="s">
        <v>6583</v>
      </c>
      <c r="E4" t="s">
        <v>6591</v>
      </c>
      <c r="F4" t="s">
        <v>6592</v>
      </c>
      <c r="G4" t="s">
        <v>6586</v>
      </c>
    </row>
    <row r="5" spans="1:7">
      <c r="A5" t="s">
        <v>6581</v>
      </c>
      <c r="B5" s="1">
        <v>4</v>
      </c>
      <c r="C5" t="s">
        <v>6593</v>
      </c>
      <c r="D5" t="s">
        <v>6594</v>
      </c>
      <c r="E5" t="s">
        <v>6595</v>
      </c>
      <c r="F5" t="s">
        <v>6596</v>
      </c>
      <c r="G5" t="s">
        <v>6586</v>
      </c>
    </row>
    <row r="6" spans="1:7">
      <c r="A6" t="s">
        <v>6581</v>
      </c>
      <c r="B6" s="1">
        <v>5</v>
      </c>
      <c r="C6" t="s">
        <v>6597</v>
      </c>
      <c r="D6" t="s">
        <v>6598</v>
      </c>
      <c r="E6" t="s">
        <v>6599</v>
      </c>
      <c r="F6" t="s">
        <v>6600</v>
      </c>
      <c r="G6" t="s">
        <v>6586</v>
      </c>
    </row>
    <row r="7" spans="1:7">
      <c r="A7" t="s">
        <v>6581</v>
      </c>
      <c r="B7" s="1">
        <v>6</v>
      </c>
      <c r="C7" t="s">
        <v>6601</v>
      </c>
      <c r="D7" t="s">
        <v>6583</v>
      </c>
      <c r="E7" t="s">
        <v>6602</v>
      </c>
      <c r="F7" t="s">
        <v>6603</v>
      </c>
      <c r="G7" t="s">
        <v>6586</v>
      </c>
    </row>
    <row r="8" spans="1:7">
      <c r="A8" t="s">
        <v>6581</v>
      </c>
      <c r="B8" s="1">
        <v>7</v>
      </c>
      <c r="C8" t="s">
        <v>6604</v>
      </c>
      <c r="D8" t="s">
        <v>6605</v>
      </c>
      <c r="E8" t="s">
        <v>6606</v>
      </c>
      <c r="F8" t="s">
        <v>6607</v>
      </c>
      <c r="G8" t="s">
        <v>6586</v>
      </c>
    </row>
    <row r="9" spans="1:7">
      <c r="A9" t="s">
        <v>6581</v>
      </c>
      <c r="B9" s="1">
        <v>8</v>
      </c>
      <c r="C9" t="s">
        <v>6608</v>
      </c>
      <c r="D9" t="s">
        <v>6609</v>
      </c>
      <c r="E9" t="s">
        <v>6610</v>
      </c>
      <c r="F9" t="s">
        <v>6611</v>
      </c>
      <c r="G9" t="s">
        <v>6586</v>
      </c>
    </row>
    <row r="10" spans="1:7">
      <c r="A10" t="s">
        <v>6581</v>
      </c>
      <c r="B10" s="1">
        <v>9</v>
      </c>
      <c r="C10" t="s">
        <v>6612</v>
      </c>
      <c r="D10" t="s">
        <v>6583</v>
      </c>
      <c r="E10" t="s">
        <v>6613</v>
      </c>
      <c r="F10" t="s">
        <v>6614</v>
      </c>
      <c r="G10" t="s">
        <v>6586</v>
      </c>
    </row>
    <row r="11" spans="1:7">
      <c r="A11" t="s">
        <v>6581</v>
      </c>
      <c r="B11" s="1">
        <v>10</v>
      </c>
      <c r="C11" t="s">
        <v>6615</v>
      </c>
      <c r="D11" t="s">
        <v>6616</v>
      </c>
      <c r="E11" t="s">
        <v>6617</v>
      </c>
      <c r="F11" t="s">
        <v>6618</v>
      </c>
      <c r="G11" t="s">
        <v>6586</v>
      </c>
    </row>
    <row r="12" spans="1:7">
      <c r="A12" t="s">
        <v>6581</v>
      </c>
      <c r="B12" s="1">
        <v>11</v>
      </c>
      <c r="C12" t="s">
        <v>6619</v>
      </c>
      <c r="D12" t="s">
        <v>6616</v>
      </c>
      <c r="E12" t="s">
        <v>6620</v>
      </c>
      <c r="F12" t="s">
        <v>6621</v>
      </c>
      <c r="G12" t="s">
        <v>6586</v>
      </c>
    </row>
    <row r="13" spans="1:7">
      <c r="A13" t="s">
        <v>6581</v>
      </c>
      <c r="B13" s="1">
        <v>12</v>
      </c>
      <c r="C13" t="s">
        <v>6622</v>
      </c>
      <c r="D13" t="s">
        <v>6583</v>
      </c>
      <c r="E13" t="s">
        <v>6623</v>
      </c>
      <c r="F13" t="s">
        <v>6624</v>
      </c>
      <c r="G13" t="s">
        <v>6586</v>
      </c>
    </row>
    <row r="14" spans="1:7">
      <c r="A14" t="s">
        <v>6581</v>
      </c>
      <c r="B14" s="1">
        <v>13</v>
      </c>
      <c r="C14" t="s">
        <v>6625</v>
      </c>
      <c r="D14" t="s">
        <v>6583</v>
      </c>
      <c r="E14" t="s">
        <v>6626</v>
      </c>
      <c r="F14" t="s">
        <v>6627</v>
      </c>
      <c r="G14" t="s">
        <v>6586</v>
      </c>
    </row>
    <row r="15" spans="1:7">
      <c r="A15" t="s">
        <v>6581</v>
      </c>
      <c r="B15" s="1">
        <v>14</v>
      </c>
      <c r="C15" t="s">
        <v>6628</v>
      </c>
      <c r="D15" t="s">
        <v>6598</v>
      </c>
      <c r="E15" t="s">
        <v>6629</v>
      </c>
      <c r="F15" t="s">
        <v>6630</v>
      </c>
      <c r="G15" t="s">
        <v>6586</v>
      </c>
    </row>
    <row r="16" spans="1:7">
      <c r="A16" t="s">
        <v>6581</v>
      </c>
      <c r="B16" s="1">
        <v>15</v>
      </c>
      <c r="C16" t="s">
        <v>6631</v>
      </c>
      <c r="D16" t="s">
        <v>6583</v>
      </c>
      <c r="E16" t="s">
        <v>6632</v>
      </c>
      <c r="F16" t="s">
        <v>6633</v>
      </c>
      <c r="G16" t="s">
        <v>6586</v>
      </c>
    </row>
    <row r="17" spans="1:7">
      <c r="A17" t="s">
        <v>6581</v>
      </c>
      <c r="B17" s="1">
        <v>16</v>
      </c>
      <c r="C17" t="s">
        <v>6634</v>
      </c>
      <c r="D17" t="s">
        <v>6583</v>
      </c>
      <c r="E17" t="s">
        <v>6635</v>
      </c>
      <c r="F17" t="s">
        <v>6636</v>
      </c>
      <c r="G17" t="s">
        <v>6586</v>
      </c>
    </row>
    <row r="18" spans="1:7">
      <c r="A18" t="s">
        <v>6581</v>
      </c>
      <c r="B18" s="1">
        <v>17</v>
      </c>
      <c r="C18" t="s">
        <v>6637</v>
      </c>
      <c r="D18" t="s">
        <v>6583</v>
      </c>
      <c r="E18" t="s">
        <v>6638</v>
      </c>
      <c r="F18" t="s">
        <v>6639</v>
      </c>
      <c r="G18" t="s">
        <v>6586</v>
      </c>
    </row>
    <row r="19" spans="1:7">
      <c r="A19" t="s">
        <v>6581</v>
      </c>
      <c r="B19" s="1">
        <v>18</v>
      </c>
      <c r="C19" t="s">
        <v>6640</v>
      </c>
      <c r="D19" t="s">
        <v>6583</v>
      </c>
      <c r="E19" t="s">
        <v>6641</v>
      </c>
      <c r="F19" t="s">
        <v>6642</v>
      </c>
      <c r="G19" t="s">
        <v>6586</v>
      </c>
    </row>
    <row r="20" spans="1:7">
      <c r="A20" t="s">
        <v>6581</v>
      </c>
      <c r="B20" s="1">
        <v>19</v>
      </c>
      <c r="C20" t="s">
        <v>6643</v>
      </c>
      <c r="D20" t="s">
        <v>6583</v>
      </c>
      <c r="E20" t="s">
        <v>6644</v>
      </c>
      <c r="F20" t="s">
        <v>6645</v>
      </c>
      <c r="G20" t="s">
        <v>6586</v>
      </c>
    </row>
    <row r="21" spans="1:7">
      <c r="A21" t="s">
        <v>6581</v>
      </c>
      <c r="B21" s="1">
        <v>20</v>
      </c>
      <c r="C21" t="s">
        <v>6646</v>
      </c>
      <c r="D21" t="s">
        <v>6647</v>
      </c>
      <c r="E21" t="s">
        <v>6648</v>
      </c>
      <c r="F21" t="s">
        <v>6649</v>
      </c>
      <c r="G21" t="s">
        <v>6586</v>
      </c>
    </row>
    <row r="22" spans="1:7">
      <c r="A22" t="s">
        <v>6581</v>
      </c>
      <c r="B22" s="1">
        <v>21</v>
      </c>
      <c r="C22" t="s">
        <v>6650</v>
      </c>
      <c r="D22" t="s">
        <v>6647</v>
      </c>
      <c r="E22" t="s">
        <v>6651</v>
      </c>
      <c r="F22" t="s">
        <v>6652</v>
      </c>
      <c r="G22" t="s">
        <v>6586</v>
      </c>
    </row>
    <row r="23" spans="1:7">
      <c r="A23" t="s">
        <v>6581</v>
      </c>
      <c r="B23" s="1">
        <v>22</v>
      </c>
      <c r="C23" t="s">
        <v>6653</v>
      </c>
      <c r="D23" t="s">
        <v>6654</v>
      </c>
      <c r="E23" t="s">
        <v>6655</v>
      </c>
      <c r="F23" t="s">
        <v>6656</v>
      </c>
      <c r="G23" t="s">
        <v>6586</v>
      </c>
    </row>
    <row r="24" spans="1:7">
      <c r="A24" t="s">
        <v>6581</v>
      </c>
      <c r="B24" s="1">
        <v>23</v>
      </c>
      <c r="C24" t="s">
        <v>6657</v>
      </c>
      <c r="D24" t="s">
        <v>6654</v>
      </c>
      <c r="E24" t="s">
        <v>6658</v>
      </c>
      <c r="F24" t="s">
        <v>6659</v>
      </c>
      <c r="G24" t="s">
        <v>6586</v>
      </c>
    </row>
    <row r="25" spans="1:7">
      <c r="A25" t="s">
        <v>6581</v>
      </c>
      <c r="B25" s="1">
        <v>24</v>
      </c>
      <c r="C25" t="s">
        <v>6660</v>
      </c>
      <c r="D25" t="s">
        <v>6605</v>
      </c>
      <c r="E25" t="s">
        <v>6661</v>
      </c>
      <c r="F25" t="s">
        <v>6662</v>
      </c>
      <c r="G25" t="s">
        <v>6586</v>
      </c>
    </row>
    <row r="26" spans="1:7">
      <c r="A26" t="s">
        <v>6581</v>
      </c>
      <c r="B26" s="1">
        <v>25</v>
      </c>
      <c r="C26" t="s">
        <v>6663</v>
      </c>
      <c r="D26" t="s">
        <v>6605</v>
      </c>
      <c r="E26" t="s">
        <v>6664</v>
      </c>
      <c r="F26" t="s">
        <v>6665</v>
      </c>
      <c r="G26" t="s">
        <v>6586</v>
      </c>
    </row>
    <row r="27" spans="1:7">
      <c r="A27" t="s">
        <v>6581</v>
      </c>
      <c r="B27" s="1">
        <v>26</v>
      </c>
      <c r="C27" t="s">
        <v>6666</v>
      </c>
      <c r="D27" t="s">
        <v>6667</v>
      </c>
      <c r="E27" t="s">
        <v>6668</v>
      </c>
      <c r="F27" t="s">
        <v>6669</v>
      </c>
      <c r="G27" t="s">
        <v>6586</v>
      </c>
    </row>
    <row r="28" spans="1:7">
      <c r="A28" t="s">
        <v>6581</v>
      </c>
      <c r="B28" s="1">
        <v>27</v>
      </c>
      <c r="C28" t="s">
        <v>6670</v>
      </c>
      <c r="D28" t="s">
        <v>6667</v>
      </c>
      <c r="E28" t="s">
        <v>6671</v>
      </c>
      <c r="F28" t="s">
        <v>6672</v>
      </c>
      <c r="G28" t="s">
        <v>6586</v>
      </c>
    </row>
    <row r="29" spans="1:7">
      <c r="A29" t="s">
        <v>6581</v>
      </c>
      <c r="B29" s="1">
        <v>28</v>
      </c>
      <c r="C29" t="s">
        <v>6673</v>
      </c>
      <c r="D29" t="s">
        <v>6667</v>
      </c>
      <c r="E29" t="s">
        <v>6674</v>
      </c>
      <c r="F29" t="s">
        <v>6675</v>
      </c>
      <c r="G29" t="s">
        <v>6586</v>
      </c>
    </row>
    <row r="30" spans="1:7">
      <c r="A30" t="s">
        <v>6581</v>
      </c>
      <c r="B30" s="1">
        <v>29</v>
      </c>
      <c r="C30" t="s">
        <v>6676</v>
      </c>
      <c r="D30" t="s">
        <v>6667</v>
      </c>
      <c r="E30" t="s">
        <v>6677</v>
      </c>
      <c r="F30" t="s">
        <v>6678</v>
      </c>
      <c r="G30" t="s">
        <v>6586</v>
      </c>
    </row>
    <row r="31" spans="1:7">
      <c r="A31" t="s">
        <v>6581</v>
      </c>
      <c r="B31" s="1">
        <v>30</v>
      </c>
      <c r="C31" t="s">
        <v>6679</v>
      </c>
      <c r="D31" t="s">
        <v>6605</v>
      </c>
      <c r="E31" t="s">
        <v>6680</v>
      </c>
      <c r="F31" t="s">
        <v>6681</v>
      </c>
      <c r="G31" t="s">
        <v>6586</v>
      </c>
    </row>
    <row r="32" spans="1:7">
      <c r="A32" t="s">
        <v>6581</v>
      </c>
      <c r="B32" s="1">
        <v>31</v>
      </c>
      <c r="C32" t="s">
        <v>6682</v>
      </c>
      <c r="D32" t="s">
        <v>6605</v>
      </c>
      <c r="E32" t="s">
        <v>6683</v>
      </c>
      <c r="F32" t="s">
        <v>6684</v>
      </c>
      <c r="G32" t="s">
        <v>6586</v>
      </c>
    </row>
    <row r="33" spans="1:7">
      <c r="A33" t="s">
        <v>6581</v>
      </c>
      <c r="B33" s="1">
        <v>32</v>
      </c>
      <c r="C33" t="s">
        <v>6685</v>
      </c>
      <c r="D33" t="s">
        <v>6667</v>
      </c>
      <c r="E33" t="s">
        <v>6686</v>
      </c>
      <c r="F33" t="s">
        <v>6687</v>
      </c>
      <c r="G33" t="s">
        <v>6586</v>
      </c>
    </row>
    <row r="34" spans="1:7">
      <c r="A34" t="s">
        <v>6581</v>
      </c>
      <c r="B34" s="1">
        <v>33</v>
      </c>
      <c r="C34" t="s">
        <v>6688</v>
      </c>
      <c r="D34" t="s">
        <v>6667</v>
      </c>
      <c r="E34" t="s">
        <v>6689</v>
      </c>
      <c r="F34" t="s">
        <v>6690</v>
      </c>
      <c r="G34" t="s">
        <v>6586</v>
      </c>
    </row>
    <row r="35" spans="1:7">
      <c r="A35" t="s">
        <v>6581</v>
      </c>
      <c r="B35" s="1">
        <v>34</v>
      </c>
      <c r="C35" t="s">
        <v>6691</v>
      </c>
      <c r="D35" t="s">
        <v>6667</v>
      </c>
      <c r="E35" t="s">
        <v>6692</v>
      </c>
      <c r="F35" t="s">
        <v>6693</v>
      </c>
      <c r="G35" t="s">
        <v>6586</v>
      </c>
    </row>
    <row r="36" spans="1:7">
      <c r="A36" t="s">
        <v>6581</v>
      </c>
      <c r="B36" s="1">
        <v>35</v>
      </c>
      <c r="C36" t="s">
        <v>6694</v>
      </c>
      <c r="D36" t="s">
        <v>6695</v>
      </c>
      <c r="E36" t="s">
        <v>6696</v>
      </c>
      <c r="F36" t="s">
        <v>6697</v>
      </c>
      <c r="G36" t="s">
        <v>6586</v>
      </c>
    </row>
    <row r="37" spans="1:7">
      <c r="A37" t="s">
        <v>6581</v>
      </c>
      <c r="B37" s="1">
        <v>36</v>
      </c>
      <c r="C37" t="s">
        <v>6698</v>
      </c>
      <c r="D37" t="s">
        <v>6695</v>
      </c>
      <c r="E37" t="s">
        <v>6699</v>
      </c>
      <c r="F37" t="s">
        <v>6700</v>
      </c>
      <c r="G37" t="s">
        <v>6586</v>
      </c>
    </row>
    <row r="38" spans="1:7">
      <c r="A38" t="s">
        <v>6581</v>
      </c>
      <c r="B38" s="1">
        <v>37</v>
      </c>
      <c r="C38" t="s">
        <v>6701</v>
      </c>
      <c r="D38" t="s">
        <v>6695</v>
      </c>
      <c r="E38" t="s">
        <v>6702</v>
      </c>
      <c r="F38" t="s">
        <v>6703</v>
      </c>
      <c r="G38" t="s">
        <v>6586</v>
      </c>
    </row>
    <row r="39" spans="1:7">
      <c r="A39" t="s">
        <v>6581</v>
      </c>
      <c r="B39" s="1">
        <v>38</v>
      </c>
      <c r="C39" t="s">
        <v>6704</v>
      </c>
      <c r="D39" t="s">
        <v>6705</v>
      </c>
      <c r="E39" t="s">
        <v>6706</v>
      </c>
      <c r="F39" t="s">
        <v>6707</v>
      </c>
      <c r="G39" t="s">
        <v>6586</v>
      </c>
    </row>
    <row r="40" spans="1:7">
      <c r="A40" t="s">
        <v>6581</v>
      </c>
      <c r="B40" s="1">
        <v>39</v>
      </c>
      <c r="C40" t="s">
        <v>6708</v>
      </c>
      <c r="D40" t="s">
        <v>6654</v>
      </c>
      <c r="E40" t="s">
        <v>6709</v>
      </c>
      <c r="F40" t="s">
        <v>6710</v>
      </c>
      <c r="G40" t="s">
        <v>6586</v>
      </c>
    </row>
    <row r="41" spans="1:7">
      <c r="A41" t="s">
        <v>6581</v>
      </c>
      <c r="B41" s="1">
        <v>40</v>
      </c>
      <c r="C41" t="s">
        <v>6711</v>
      </c>
      <c r="D41" t="s">
        <v>6654</v>
      </c>
      <c r="E41" t="s">
        <v>6712</v>
      </c>
      <c r="F41" t="s">
        <v>6713</v>
      </c>
      <c r="G41" t="s">
        <v>6586</v>
      </c>
    </row>
    <row r="42" spans="1:7">
      <c r="A42" t="s">
        <v>6581</v>
      </c>
      <c r="B42" s="1">
        <v>41</v>
      </c>
      <c r="C42" t="s">
        <v>6714</v>
      </c>
      <c r="D42" t="s">
        <v>6654</v>
      </c>
      <c r="E42" t="s">
        <v>6715</v>
      </c>
      <c r="F42" t="s">
        <v>6716</v>
      </c>
      <c r="G42" t="s">
        <v>6586</v>
      </c>
    </row>
    <row r="43" spans="1:7">
      <c r="A43" t="s">
        <v>6581</v>
      </c>
      <c r="B43" s="1">
        <v>42</v>
      </c>
      <c r="C43" t="s">
        <v>6717</v>
      </c>
      <c r="D43" t="s">
        <v>6654</v>
      </c>
      <c r="E43" t="s">
        <v>6718</v>
      </c>
      <c r="F43" t="s">
        <v>6719</v>
      </c>
      <c r="G43" t="s">
        <v>6586</v>
      </c>
    </row>
    <row r="44" spans="1:7">
      <c r="A44" t="s">
        <v>6581</v>
      </c>
      <c r="B44" s="1">
        <v>43</v>
      </c>
      <c r="C44" t="s">
        <v>6720</v>
      </c>
      <c r="D44" t="s">
        <v>6654</v>
      </c>
      <c r="E44" t="s">
        <v>6721</v>
      </c>
      <c r="F44" t="s">
        <v>6722</v>
      </c>
      <c r="G44" t="s">
        <v>6586</v>
      </c>
    </row>
    <row r="45" spans="1:7">
      <c r="A45" t="s">
        <v>6581</v>
      </c>
      <c r="B45" s="1">
        <v>44</v>
      </c>
      <c r="C45" t="s">
        <v>6723</v>
      </c>
      <c r="D45" t="s">
        <v>6724</v>
      </c>
      <c r="E45" t="s">
        <v>6725</v>
      </c>
      <c r="F45" t="s">
        <v>6726</v>
      </c>
      <c r="G45" t="s">
        <v>6586</v>
      </c>
    </row>
    <row r="46" spans="1:7">
      <c r="A46" t="s">
        <v>6581</v>
      </c>
      <c r="B46" s="1">
        <v>45</v>
      </c>
      <c r="C46" t="s">
        <v>6727</v>
      </c>
      <c r="D46" t="s">
        <v>6695</v>
      </c>
      <c r="E46" t="s">
        <v>6728</v>
      </c>
      <c r="F46" t="s">
        <v>6729</v>
      </c>
      <c r="G46" t="s">
        <v>6586</v>
      </c>
    </row>
    <row r="47" spans="1:7">
      <c r="A47" t="s">
        <v>6581</v>
      </c>
      <c r="B47" s="1">
        <v>46</v>
      </c>
      <c r="C47" t="s">
        <v>6730</v>
      </c>
      <c r="D47" t="s">
        <v>6695</v>
      </c>
      <c r="E47" t="s">
        <v>6731</v>
      </c>
      <c r="F47" t="s">
        <v>6732</v>
      </c>
      <c r="G47" t="s">
        <v>6586</v>
      </c>
    </row>
    <row r="48" spans="1:7">
      <c r="A48" t="s">
        <v>6581</v>
      </c>
      <c r="B48" s="1">
        <v>47</v>
      </c>
      <c r="C48" t="s">
        <v>6733</v>
      </c>
      <c r="D48" t="s">
        <v>6734</v>
      </c>
      <c r="E48" t="s">
        <v>6735</v>
      </c>
      <c r="F48" t="s">
        <v>6736</v>
      </c>
      <c r="G48" t="s">
        <v>6586</v>
      </c>
    </row>
    <row r="49" spans="1:7">
      <c r="A49" t="s">
        <v>6581</v>
      </c>
      <c r="B49" s="1">
        <v>48</v>
      </c>
      <c r="C49" t="s">
        <v>6737</v>
      </c>
      <c r="D49" t="s">
        <v>6734</v>
      </c>
      <c r="E49" t="s">
        <v>6738</v>
      </c>
      <c r="F49" t="s">
        <v>6739</v>
      </c>
      <c r="G49" t="s">
        <v>6586</v>
      </c>
    </row>
    <row r="50" spans="1:7">
      <c r="A50" t="s">
        <v>6581</v>
      </c>
      <c r="B50" s="1">
        <v>49</v>
      </c>
      <c r="C50" t="s">
        <v>6740</v>
      </c>
      <c r="D50" t="s">
        <v>6734</v>
      </c>
      <c r="E50" t="s">
        <v>6741</v>
      </c>
      <c r="F50" t="s">
        <v>6742</v>
      </c>
      <c r="G50" t="s">
        <v>6586</v>
      </c>
    </row>
    <row r="51" spans="1:7">
      <c r="A51" t="s">
        <v>6581</v>
      </c>
      <c r="B51" s="1">
        <v>50</v>
      </c>
      <c r="C51" t="s">
        <v>6743</v>
      </c>
      <c r="D51" t="s">
        <v>6605</v>
      </c>
      <c r="E51" t="s">
        <v>6744</v>
      </c>
      <c r="F51" t="s">
        <v>6745</v>
      </c>
      <c r="G51" t="s">
        <v>6586</v>
      </c>
    </row>
    <row r="52" spans="1:7">
      <c r="A52" t="s">
        <v>6581</v>
      </c>
      <c r="B52" s="1">
        <v>51</v>
      </c>
      <c r="C52" t="s">
        <v>6746</v>
      </c>
      <c r="D52" t="s">
        <v>6654</v>
      </c>
      <c r="E52" t="s">
        <v>6747</v>
      </c>
      <c r="F52" t="s">
        <v>6748</v>
      </c>
      <c r="G52" t="s">
        <v>6586</v>
      </c>
    </row>
    <row r="53" spans="1:7">
      <c r="A53" t="s">
        <v>6581</v>
      </c>
      <c r="B53" s="1">
        <v>52</v>
      </c>
      <c r="C53" t="s">
        <v>6749</v>
      </c>
      <c r="D53" t="s">
        <v>6654</v>
      </c>
      <c r="E53" t="s">
        <v>6750</v>
      </c>
      <c r="F53" t="s">
        <v>6751</v>
      </c>
      <c r="G53" t="s">
        <v>6586</v>
      </c>
    </row>
    <row r="54" spans="1:7">
      <c r="A54" t="s">
        <v>6581</v>
      </c>
      <c r="B54" s="1">
        <v>53</v>
      </c>
      <c r="C54" t="s">
        <v>6752</v>
      </c>
      <c r="D54" t="s">
        <v>6609</v>
      </c>
      <c r="E54" t="s">
        <v>6753</v>
      </c>
      <c r="F54" t="s">
        <v>6754</v>
      </c>
      <c r="G54" t="s">
        <v>6586</v>
      </c>
    </row>
    <row r="55" spans="1:7">
      <c r="A55" t="s">
        <v>6581</v>
      </c>
      <c r="B55" s="1">
        <v>54</v>
      </c>
      <c r="C55" t="s">
        <v>6755</v>
      </c>
      <c r="D55" t="s">
        <v>6667</v>
      </c>
      <c r="E55" t="s">
        <v>6756</v>
      </c>
      <c r="F55" t="s">
        <v>6757</v>
      </c>
      <c r="G55" t="s">
        <v>6586</v>
      </c>
    </row>
    <row r="56" spans="1:7">
      <c r="A56" t="s">
        <v>6581</v>
      </c>
      <c r="B56" s="1">
        <v>55</v>
      </c>
      <c r="C56" t="s">
        <v>6758</v>
      </c>
      <c r="D56" t="s">
        <v>6667</v>
      </c>
      <c r="E56" t="s">
        <v>6759</v>
      </c>
      <c r="F56" t="s">
        <v>6760</v>
      </c>
      <c r="G56" t="s">
        <v>6586</v>
      </c>
    </row>
    <row r="57" spans="1:7">
      <c r="A57" t="s">
        <v>6581</v>
      </c>
      <c r="B57" s="1">
        <v>56</v>
      </c>
      <c r="C57" t="s">
        <v>6761</v>
      </c>
      <c r="D57" t="s">
        <v>6667</v>
      </c>
      <c r="E57" t="s">
        <v>6762</v>
      </c>
      <c r="F57" t="s">
        <v>6763</v>
      </c>
      <c r="G57" t="s">
        <v>6586</v>
      </c>
    </row>
    <row r="58" spans="1:7">
      <c r="A58" t="s">
        <v>6581</v>
      </c>
      <c r="B58" s="1">
        <v>57</v>
      </c>
      <c r="C58" t="s">
        <v>6764</v>
      </c>
      <c r="D58" t="s">
        <v>6605</v>
      </c>
      <c r="E58" t="s">
        <v>6765</v>
      </c>
      <c r="F58" t="s">
        <v>6766</v>
      </c>
      <c r="G58" t="s">
        <v>6586</v>
      </c>
    </row>
    <row r="59" spans="1:7">
      <c r="A59" t="s">
        <v>6581</v>
      </c>
      <c r="B59" s="1">
        <v>58</v>
      </c>
      <c r="C59" t="s">
        <v>6767</v>
      </c>
      <c r="D59" t="s">
        <v>6605</v>
      </c>
      <c r="E59" t="s">
        <v>6768</v>
      </c>
      <c r="F59" t="s">
        <v>6769</v>
      </c>
      <c r="G59" t="s">
        <v>6586</v>
      </c>
    </row>
    <row r="60" spans="1:7">
      <c r="A60" t="s">
        <v>6581</v>
      </c>
      <c r="B60" s="1">
        <v>59</v>
      </c>
      <c r="C60" t="s">
        <v>6770</v>
      </c>
      <c r="D60" t="s">
        <v>6771</v>
      </c>
      <c r="E60" t="s">
        <v>6772</v>
      </c>
      <c r="F60" t="s">
        <v>6773</v>
      </c>
      <c r="G60" t="s">
        <v>6586</v>
      </c>
    </row>
    <row r="61" spans="1:7">
      <c r="A61" t="s">
        <v>6581</v>
      </c>
      <c r="B61" s="1">
        <v>60</v>
      </c>
      <c r="C61" t="s">
        <v>6774</v>
      </c>
      <c r="D61" t="s">
        <v>6771</v>
      </c>
      <c r="E61" t="s">
        <v>6775</v>
      </c>
      <c r="F61" t="s">
        <v>6776</v>
      </c>
      <c r="G61" t="s">
        <v>6586</v>
      </c>
    </row>
    <row r="62" spans="1:7">
      <c r="A62" t="s">
        <v>6581</v>
      </c>
      <c r="B62" s="1">
        <v>61</v>
      </c>
      <c r="C62" t="s">
        <v>6777</v>
      </c>
      <c r="D62" t="s">
        <v>6695</v>
      </c>
      <c r="E62" t="s">
        <v>6778</v>
      </c>
      <c r="F62" t="s">
        <v>6779</v>
      </c>
      <c r="G62" t="s">
        <v>6586</v>
      </c>
    </row>
    <row r="63" spans="1:7">
      <c r="A63" t="s">
        <v>6581</v>
      </c>
      <c r="B63" s="1">
        <v>62</v>
      </c>
      <c r="C63" t="s">
        <v>6780</v>
      </c>
      <c r="D63" t="s">
        <v>6695</v>
      </c>
      <c r="E63" t="s">
        <v>6781</v>
      </c>
      <c r="F63" t="s">
        <v>6782</v>
      </c>
      <c r="G63" t="s">
        <v>6586</v>
      </c>
    </row>
    <row r="64" spans="1:7">
      <c r="A64" t="s">
        <v>6581</v>
      </c>
      <c r="B64" s="1">
        <v>63</v>
      </c>
      <c r="C64" t="s">
        <v>6783</v>
      </c>
      <c r="D64" t="s">
        <v>6609</v>
      </c>
      <c r="E64" t="s">
        <v>6784</v>
      </c>
      <c r="F64" t="s">
        <v>6785</v>
      </c>
      <c r="G64" t="s">
        <v>6586</v>
      </c>
    </row>
    <row r="65" spans="1:7">
      <c r="A65" t="s">
        <v>6581</v>
      </c>
      <c r="B65" s="1">
        <v>64</v>
      </c>
      <c r="C65" t="s">
        <v>6786</v>
      </c>
      <c r="D65" t="s">
        <v>6609</v>
      </c>
      <c r="E65" t="s">
        <v>6787</v>
      </c>
      <c r="F65" t="s">
        <v>6788</v>
      </c>
      <c r="G65" t="s">
        <v>6586</v>
      </c>
    </row>
    <row r="66" spans="1:7">
      <c r="A66" t="s">
        <v>6581</v>
      </c>
      <c r="B66" s="1">
        <v>65</v>
      </c>
      <c r="C66" t="s">
        <v>6789</v>
      </c>
      <c r="D66" t="s">
        <v>6609</v>
      </c>
      <c r="E66" t="s">
        <v>6790</v>
      </c>
      <c r="F66" t="s">
        <v>6791</v>
      </c>
      <c r="G66" t="s">
        <v>6586</v>
      </c>
    </row>
    <row r="67" spans="1:7">
      <c r="A67" t="s">
        <v>6581</v>
      </c>
      <c r="B67" s="1">
        <v>66</v>
      </c>
      <c r="C67" t="s">
        <v>6792</v>
      </c>
      <c r="D67" t="s">
        <v>6654</v>
      </c>
      <c r="E67" t="s">
        <v>6793</v>
      </c>
      <c r="F67" t="s">
        <v>6794</v>
      </c>
      <c r="G67" t="s">
        <v>6586</v>
      </c>
    </row>
    <row r="68" spans="1:7">
      <c r="A68" t="s">
        <v>6581</v>
      </c>
      <c r="B68" s="1">
        <v>67</v>
      </c>
      <c r="C68" t="s">
        <v>6795</v>
      </c>
      <c r="D68" t="s">
        <v>6605</v>
      </c>
      <c r="E68" t="s">
        <v>6796</v>
      </c>
      <c r="F68" t="s">
        <v>6797</v>
      </c>
      <c r="G68" t="s">
        <v>6586</v>
      </c>
    </row>
    <row r="69" spans="1:7">
      <c r="A69" t="s">
        <v>6581</v>
      </c>
      <c r="B69" s="1">
        <v>68</v>
      </c>
      <c r="C69" t="s">
        <v>6798</v>
      </c>
      <c r="D69" t="s">
        <v>6605</v>
      </c>
      <c r="E69" t="s">
        <v>6799</v>
      </c>
      <c r="F69" t="s">
        <v>6800</v>
      </c>
      <c r="G69" t="s">
        <v>6586</v>
      </c>
    </row>
    <row r="70" spans="1:7">
      <c r="A70" t="s">
        <v>6581</v>
      </c>
      <c r="B70" s="1">
        <v>69</v>
      </c>
      <c r="C70" t="s">
        <v>6801</v>
      </c>
      <c r="D70" t="s">
        <v>6734</v>
      </c>
      <c r="E70" t="s">
        <v>6802</v>
      </c>
      <c r="F70" t="s">
        <v>6803</v>
      </c>
      <c r="G70" t="s">
        <v>6586</v>
      </c>
    </row>
    <row r="71" spans="1:7">
      <c r="A71" t="s">
        <v>6581</v>
      </c>
      <c r="B71" s="1">
        <v>70</v>
      </c>
      <c r="C71" t="s">
        <v>6804</v>
      </c>
      <c r="D71" t="s">
        <v>6734</v>
      </c>
      <c r="E71" t="s">
        <v>6805</v>
      </c>
      <c r="F71" t="s">
        <v>6806</v>
      </c>
      <c r="G71" t="s">
        <v>6586</v>
      </c>
    </row>
    <row r="72" spans="1:7">
      <c r="A72" t="s">
        <v>6581</v>
      </c>
      <c r="B72" s="1">
        <v>71</v>
      </c>
      <c r="C72" t="s">
        <v>6807</v>
      </c>
      <c r="D72" t="s">
        <v>6734</v>
      </c>
      <c r="E72" t="s">
        <v>6808</v>
      </c>
      <c r="F72" t="s">
        <v>6809</v>
      </c>
      <c r="G72" t="s">
        <v>6586</v>
      </c>
    </row>
    <row r="73" spans="1:7">
      <c r="A73" t="s">
        <v>6581</v>
      </c>
      <c r="B73" s="1">
        <v>72</v>
      </c>
      <c r="C73" t="s">
        <v>6810</v>
      </c>
      <c r="D73" t="s">
        <v>6598</v>
      </c>
      <c r="E73" t="s">
        <v>6811</v>
      </c>
      <c r="F73" t="s">
        <v>6812</v>
      </c>
      <c r="G73" t="s">
        <v>6586</v>
      </c>
    </row>
    <row r="74" spans="1:7">
      <c r="A74" t="s">
        <v>6581</v>
      </c>
      <c r="B74" s="1">
        <v>73</v>
      </c>
      <c r="C74" t="s">
        <v>6813</v>
      </c>
      <c r="D74" t="s">
        <v>6598</v>
      </c>
      <c r="E74" t="s">
        <v>6814</v>
      </c>
      <c r="F74" t="s">
        <v>6815</v>
      </c>
      <c r="G74" t="s">
        <v>6586</v>
      </c>
    </row>
    <row r="75" spans="1:7">
      <c r="A75" t="s">
        <v>6581</v>
      </c>
      <c r="B75" s="1">
        <v>74</v>
      </c>
      <c r="C75" t="s">
        <v>6816</v>
      </c>
      <c r="D75" t="s">
        <v>6654</v>
      </c>
      <c r="E75" t="s">
        <v>6817</v>
      </c>
      <c r="F75" t="s">
        <v>6818</v>
      </c>
      <c r="G75" t="s">
        <v>6586</v>
      </c>
    </row>
    <row r="76" spans="1:7">
      <c r="A76" t="s">
        <v>6581</v>
      </c>
      <c r="B76" s="1">
        <v>75</v>
      </c>
      <c r="C76" t="s">
        <v>6819</v>
      </c>
      <c r="D76" t="s">
        <v>6654</v>
      </c>
      <c r="E76" t="s">
        <v>6820</v>
      </c>
      <c r="F76" t="s">
        <v>6821</v>
      </c>
      <c r="G76" t="s">
        <v>6586</v>
      </c>
    </row>
    <row r="77" spans="1:7">
      <c r="A77" t="s">
        <v>6581</v>
      </c>
      <c r="B77" s="1">
        <v>76</v>
      </c>
      <c r="C77" t="s">
        <v>6822</v>
      </c>
      <c r="D77" t="s">
        <v>6583</v>
      </c>
      <c r="E77" t="s">
        <v>6823</v>
      </c>
      <c r="F77" t="s">
        <v>6824</v>
      </c>
      <c r="G77" t="s">
        <v>6586</v>
      </c>
    </row>
    <row r="78" spans="1:7">
      <c r="A78" t="s">
        <v>6581</v>
      </c>
      <c r="B78" s="1">
        <v>77</v>
      </c>
      <c r="C78" t="s">
        <v>6825</v>
      </c>
      <c r="D78" t="s">
        <v>6705</v>
      </c>
      <c r="E78" t="s">
        <v>6826</v>
      </c>
      <c r="F78" t="s">
        <v>6827</v>
      </c>
      <c r="G78" t="s">
        <v>6586</v>
      </c>
    </row>
    <row r="79" spans="1:7">
      <c r="A79" t="s">
        <v>6581</v>
      </c>
      <c r="B79" s="1">
        <v>78</v>
      </c>
      <c r="C79" t="s">
        <v>6828</v>
      </c>
      <c r="D79" t="s">
        <v>6695</v>
      </c>
      <c r="E79" t="s">
        <v>6829</v>
      </c>
      <c r="F79" t="s">
        <v>6830</v>
      </c>
      <c r="G79" t="s">
        <v>6586</v>
      </c>
    </row>
    <row r="80" spans="1:7">
      <c r="A80" t="s">
        <v>6581</v>
      </c>
      <c r="B80" s="1">
        <v>79</v>
      </c>
      <c r="C80" t="s">
        <v>6831</v>
      </c>
      <c r="D80" t="s">
        <v>6734</v>
      </c>
      <c r="E80" t="s">
        <v>6832</v>
      </c>
      <c r="F80" t="s">
        <v>6833</v>
      </c>
      <c r="G80" t="s">
        <v>6586</v>
      </c>
    </row>
    <row r="81" spans="1:7">
      <c r="A81" t="s">
        <v>6581</v>
      </c>
      <c r="B81" s="1">
        <v>80</v>
      </c>
      <c r="C81" t="s">
        <v>6834</v>
      </c>
      <c r="D81" t="s">
        <v>6609</v>
      </c>
      <c r="E81" t="s">
        <v>6835</v>
      </c>
      <c r="F81" t="s">
        <v>6836</v>
      </c>
      <c r="G81" t="s">
        <v>6586</v>
      </c>
    </row>
    <row r="82" spans="1:7">
      <c r="A82" t="s">
        <v>6581</v>
      </c>
      <c r="B82" s="1">
        <v>81</v>
      </c>
      <c r="C82" t="s">
        <v>6837</v>
      </c>
      <c r="D82" t="s">
        <v>6609</v>
      </c>
      <c r="E82" t="s">
        <v>6838</v>
      </c>
      <c r="F82" t="s">
        <v>6839</v>
      </c>
      <c r="G82" t="s">
        <v>6586</v>
      </c>
    </row>
    <row r="83" spans="1:7">
      <c r="A83" t="s">
        <v>6581</v>
      </c>
      <c r="B83" s="1">
        <v>82</v>
      </c>
      <c r="C83" t="s">
        <v>6840</v>
      </c>
      <c r="D83" t="s">
        <v>6609</v>
      </c>
      <c r="E83" t="s">
        <v>6841</v>
      </c>
      <c r="F83" t="s">
        <v>6842</v>
      </c>
      <c r="G83" t="s">
        <v>6586</v>
      </c>
    </row>
    <row r="84" spans="1:7">
      <c r="A84" t="s">
        <v>6581</v>
      </c>
      <c r="B84" s="1">
        <v>83</v>
      </c>
      <c r="C84" t="s">
        <v>6843</v>
      </c>
      <c r="D84" t="s">
        <v>6609</v>
      </c>
      <c r="E84" t="s">
        <v>6844</v>
      </c>
      <c r="F84" t="s">
        <v>6845</v>
      </c>
      <c r="G84" t="s">
        <v>6586</v>
      </c>
    </row>
    <row r="85" spans="1:7">
      <c r="A85" t="s">
        <v>6581</v>
      </c>
      <c r="B85" s="1">
        <v>84</v>
      </c>
      <c r="C85" t="s">
        <v>6846</v>
      </c>
      <c r="D85" t="s">
        <v>6609</v>
      </c>
      <c r="E85" t="s">
        <v>6847</v>
      </c>
      <c r="F85" t="s">
        <v>6848</v>
      </c>
      <c r="G85" t="s">
        <v>6586</v>
      </c>
    </row>
    <row r="86" spans="1:7">
      <c r="A86" t="s">
        <v>6581</v>
      </c>
      <c r="B86" s="1">
        <v>85</v>
      </c>
      <c r="C86" t="s">
        <v>6849</v>
      </c>
      <c r="D86" t="s">
        <v>6605</v>
      </c>
      <c r="E86" t="s">
        <v>6850</v>
      </c>
      <c r="F86" t="s">
        <v>6851</v>
      </c>
      <c r="G86" t="s">
        <v>6586</v>
      </c>
    </row>
    <row r="87" spans="1:7">
      <c r="A87" t="s">
        <v>6581</v>
      </c>
      <c r="B87" s="1">
        <v>86</v>
      </c>
      <c r="C87" t="s">
        <v>6852</v>
      </c>
      <c r="D87" t="s">
        <v>6609</v>
      </c>
      <c r="E87" t="s">
        <v>6853</v>
      </c>
      <c r="F87" t="s">
        <v>6854</v>
      </c>
      <c r="G87" t="s">
        <v>6586</v>
      </c>
    </row>
    <row r="88" spans="1:7">
      <c r="A88" t="s">
        <v>6581</v>
      </c>
      <c r="B88" s="1">
        <v>87</v>
      </c>
      <c r="C88" t="s">
        <v>6855</v>
      </c>
      <c r="D88" t="s">
        <v>6771</v>
      </c>
      <c r="E88" t="s">
        <v>6856</v>
      </c>
      <c r="F88" t="s">
        <v>6857</v>
      </c>
      <c r="G88" t="s">
        <v>6586</v>
      </c>
    </row>
    <row r="89" spans="1:7">
      <c r="A89" t="s">
        <v>6581</v>
      </c>
      <c r="B89" s="1">
        <v>88</v>
      </c>
      <c r="C89" t="s">
        <v>6858</v>
      </c>
      <c r="D89" t="s">
        <v>6771</v>
      </c>
      <c r="E89" t="s">
        <v>6859</v>
      </c>
      <c r="F89" t="s">
        <v>6860</v>
      </c>
      <c r="G89" t="s">
        <v>6586</v>
      </c>
    </row>
    <row r="90" spans="1:7">
      <c r="A90" t="s">
        <v>6581</v>
      </c>
      <c r="B90" s="1">
        <v>89</v>
      </c>
      <c r="C90" t="s">
        <v>6861</v>
      </c>
      <c r="D90" t="s">
        <v>6654</v>
      </c>
      <c r="E90" t="s">
        <v>6862</v>
      </c>
      <c r="F90" t="s">
        <v>6863</v>
      </c>
      <c r="G90" t="s">
        <v>6586</v>
      </c>
    </row>
    <row r="91" spans="1:7">
      <c r="A91" t="s">
        <v>6581</v>
      </c>
      <c r="B91" s="1">
        <v>90</v>
      </c>
      <c r="C91" t="s">
        <v>6864</v>
      </c>
      <c r="D91" t="s">
        <v>6654</v>
      </c>
      <c r="E91" t="s">
        <v>6865</v>
      </c>
      <c r="F91" t="s">
        <v>6866</v>
      </c>
      <c r="G91" t="s">
        <v>6586</v>
      </c>
    </row>
    <row r="92" spans="1:7">
      <c r="A92" t="s">
        <v>6581</v>
      </c>
      <c r="B92" s="1">
        <v>91</v>
      </c>
      <c r="C92" t="s">
        <v>6867</v>
      </c>
      <c r="D92" t="s">
        <v>6609</v>
      </c>
      <c r="E92" t="s">
        <v>6868</v>
      </c>
      <c r="F92" t="s">
        <v>6869</v>
      </c>
      <c r="G92" t="s">
        <v>6586</v>
      </c>
    </row>
    <row r="93" spans="1:7">
      <c r="A93" t="s">
        <v>6581</v>
      </c>
      <c r="B93" s="1">
        <v>92</v>
      </c>
      <c r="C93" t="s">
        <v>6870</v>
      </c>
      <c r="D93" t="s">
        <v>6609</v>
      </c>
      <c r="E93" t="s">
        <v>6871</v>
      </c>
      <c r="F93" t="s">
        <v>6872</v>
      </c>
      <c r="G93" t="s">
        <v>6586</v>
      </c>
    </row>
    <row r="94" spans="1:7">
      <c r="A94" t="s">
        <v>6581</v>
      </c>
      <c r="B94" s="1">
        <v>93</v>
      </c>
      <c r="C94" t="s">
        <v>6873</v>
      </c>
      <c r="D94" t="s">
        <v>6605</v>
      </c>
      <c r="E94" t="s">
        <v>6874</v>
      </c>
      <c r="F94" t="s">
        <v>6875</v>
      </c>
      <c r="G94" t="s">
        <v>6586</v>
      </c>
    </row>
    <row r="95" spans="1:7">
      <c r="A95" t="s">
        <v>6581</v>
      </c>
      <c r="B95" s="1">
        <v>94</v>
      </c>
      <c r="C95" t="s">
        <v>6876</v>
      </c>
      <c r="D95" t="s">
        <v>6605</v>
      </c>
      <c r="E95" t="s">
        <v>6877</v>
      </c>
      <c r="F95" t="s">
        <v>6878</v>
      </c>
      <c r="G95" t="s">
        <v>6586</v>
      </c>
    </row>
    <row r="96" spans="1:7">
      <c r="A96" t="s">
        <v>6581</v>
      </c>
      <c r="B96" s="1">
        <v>95</v>
      </c>
      <c r="C96" t="s">
        <v>6879</v>
      </c>
      <c r="D96" t="s">
        <v>6734</v>
      </c>
      <c r="E96" t="s">
        <v>6880</v>
      </c>
      <c r="F96" t="s">
        <v>6881</v>
      </c>
      <c r="G96" t="s">
        <v>6586</v>
      </c>
    </row>
    <row r="97" spans="1:7">
      <c r="A97" t="s">
        <v>6581</v>
      </c>
      <c r="B97" s="1">
        <v>96</v>
      </c>
      <c r="C97" t="s">
        <v>6882</v>
      </c>
      <c r="D97" t="s">
        <v>6734</v>
      </c>
      <c r="E97" t="s">
        <v>6883</v>
      </c>
      <c r="F97" t="s">
        <v>6884</v>
      </c>
      <c r="G97" t="s">
        <v>6586</v>
      </c>
    </row>
    <row r="98" spans="1:7">
      <c r="A98" t="s">
        <v>6581</v>
      </c>
      <c r="B98" s="1">
        <v>97</v>
      </c>
      <c r="C98" t="s">
        <v>6885</v>
      </c>
      <c r="D98" t="s">
        <v>6734</v>
      </c>
      <c r="E98" t="s">
        <v>6886</v>
      </c>
      <c r="F98" t="s">
        <v>6887</v>
      </c>
      <c r="G98" t="s">
        <v>6586</v>
      </c>
    </row>
    <row r="99" spans="1:7">
      <c r="A99" t="s">
        <v>6581</v>
      </c>
      <c r="B99" s="1">
        <v>98</v>
      </c>
      <c r="C99" t="s">
        <v>6888</v>
      </c>
      <c r="D99" t="s">
        <v>6667</v>
      </c>
      <c r="E99" t="s">
        <v>6889</v>
      </c>
      <c r="F99" t="s">
        <v>6890</v>
      </c>
      <c r="G99" t="s">
        <v>6586</v>
      </c>
    </row>
    <row r="100" spans="1:7">
      <c r="A100" t="s">
        <v>6581</v>
      </c>
      <c r="B100" s="1">
        <v>99</v>
      </c>
      <c r="C100" t="s">
        <v>6891</v>
      </c>
      <c r="D100" t="s">
        <v>6605</v>
      </c>
      <c r="E100" t="s">
        <v>6892</v>
      </c>
      <c r="F100" t="s">
        <v>6893</v>
      </c>
      <c r="G100" t="s">
        <v>6586</v>
      </c>
    </row>
    <row r="101" spans="1:7">
      <c r="A101" t="s">
        <v>6581</v>
      </c>
      <c r="B101" s="1">
        <v>100</v>
      </c>
      <c r="C101" t="s">
        <v>6894</v>
      </c>
      <c r="D101" t="s">
        <v>6654</v>
      </c>
      <c r="E101" t="s">
        <v>6895</v>
      </c>
      <c r="F101" t="s">
        <v>6896</v>
      </c>
      <c r="G101" t="s">
        <v>6586</v>
      </c>
    </row>
    <row r="102" spans="1:7">
      <c r="A102" t="s">
        <v>6581</v>
      </c>
      <c r="B102" s="1">
        <v>101</v>
      </c>
      <c r="C102" t="s">
        <v>6897</v>
      </c>
      <c r="D102" t="s">
        <v>6605</v>
      </c>
      <c r="E102" t="s">
        <v>6898</v>
      </c>
      <c r="F102" t="s">
        <v>6899</v>
      </c>
      <c r="G102" t="s">
        <v>6586</v>
      </c>
    </row>
    <row r="103" spans="1:7">
      <c r="A103" t="s">
        <v>6581</v>
      </c>
      <c r="B103" s="1">
        <v>102</v>
      </c>
      <c r="C103" t="s">
        <v>6900</v>
      </c>
      <c r="D103" t="s">
        <v>6605</v>
      </c>
      <c r="E103" t="s">
        <v>6901</v>
      </c>
      <c r="F103" t="s">
        <v>6902</v>
      </c>
      <c r="G103" t="s">
        <v>6586</v>
      </c>
    </row>
    <row r="104" spans="1:7">
      <c r="A104" t="s">
        <v>6581</v>
      </c>
      <c r="B104" s="1">
        <v>103</v>
      </c>
      <c r="C104" t="s">
        <v>6903</v>
      </c>
      <c r="D104" t="s">
        <v>6583</v>
      </c>
      <c r="E104" t="s">
        <v>6904</v>
      </c>
      <c r="F104" t="s">
        <v>6905</v>
      </c>
      <c r="G104" t="s">
        <v>6586</v>
      </c>
    </row>
    <row r="105" spans="1:7">
      <c r="A105" t="s">
        <v>6581</v>
      </c>
      <c r="B105" s="1">
        <v>104</v>
      </c>
      <c r="C105" t="s">
        <v>6906</v>
      </c>
      <c r="D105" t="s">
        <v>6695</v>
      </c>
      <c r="E105" t="s">
        <v>6907</v>
      </c>
      <c r="F105" t="s">
        <v>6908</v>
      </c>
      <c r="G105" t="s">
        <v>6586</v>
      </c>
    </row>
    <row r="106" spans="1:7">
      <c r="A106" t="s">
        <v>6581</v>
      </c>
      <c r="B106" s="1">
        <v>105</v>
      </c>
      <c r="C106" t="s">
        <v>6909</v>
      </c>
      <c r="D106" t="s">
        <v>6609</v>
      </c>
      <c r="E106" t="s">
        <v>6910</v>
      </c>
      <c r="F106" t="s">
        <v>6911</v>
      </c>
      <c r="G106" t="s">
        <v>6586</v>
      </c>
    </row>
    <row r="107" spans="1:7">
      <c r="A107" t="s">
        <v>6581</v>
      </c>
      <c r="B107" s="1">
        <v>106</v>
      </c>
      <c r="C107" t="s">
        <v>6912</v>
      </c>
      <c r="D107" t="s">
        <v>6695</v>
      </c>
      <c r="E107" t="s">
        <v>6913</v>
      </c>
      <c r="F107" t="s">
        <v>6914</v>
      </c>
      <c r="G107" t="s">
        <v>6586</v>
      </c>
    </row>
    <row r="108" spans="1:7">
      <c r="A108" t="s">
        <v>6581</v>
      </c>
      <c r="B108" s="1">
        <v>107</v>
      </c>
      <c r="C108" t="s">
        <v>6915</v>
      </c>
      <c r="D108" t="s">
        <v>6734</v>
      </c>
      <c r="E108" t="s">
        <v>6916</v>
      </c>
      <c r="F108" t="s">
        <v>6917</v>
      </c>
      <c r="G108" t="s">
        <v>6586</v>
      </c>
    </row>
    <row r="109" spans="1:7">
      <c r="A109" t="s">
        <v>6581</v>
      </c>
      <c r="B109" s="1">
        <v>108</v>
      </c>
      <c r="C109" t="s">
        <v>6918</v>
      </c>
      <c r="D109" t="s">
        <v>6734</v>
      </c>
      <c r="E109" t="s">
        <v>6919</v>
      </c>
      <c r="F109" t="s">
        <v>6920</v>
      </c>
      <c r="G109" t="s">
        <v>6586</v>
      </c>
    </row>
    <row r="110" spans="1:7">
      <c r="A110" t="s">
        <v>6581</v>
      </c>
      <c r="B110" s="1">
        <v>109</v>
      </c>
      <c r="C110" t="s">
        <v>6921</v>
      </c>
      <c r="D110" t="s">
        <v>6605</v>
      </c>
      <c r="E110" t="s">
        <v>6922</v>
      </c>
      <c r="F110" t="s">
        <v>6923</v>
      </c>
      <c r="G110" t="s">
        <v>6586</v>
      </c>
    </row>
    <row r="111" spans="1:7">
      <c r="A111" t="s">
        <v>6581</v>
      </c>
      <c r="B111" s="1">
        <v>110</v>
      </c>
      <c r="C111" t="s">
        <v>6924</v>
      </c>
      <c r="D111" t="s">
        <v>6605</v>
      </c>
      <c r="E111" t="s">
        <v>6925</v>
      </c>
      <c r="F111" t="s">
        <v>6926</v>
      </c>
      <c r="G111" t="s">
        <v>6586</v>
      </c>
    </row>
    <row r="112" spans="1:7">
      <c r="A112" t="s">
        <v>6581</v>
      </c>
      <c r="B112" s="1">
        <v>111</v>
      </c>
      <c r="C112" t="s">
        <v>6927</v>
      </c>
      <c r="D112" t="s">
        <v>6695</v>
      </c>
      <c r="E112" t="s">
        <v>6928</v>
      </c>
      <c r="F112" t="s">
        <v>6929</v>
      </c>
      <c r="G112" t="s">
        <v>6586</v>
      </c>
    </row>
    <row r="113" spans="1:7">
      <c r="A113" t="s">
        <v>6581</v>
      </c>
      <c r="B113" s="1">
        <v>112</v>
      </c>
      <c r="C113" t="s">
        <v>6930</v>
      </c>
      <c r="D113" t="s">
        <v>6605</v>
      </c>
      <c r="E113" t="s">
        <v>6931</v>
      </c>
      <c r="F113" t="s">
        <v>6932</v>
      </c>
      <c r="G113" t="s">
        <v>6586</v>
      </c>
    </row>
    <row r="114" spans="1:7">
      <c r="A114" t="s">
        <v>6581</v>
      </c>
      <c r="B114" s="1">
        <v>113</v>
      </c>
      <c r="C114" t="s">
        <v>6933</v>
      </c>
      <c r="D114" t="s">
        <v>6771</v>
      </c>
      <c r="E114" t="s">
        <v>6934</v>
      </c>
      <c r="F114" t="s">
        <v>6935</v>
      </c>
      <c r="G114" t="s">
        <v>6586</v>
      </c>
    </row>
    <row r="115" spans="1:7">
      <c r="A115" t="s">
        <v>6581</v>
      </c>
      <c r="B115" s="1">
        <v>114</v>
      </c>
      <c r="C115" t="s">
        <v>6936</v>
      </c>
      <c r="D115" t="s">
        <v>6771</v>
      </c>
      <c r="E115" t="s">
        <v>6937</v>
      </c>
      <c r="F115" t="s">
        <v>6938</v>
      </c>
      <c r="G115" t="s">
        <v>6586</v>
      </c>
    </row>
    <row r="116" spans="1:7">
      <c r="A116" t="s">
        <v>6581</v>
      </c>
      <c r="B116" s="1">
        <v>115</v>
      </c>
      <c r="C116" t="s">
        <v>6939</v>
      </c>
      <c r="D116" t="s">
        <v>6771</v>
      </c>
      <c r="E116" t="s">
        <v>6940</v>
      </c>
      <c r="F116" t="s">
        <v>6941</v>
      </c>
      <c r="G116" t="s">
        <v>6586</v>
      </c>
    </row>
    <row r="117" spans="1:7">
      <c r="A117" t="s">
        <v>6581</v>
      </c>
      <c r="B117" s="1">
        <v>116</v>
      </c>
      <c r="C117" t="s">
        <v>6942</v>
      </c>
      <c r="D117" t="s">
        <v>6771</v>
      </c>
      <c r="E117" t="s">
        <v>6943</v>
      </c>
      <c r="F117" t="s">
        <v>6944</v>
      </c>
      <c r="G117" t="s">
        <v>6586</v>
      </c>
    </row>
    <row r="118" spans="1:7">
      <c r="A118" t="s">
        <v>6581</v>
      </c>
      <c r="B118" s="1">
        <v>117</v>
      </c>
      <c r="C118" t="s">
        <v>6945</v>
      </c>
      <c r="D118" t="s">
        <v>6705</v>
      </c>
      <c r="E118" t="s">
        <v>6946</v>
      </c>
      <c r="F118" t="s">
        <v>6947</v>
      </c>
      <c r="G118" t="s">
        <v>6586</v>
      </c>
    </row>
    <row r="119" spans="1:7">
      <c r="A119" t="s">
        <v>6581</v>
      </c>
      <c r="B119" s="1">
        <v>118</v>
      </c>
      <c r="C119" t="s">
        <v>6948</v>
      </c>
      <c r="D119" t="s">
        <v>6705</v>
      </c>
      <c r="E119" t="s">
        <v>6949</v>
      </c>
      <c r="F119" t="s">
        <v>6950</v>
      </c>
      <c r="G119" t="s">
        <v>6586</v>
      </c>
    </row>
    <row r="120" spans="1:7">
      <c r="A120" t="s">
        <v>6581</v>
      </c>
      <c r="B120" s="1">
        <v>119</v>
      </c>
      <c r="C120" t="s">
        <v>6951</v>
      </c>
      <c r="D120" t="s">
        <v>6705</v>
      </c>
      <c r="E120" t="s">
        <v>6952</v>
      </c>
      <c r="F120" t="s">
        <v>6953</v>
      </c>
      <c r="G120" t="s">
        <v>6586</v>
      </c>
    </row>
    <row r="121" spans="1:7">
      <c r="A121" t="s">
        <v>6581</v>
      </c>
      <c r="B121" s="1">
        <v>120</v>
      </c>
      <c r="C121" t="s">
        <v>6954</v>
      </c>
      <c r="D121" t="s">
        <v>6654</v>
      </c>
      <c r="E121" t="s">
        <v>6955</v>
      </c>
      <c r="F121" t="s">
        <v>6956</v>
      </c>
      <c r="G121" t="s">
        <v>6586</v>
      </c>
    </row>
    <row r="122" spans="1:7">
      <c r="A122" t="s">
        <v>6581</v>
      </c>
      <c r="B122" s="1">
        <v>121</v>
      </c>
      <c r="C122" t="s">
        <v>6957</v>
      </c>
      <c r="D122" t="s">
        <v>6654</v>
      </c>
      <c r="E122" t="s">
        <v>6958</v>
      </c>
      <c r="F122" t="s">
        <v>6959</v>
      </c>
      <c r="G122" t="s">
        <v>6586</v>
      </c>
    </row>
    <row r="123" spans="1:7">
      <c r="A123" t="s">
        <v>6581</v>
      </c>
      <c r="B123" s="1">
        <v>122</v>
      </c>
      <c r="C123" t="s">
        <v>6960</v>
      </c>
      <c r="D123" t="s">
        <v>6605</v>
      </c>
      <c r="E123" t="s">
        <v>6961</v>
      </c>
      <c r="F123" t="s">
        <v>6962</v>
      </c>
      <c r="G123" t="s">
        <v>6586</v>
      </c>
    </row>
    <row r="124" spans="1:7">
      <c r="A124" t="s">
        <v>6581</v>
      </c>
      <c r="B124" s="1">
        <v>123</v>
      </c>
      <c r="C124" t="s">
        <v>6963</v>
      </c>
      <c r="D124" t="s">
        <v>6605</v>
      </c>
      <c r="E124" t="s">
        <v>6964</v>
      </c>
      <c r="F124" t="s">
        <v>6965</v>
      </c>
      <c r="G124" t="s">
        <v>6586</v>
      </c>
    </row>
    <row r="125" spans="1:7">
      <c r="A125" t="s">
        <v>6581</v>
      </c>
      <c r="B125" s="1">
        <v>124</v>
      </c>
      <c r="C125" t="s">
        <v>6966</v>
      </c>
      <c r="D125" t="s">
        <v>6605</v>
      </c>
      <c r="E125" t="s">
        <v>6967</v>
      </c>
      <c r="F125" t="s">
        <v>6968</v>
      </c>
      <c r="G125" t="s">
        <v>6586</v>
      </c>
    </row>
    <row r="126" spans="1:7">
      <c r="A126" t="s">
        <v>6581</v>
      </c>
      <c r="B126" s="1">
        <v>125</v>
      </c>
      <c r="C126" t="s">
        <v>6969</v>
      </c>
      <c r="D126" t="s">
        <v>6734</v>
      </c>
      <c r="E126" t="s">
        <v>6970</v>
      </c>
      <c r="F126" t="s">
        <v>6971</v>
      </c>
      <c r="G126" t="s">
        <v>6586</v>
      </c>
    </row>
    <row r="127" spans="1:7">
      <c r="A127" t="s">
        <v>6581</v>
      </c>
      <c r="B127" s="1">
        <v>126</v>
      </c>
      <c r="C127" t="s">
        <v>6972</v>
      </c>
      <c r="D127" t="s">
        <v>6734</v>
      </c>
      <c r="E127" t="s">
        <v>6973</v>
      </c>
      <c r="F127" t="s">
        <v>6974</v>
      </c>
      <c r="G127" t="s">
        <v>6586</v>
      </c>
    </row>
    <row r="128" spans="1:7">
      <c r="A128" t="s">
        <v>6581</v>
      </c>
      <c r="B128" s="1">
        <v>127</v>
      </c>
      <c r="C128" t="s">
        <v>6975</v>
      </c>
      <c r="D128" t="s">
        <v>6605</v>
      </c>
      <c r="E128" t="s">
        <v>6976</v>
      </c>
      <c r="F128" t="s">
        <v>6977</v>
      </c>
      <c r="G128" t="s">
        <v>6586</v>
      </c>
    </row>
    <row r="129" spans="1:7">
      <c r="A129" t="s">
        <v>6581</v>
      </c>
      <c r="B129" s="1">
        <v>128</v>
      </c>
      <c r="C129" t="s">
        <v>6978</v>
      </c>
      <c r="D129" t="s">
        <v>6605</v>
      </c>
      <c r="E129" t="s">
        <v>6979</v>
      </c>
      <c r="F129" t="s">
        <v>6980</v>
      </c>
      <c r="G129" t="s">
        <v>6586</v>
      </c>
    </row>
    <row r="130" spans="1:7">
      <c r="A130" t="s">
        <v>6581</v>
      </c>
      <c r="B130" s="1">
        <v>129</v>
      </c>
      <c r="C130" t="s">
        <v>6981</v>
      </c>
      <c r="D130" t="s">
        <v>6609</v>
      </c>
      <c r="E130" t="s">
        <v>6982</v>
      </c>
      <c r="F130" t="s">
        <v>6983</v>
      </c>
      <c r="G130" t="s">
        <v>6586</v>
      </c>
    </row>
    <row r="131" spans="1:7">
      <c r="A131" t="s">
        <v>6581</v>
      </c>
      <c r="B131" s="1">
        <v>130</v>
      </c>
      <c r="C131" t="s">
        <v>6984</v>
      </c>
      <c r="D131" t="s">
        <v>6605</v>
      </c>
      <c r="E131" t="s">
        <v>6985</v>
      </c>
      <c r="F131" t="s">
        <v>6986</v>
      </c>
      <c r="G131" t="s">
        <v>6586</v>
      </c>
    </row>
    <row r="132" spans="1:7">
      <c r="A132" t="s">
        <v>6581</v>
      </c>
      <c r="B132" s="1">
        <v>131</v>
      </c>
      <c r="C132" t="s">
        <v>6987</v>
      </c>
      <c r="D132" t="s">
        <v>6734</v>
      </c>
      <c r="E132" t="s">
        <v>6988</v>
      </c>
      <c r="F132" t="s">
        <v>6989</v>
      </c>
      <c r="G132" t="s">
        <v>6586</v>
      </c>
    </row>
    <row r="133" spans="1:7">
      <c r="A133" t="s">
        <v>6581</v>
      </c>
      <c r="B133" s="1">
        <v>132</v>
      </c>
      <c r="C133" t="s">
        <v>6990</v>
      </c>
      <c r="D133" t="s">
        <v>6734</v>
      </c>
      <c r="E133" t="s">
        <v>6991</v>
      </c>
      <c r="F133" t="s">
        <v>6992</v>
      </c>
      <c r="G133" t="s">
        <v>6586</v>
      </c>
    </row>
    <row r="134" spans="1:7">
      <c r="A134" t="s">
        <v>6581</v>
      </c>
      <c r="B134" s="1">
        <v>133</v>
      </c>
      <c r="C134" t="s">
        <v>6993</v>
      </c>
      <c r="D134" t="s">
        <v>6734</v>
      </c>
      <c r="E134" t="s">
        <v>6994</v>
      </c>
      <c r="F134" t="s">
        <v>6995</v>
      </c>
      <c r="G134" t="s">
        <v>6586</v>
      </c>
    </row>
    <row r="135" spans="1:7">
      <c r="A135" t="s">
        <v>6581</v>
      </c>
      <c r="B135" s="1">
        <v>134</v>
      </c>
      <c r="C135" t="s">
        <v>6996</v>
      </c>
      <c r="D135" t="s">
        <v>6734</v>
      </c>
      <c r="E135" t="s">
        <v>6997</v>
      </c>
      <c r="F135" t="s">
        <v>6998</v>
      </c>
      <c r="G135" t="s">
        <v>6586</v>
      </c>
    </row>
    <row r="136" spans="1:7">
      <c r="A136" t="s">
        <v>6581</v>
      </c>
      <c r="B136" s="1">
        <v>135</v>
      </c>
      <c r="C136" t="s">
        <v>6999</v>
      </c>
      <c r="D136" t="s">
        <v>6734</v>
      </c>
      <c r="E136" t="s">
        <v>7000</v>
      </c>
      <c r="F136" t="s">
        <v>7001</v>
      </c>
      <c r="G136" t="s">
        <v>6586</v>
      </c>
    </row>
    <row r="137" spans="1:7">
      <c r="A137" t="s">
        <v>6581</v>
      </c>
      <c r="B137" s="1">
        <v>136</v>
      </c>
      <c r="C137" t="s">
        <v>7002</v>
      </c>
      <c r="D137" t="s">
        <v>6605</v>
      </c>
      <c r="E137" t="s">
        <v>7003</v>
      </c>
      <c r="F137" t="s">
        <v>7004</v>
      </c>
      <c r="G137" t="s">
        <v>6586</v>
      </c>
    </row>
    <row r="138" spans="1:7">
      <c r="A138" t="s">
        <v>6581</v>
      </c>
      <c r="B138" s="1">
        <v>137</v>
      </c>
      <c r="C138" t="s">
        <v>7005</v>
      </c>
      <c r="D138" t="s">
        <v>6605</v>
      </c>
      <c r="E138" t="s">
        <v>7006</v>
      </c>
      <c r="F138" t="s">
        <v>7007</v>
      </c>
      <c r="G138" t="s">
        <v>6586</v>
      </c>
    </row>
    <row r="139" spans="1:7">
      <c r="A139" t="s">
        <v>6581</v>
      </c>
      <c r="B139" s="1">
        <v>138</v>
      </c>
      <c r="C139" t="s">
        <v>7008</v>
      </c>
      <c r="D139" t="s">
        <v>6605</v>
      </c>
      <c r="E139" t="s">
        <v>7009</v>
      </c>
      <c r="F139" t="s">
        <v>7010</v>
      </c>
      <c r="G139" t="s">
        <v>6586</v>
      </c>
    </row>
    <row r="140" spans="1:7">
      <c r="A140" t="s">
        <v>6581</v>
      </c>
      <c r="B140" s="1">
        <v>139</v>
      </c>
      <c r="C140" t="s">
        <v>7011</v>
      </c>
      <c r="D140" t="s">
        <v>6605</v>
      </c>
      <c r="E140" t="s">
        <v>7012</v>
      </c>
      <c r="F140" t="s">
        <v>7013</v>
      </c>
      <c r="G140" t="s">
        <v>6586</v>
      </c>
    </row>
    <row r="141" spans="1:7">
      <c r="A141" t="s">
        <v>6581</v>
      </c>
      <c r="B141" s="1">
        <v>140</v>
      </c>
      <c r="C141" t="s">
        <v>7014</v>
      </c>
      <c r="D141" t="s">
        <v>6734</v>
      </c>
      <c r="E141" t="s">
        <v>7015</v>
      </c>
      <c r="F141" t="s">
        <v>7016</v>
      </c>
      <c r="G141" t="s">
        <v>6586</v>
      </c>
    </row>
    <row r="142" spans="1:7">
      <c r="A142" t="s">
        <v>6581</v>
      </c>
      <c r="B142" s="1">
        <v>141</v>
      </c>
      <c r="C142" t="s">
        <v>7017</v>
      </c>
      <c r="D142" t="s">
        <v>7018</v>
      </c>
      <c r="E142" t="s">
        <v>7019</v>
      </c>
      <c r="F142" t="s">
        <v>7020</v>
      </c>
      <c r="G142" t="s">
        <v>6586</v>
      </c>
    </row>
    <row r="143" spans="1:7">
      <c r="A143" t="s">
        <v>6581</v>
      </c>
      <c r="B143" s="1">
        <v>142</v>
      </c>
      <c r="C143" t="s">
        <v>7021</v>
      </c>
      <c r="D143" t="s">
        <v>7018</v>
      </c>
      <c r="E143" t="s">
        <v>7022</v>
      </c>
      <c r="F143" t="s">
        <v>7023</v>
      </c>
      <c r="G143" t="s">
        <v>6586</v>
      </c>
    </row>
    <row r="144" spans="1:7">
      <c r="A144" t="s">
        <v>6581</v>
      </c>
      <c r="B144" s="1">
        <v>143</v>
      </c>
      <c r="C144" t="s">
        <v>7024</v>
      </c>
      <c r="D144" t="s">
        <v>6598</v>
      </c>
      <c r="E144" t="s">
        <v>7025</v>
      </c>
      <c r="F144" t="s">
        <v>7026</v>
      </c>
      <c r="G144" t="s">
        <v>6586</v>
      </c>
    </row>
    <row r="145" spans="1:7">
      <c r="A145" t="s">
        <v>6581</v>
      </c>
      <c r="B145" s="1">
        <v>144</v>
      </c>
      <c r="C145" t="s">
        <v>7027</v>
      </c>
      <c r="D145" t="s">
        <v>6598</v>
      </c>
      <c r="E145" t="s">
        <v>7028</v>
      </c>
      <c r="F145" t="s">
        <v>7029</v>
      </c>
      <c r="G145" t="s">
        <v>6586</v>
      </c>
    </row>
    <row r="146" spans="1:7">
      <c r="A146" t="s">
        <v>6581</v>
      </c>
      <c r="B146" s="1">
        <v>145</v>
      </c>
      <c r="C146" t="s">
        <v>7030</v>
      </c>
      <c r="D146" t="s">
        <v>6605</v>
      </c>
      <c r="E146" t="s">
        <v>7031</v>
      </c>
      <c r="F146" t="s">
        <v>7032</v>
      </c>
      <c r="G146" t="s">
        <v>6586</v>
      </c>
    </row>
    <row r="147" spans="1:7">
      <c r="A147" t="s">
        <v>6581</v>
      </c>
      <c r="B147" s="1">
        <v>146</v>
      </c>
      <c r="C147" t="s">
        <v>7033</v>
      </c>
      <c r="D147" t="s">
        <v>6605</v>
      </c>
      <c r="E147" t="s">
        <v>7034</v>
      </c>
      <c r="F147" t="s">
        <v>7035</v>
      </c>
      <c r="G147" t="s">
        <v>6586</v>
      </c>
    </row>
    <row r="148" spans="1:7">
      <c r="A148" t="s">
        <v>6581</v>
      </c>
      <c r="B148" s="1">
        <v>147</v>
      </c>
      <c r="C148" t="s">
        <v>7036</v>
      </c>
      <c r="D148" t="s">
        <v>6605</v>
      </c>
      <c r="E148" t="s">
        <v>7037</v>
      </c>
      <c r="F148" t="s">
        <v>7038</v>
      </c>
      <c r="G148" t="s">
        <v>6586</v>
      </c>
    </row>
    <row r="149" spans="1:7">
      <c r="A149" t="s">
        <v>6581</v>
      </c>
      <c r="B149" s="1">
        <v>148</v>
      </c>
      <c r="C149" t="s">
        <v>7039</v>
      </c>
      <c r="D149" t="s">
        <v>6605</v>
      </c>
      <c r="E149" t="s">
        <v>7040</v>
      </c>
      <c r="F149" t="s">
        <v>7041</v>
      </c>
      <c r="G149" t="s">
        <v>6586</v>
      </c>
    </row>
    <row r="150" spans="1:7">
      <c r="A150" t="s">
        <v>6581</v>
      </c>
      <c r="B150" s="1">
        <v>149</v>
      </c>
      <c r="C150" t="s">
        <v>7042</v>
      </c>
      <c r="D150" t="s">
        <v>6605</v>
      </c>
      <c r="E150" t="s">
        <v>7043</v>
      </c>
      <c r="F150" t="s">
        <v>7044</v>
      </c>
      <c r="G150" t="s">
        <v>6586</v>
      </c>
    </row>
    <row r="151" spans="1:7">
      <c r="A151" t="s">
        <v>6581</v>
      </c>
      <c r="B151" s="1">
        <v>150</v>
      </c>
      <c r="C151" t="s">
        <v>7045</v>
      </c>
      <c r="D151" t="s">
        <v>6605</v>
      </c>
      <c r="E151" t="s">
        <v>7046</v>
      </c>
      <c r="F151" t="s">
        <v>7047</v>
      </c>
      <c r="G151" t="s">
        <v>6586</v>
      </c>
    </row>
    <row r="152" spans="1:7">
      <c r="A152" t="s">
        <v>6581</v>
      </c>
      <c r="B152" s="1">
        <v>151</v>
      </c>
      <c r="C152" t="s">
        <v>7048</v>
      </c>
      <c r="D152" t="s">
        <v>6605</v>
      </c>
      <c r="E152" t="s">
        <v>7049</v>
      </c>
      <c r="F152" t="s">
        <v>7050</v>
      </c>
      <c r="G152" t="s">
        <v>6586</v>
      </c>
    </row>
    <row r="153" spans="1:7">
      <c r="A153" t="s">
        <v>6581</v>
      </c>
      <c r="B153" s="1">
        <v>152</v>
      </c>
      <c r="C153" t="s">
        <v>7051</v>
      </c>
      <c r="D153" t="s">
        <v>6695</v>
      </c>
      <c r="E153" t="s">
        <v>7052</v>
      </c>
      <c r="F153" t="s">
        <v>7053</v>
      </c>
      <c r="G153" t="s">
        <v>6586</v>
      </c>
    </row>
    <row r="154" spans="1:7">
      <c r="A154" t="s">
        <v>6581</v>
      </c>
      <c r="B154" s="1">
        <v>153</v>
      </c>
      <c r="C154" t="s">
        <v>7054</v>
      </c>
      <c r="D154" t="s">
        <v>6695</v>
      </c>
      <c r="E154" t="s">
        <v>7055</v>
      </c>
      <c r="F154" t="s">
        <v>7056</v>
      </c>
      <c r="G154" t="s">
        <v>6586</v>
      </c>
    </row>
    <row r="155" spans="1:7">
      <c r="A155" t="s">
        <v>6581</v>
      </c>
      <c r="B155" s="1">
        <v>154</v>
      </c>
      <c r="C155" t="s">
        <v>7057</v>
      </c>
      <c r="D155" t="s">
        <v>6771</v>
      </c>
      <c r="E155" t="s">
        <v>7058</v>
      </c>
      <c r="F155" t="s">
        <v>7059</v>
      </c>
      <c r="G155" t="s">
        <v>6586</v>
      </c>
    </row>
    <row r="156" spans="1:7">
      <c r="A156" t="s">
        <v>6581</v>
      </c>
      <c r="B156" s="1">
        <v>155</v>
      </c>
      <c r="C156" t="s">
        <v>7060</v>
      </c>
      <c r="D156" t="s">
        <v>6771</v>
      </c>
      <c r="E156" t="s">
        <v>7061</v>
      </c>
      <c r="F156" t="s">
        <v>7062</v>
      </c>
      <c r="G156" t="s">
        <v>6586</v>
      </c>
    </row>
    <row r="157" spans="1:7">
      <c r="A157" t="s">
        <v>6581</v>
      </c>
      <c r="B157" s="1">
        <v>156</v>
      </c>
      <c r="C157" t="s">
        <v>7063</v>
      </c>
      <c r="D157" t="s">
        <v>6771</v>
      </c>
      <c r="E157" t="s">
        <v>7064</v>
      </c>
      <c r="F157" t="s">
        <v>7065</v>
      </c>
      <c r="G157" t="s">
        <v>6586</v>
      </c>
    </row>
    <row r="158" spans="1:7">
      <c r="A158" t="s">
        <v>6581</v>
      </c>
      <c r="B158" s="1">
        <v>157</v>
      </c>
      <c r="C158" t="s">
        <v>7066</v>
      </c>
      <c r="D158" t="s">
        <v>6771</v>
      </c>
      <c r="E158" t="s">
        <v>7067</v>
      </c>
      <c r="F158" t="s">
        <v>7068</v>
      </c>
      <c r="G158" t="s">
        <v>6586</v>
      </c>
    </row>
    <row r="159" spans="1:7">
      <c r="A159" t="s">
        <v>6581</v>
      </c>
      <c r="B159" s="1">
        <v>158</v>
      </c>
      <c r="C159" t="s">
        <v>7069</v>
      </c>
      <c r="D159" t="s">
        <v>6605</v>
      </c>
      <c r="E159" t="s">
        <v>7070</v>
      </c>
      <c r="F159" t="s">
        <v>7071</v>
      </c>
      <c r="G159" t="s">
        <v>6586</v>
      </c>
    </row>
    <row r="160" spans="1:7">
      <c r="A160" t="s">
        <v>6581</v>
      </c>
      <c r="B160" s="1">
        <v>159</v>
      </c>
      <c r="C160" t="s">
        <v>7072</v>
      </c>
      <c r="D160" t="s">
        <v>6605</v>
      </c>
      <c r="E160" t="s">
        <v>7073</v>
      </c>
      <c r="F160" t="s">
        <v>7074</v>
      </c>
      <c r="G160" t="s">
        <v>6586</v>
      </c>
    </row>
    <row r="161" spans="1:7">
      <c r="A161" t="s">
        <v>6581</v>
      </c>
      <c r="B161" s="1">
        <v>160</v>
      </c>
      <c r="C161" t="s">
        <v>7075</v>
      </c>
      <c r="D161" t="s">
        <v>6605</v>
      </c>
      <c r="E161" t="s">
        <v>7076</v>
      </c>
      <c r="F161" t="s">
        <v>7077</v>
      </c>
      <c r="G161" t="s">
        <v>6586</v>
      </c>
    </row>
    <row r="162" spans="1:7">
      <c r="A162" t="s">
        <v>6581</v>
      </c>
      <c r="B162" s="1">
        <v>161</v>
      </c>
      <c r="C162" t="s">
        <v>7078</v>
      </c>
      <c r="D162" t="s">
        <v>6605</v>
      </c>
      <c r="E162" t="s">
        <v>7079</v>
      </c>
      <c r="F162" t="s">
        <v>7080</v>
      </c>
      <c r="G162" t="s">
        <v>6586</v>
      </c>
    </row>
    <row r="163" spans="1:7">
      <c r="A163" t="s">
        <v>6581</v>
      </c>
      <c r="B163" s="1">
        <v>162</v>
      </c>
      <c r="C163" t="s">
        <v>7081</v>
      </c>
      <c r="D163" t="s">
        <v>6605</v>
      </c>
      <c r="E163" t="s">
        <v>7082</v>
      </c>
      <c r="F163" t="s">
        <v>7083</v>
      </c>
      <c r="G163" t="s">
        <v>6586</v>
      </c>
    </row>
    <row r="164" spans="1:7">
      <c r="A164" t="s">
        <v>6581</v>
      </c>
      <c r="B164" s="1">
        <v>163</v>
      </c>
      <c r="C164" t="s">
        <v>7084</v>
      </c>
      <c r="D164" t="s">
        <v>6598</v>
      </c>
      <c r="E164" t="s">
        <v>7085</v>
      </c>
      <c r="F164" t="s">
        <v>7086</v>
      </c>
      <c r="G164" t="s">
        <v>6586</v>
      </c>
    </row>
    <row r="165" spans="1:7">
      <c r="A165" t="s">
        <v>6581</v>
      </c>
      <c r="B165" s="1">
        <v>164</v>
      </c>
      <c r="C165" t="s">
        <v>7087</v>
      </c>
      <c r="D165" t="s">
        <v>6598</v>
      </c>
      <c r="E165" t="s">
        <v>7088</v>
      </c>
      <c r="F165" t="s">
        <v>7089</v>
      </c>
      <c r="G165" t="s">
        <v>6586</v>
      </c>
    </row>
    <row r="166" spans="1:7">
      <c r="A166" t="s">
        <v>6581</v>
      </c>
      <c r="B166" s="1">
        <v>165</v>
      </c>
      <c r="C166" t="s">
        <v>7090</v>
      </c>
      <c r="D166" t="s">
        <v>6598</v>
      </c>
      <c r="E166" t="s">
        <v>7091</v>
      </c>
      <c r="F166" t="s">
        <v>7092</v>
      </c>
      <c r="G166" t="s">
        <v>6586</v>
      </c>
    </row>
    <row r="167" spans="1:7">
      <c r="A167" t="s">
        <v>6581</v>
      </c>
      <c r="B167" s="1">
        <v>166</v>
      </c>
      <c r="C167" t="s">
        <v>7093</v>
      </c>
      <c r="D167" t="s">
        <v>6598</v>
      </c>
      <c r="E167" t="s">
        <v>7094</v>
      </c>
      <c r="F167" t="s">
        <v>7095</v>
      </c>
      <c r="G167" t="s">
        <v>6586</v>
      </c>
    </row>
    <row r="168" spans="1:7">
      <c r="A168" t="s">
        <v>6581</v>
      </c>
      <c r="B168" s="1">
        <v>167</v>
      </c>
      <c r="C168" t="s">
        <v>7096</v>
      </c>
      <c r="D168" t="s">
        <v>6598</v>
      </c>
      <c r="E168" t="s">
        <v>7097</v>
      </c>
      <c r="F168" t="s">
        <v>7098</v>
      </c>
      <c r="G168" t="s">
        <v>6586</v>
      </c>
    </row>
    <row r="169" spans="1:7">
      <c r="A169" t="s">
        <v>6581</v>
      </c>
      <c r="B169" s="1">
        <v>168</v>
      </c>
      <c r="C169" t="s">
        <v>7099</v>
      </c>
      <c r="D169" t="s">
        <v>6598</v>
      </c>
      <c r="E169" t="s">
        <v>7100</v>
      </c>
      <c r="F169" t="s">
        <v>7101</v>
      </c>
      <c r="G169" t="s">
        <v>6586</v>
      </c>
    </row>
    <row r="170" spans="1:7">
      <c r="A170" t="s">
        <v>6581</v>
      </c>
      <c r="B170" s="1">
        <v>169</v>
      </c>
      <c r="C170" t="s">
        <v>7102</v>
      </c>
      <c r="D170" t="s">
        <v>6598</v>
      </c>
      <c r="E170" t="s">
        <v>7103</v>
      </c>
      <c r="F170" t="s">
        <v>7104</v>
      </c>
      <c r="G170" t="s">
        <v>6586</v>
      </c>
    </row>
    <row r="171" spans="1:7">
      <c r="A171" t="s">
        <v>6581</v>
      </c>
      <c r="B171" s="1">
        <v>170</v>
      </c>
      <c r="C171" t="s">
        <v>7105</v>
      </c>
      <c r="D171" t="s">
        <v>6594</v>
      </c>
      <c r="E171" t="s">
        <v>7106</v>
      </c>
      <c r="F171" t="s">
        <v>7107</v>
      </c>
      <c r="G171" t="s">
        <v>6586</v>
      </c>
    </row>
    <row r="172" spans="1:7">
      <c r="A172" t="s">
        <v>6581</v>
      </c>
      <c r="B172" s="1">
        <v>171</v>
      </c>
      <c r="C172" t="s">
        <v>7108</v>
      </c>
      <c r="D172" t="s">
        <v>6594</v>
      </c>
      <c r="E172" t="s">
        <v>7109</v>
      </c>
      <c r="F172" t="s">
        <v>7110</v>
      </c>
      <c r="G172" t="s">
        <v>6586</v>
      </c>
    </row>
    <row r="173" spans="1:7">
      <c r="A173" t="s">
        <v>6581</v>
      </c>
      <c r="B173" s="1">
        <v>172</v>
      </c>
      <c r="C173" t="s">
        <v>7111</v>
      </c>
      <c r="D173" t="s">
        <v>6594</v>
      </c>
      <c r="E173" t="s">
        <v>7112</v>
      </c>
      <c r="F173" t="s">
        <v>7113</v>
      </c>
      <c r="G173" t="s">
        <v>6586</v>
      </c>
    </row>
    <row r="174" spans="1:7">
      <c r="A174" t="s">
        <v>6581</v>
      </c>
      <c r="B174" s="1">
        <v>173</v>
      </c>
      <c r="C174" t="s">
        <v>7114</v>
      </c>
      <c r="D174" t="s">
        <v>6594</v>
      </c>
      <c r="E174" t="s">
        <v>7115</v>
      </c>
      <c r="F174" t="s">
        <v>7116</v>
      </c>
      <c r="G174" t="s">
        <v>6586</v>
      </c>
    </row>
    <row r="175" spans="1:7">
      <c r="A175" t="s">
        <v>6581</v>
      </c>
      <c r="B175" s="1">
        <v>174</v>
      </c>
      <c r="C175" t="s">
        <v>7117</v>
      </c>
      <c r="D175" t="s">
        <v>6609</v>
      </c>
      <c r="E175" t="s">
        <v>7118</v>
      </c>
      <c r="F175" t="s">
        <v>7119</v>
      </c>
      <c r="G175" t="s">
        <v>6586</v>
      </c>
    </row>
    <row r="176" spans="1:7">
      <c r="A176" t="s">
        <v>6581</v>
      </c>
      <c r="B176" s="1">
        <v>175</v>
      </c>
      <c r="C176" t="s">
        <v>7120</v>
      </c>
      <c r="D176" t="s">
        <v>6609</v>
      </c>
      <c r="E176" t="s">
        <v>7121</v>
      </c>
      <c r="F176" t="s">
        <v>7122</v>
      </c>
      <c r="G176" t="s">
        <v>6586</v>
      </c>
    </row>
    <row r="177" spans="1:7">
      <c r="A177" t="s">
        <v>6581</v>
      </c>
      <c r="B177" s="1">
        <v>176</v>
      </c>
      <c r="C177" t="s">
        <v>7123</v>
      </c>
      <c r="D177" t="s">
        <v>6583</v>
      </c>
      <c r="E177" t="s">
        <v>7124</v>
      </c>
      <c r="F177" t="s">
        <v>7125</v>
      </c>
      <c r="G177" t="s">
        <v>6586</v>
      </c>
    </row>
    <row r="178" spans="1:7">
      <c r="A178" t="s">
        <v>6581</v>
      </c>
      <c r="B178" s="1">
        <v>177</v>
      </c>
      <c r="C178" t="s">
        <v>7126</v>
      </c>
      <c r="D178" t="s">
        <v>6583</v>
      </c>
      <c r="E178" t="s">
        <v>7127</v>
      </c>
      <c r="F178" t="s">
        <v>7128</v>
      </c>
      <c r="G178" t="s">
        <v>6586</v>
      </c>
    </row>
    <row r="179" spans="1:7">
      <c r="A179" t="s">
        <v>6581</v>
      </c>
      <c r="B179" s="1">
        <v>178</v>
      </c>
      <c r="C179" t="s">
        <v>7129</v>
      </c>
      <c r="D179" t="s">
        <v>6583</v>
      </c>
      <c r="E179" t="s">
        <v>7130</v>
      </c>
      <c r="F179" t="s">
        <v>7131</v>
      </c>
      <c r="G179" t="s">
        <v>6586</v>
      </c>
    </row>
    <row r="180" spans="1:7">
      <c r="A180" t="s">
        <v>6581</v>
      </c>
      <c r="B180" s="1">
        <v>179</v>
      </c>
      <c r="C180" t="s">
        <v>7132</v>
      </c>
      <c r="D180" t="s">
        <v>6695</v>
      </c>
      <c r="E180" t="s">
        <v>7133</v>
      </c>
      <c r="F180" t="s">
        <v>7134</v>
      </c>
      <c r="G180" t="s">
        <v>6586</v>
      </c>
    </row>
    <row r="181" spans="1:7">
      <c r="A181" t="s">
        <v>6581</v>
      </c>
      <c r="B181" s="1">
        <v>180</v>
      </c>
      <c r="C181" t="s">
        <v>7135</v>
      </c>
      <c r="D181" t="s">
        <v>6605</v>
      </c>
      <c r="E181" t="s">
        <v>7136</v>
      </c>
      <c r="F181" t="s">
        <v>7137</v>
      </c>
      <c r="G181" t="s">
        <v>6586</v>
      </c>
    </row>
    <row r="182" spans="1:7">
      <c r="A182" t="s">
        <v>6581</v>
      </c>
      <c r="B182" s="1">
        <v>181</v>
      </c>
      <c r="C182" t="s">
        <v>7138</v>
      </c>
      <c r="D182" t="s">
        <v>6695</v>
      </c>
      <c r="E182" t="s">
        <v>7139</v>
      </c>
      <c r="F182" t="s">
        <v>7140</v>
      </c>
      <c r="G182" t="s">
        <v>6586</v>
      </c>
    </row>
    <row r="183" spans="1:7">
      <c r="A183" t="s">
        <v>6581</v>
      </c>
      <c r="B183" s="1">
        <v>182</v>
      </c>
      <c r="C183" t="s">
        <v>7141</v>
      </c>
      <c r="D183" t="s">
        <v>6734</v>
      </c>
      <c r="E183" t="s">
        <v>7142</v>
      </c>
      <c r="F183" t="s">
        <v>7143</v>
      </c>
      <c r="G183" t="s">
        <v>6586</v>
      </c>
    </row>
    <row r="184" spans="1:7">
      <c r="A184" t="s">
        <v>6581</v>
      </c>
      <c r="B184" s="1">
        <v>183</v>
      </c>
      <c r="C184" t="s">
        <v>7144</v>
      </c>
      <c r="D184" t="s">
        <v>6734</v>
      </c>
      <c r="E184" t="s">
        <v>7145</v>
      </c>
      <c r="F184" t="s">
        <v>7146</v>
      </c>
      <c r="G184" t="s">
        <v>6586</v>
      </c>
    </row>
    <row r="185" spans="1:7">
      <c r="A185" t="s">
        <v>6581</v>
      </c>
      <c r="B185" s="1">
        <v>184</v>
      </c>
      <c r="C185" t="s">
        <v>7147</v>
      </c>
      <c r="D185" t="s">
        <v>6734</v>
      </c>
      <c r="E185" t="s">
        <v>7148</v>
      </c>
      <c r="F185" t="s">
        <v>7149</v>
      </c>
      <c r="G185" t="s">
        <v>6586</v>
      </c>
    </row>
    <row r="186" spans="1:7">
      <c r="A186" t="s">
        <v>6581</v>
      </c>
      <c r="B186" s="1">
        <v>185</v>
      </c>
      <c r="C186" t="s">
        <v>7150</v>
      </c>
      <c r="D186" t="s">
        <v>6598</v>
      </c>
      <c r="E186" t="s">
        <v>7151</v>
      </c>
      <c r="F186" t="s">
        <v>7152</v>
      </c>
      <c r="G186" t="s">
        <v>6586</v>
      </c>
    </row>
    <row r="187" spans="1:7">
      <c r="A187" t="s">
        <v>6581</v>
      </c>
      <c r="B187" s="1">
        <v>186</v>
      </c>
      <c r="C187" t="s">
        <v>7153</v>
      </c>
      <c r="D187" t="s">
        <v>6598</v>
      </c>
      <c r="E187" t="s">
        <v>7154</v>
      </c>
      <c r="F187" t="s">
        <v>7155</v>
      </c>
      <c r="G187" t="s">
        <v>6586</v>
      </c>
    </row>
    <row r="188" spans="1:7">
      <c r="A188" t="s">
        <v>6581</v>
      </c>
      <c r="B188" s="1">
        <v>187</v>
      </c>
      <c r="C188" t="s">
        <v>7156</v>
      </c>
      <c r="D188" t="s">
        <v>6598</v>
      </c>
      <c r="E188" t="s">
        <v>7157</v>
      </c>
      <c r="F188" t="s">
        <v>7158</v>
      </c>
      <c r="G188" t="s">
        <v>6586</v>
      </c>
    </row>
    <row r="189" spans="1:7">
      <c r="A189" t="s">
        <v>6581</v>
      </c>
      <c r="B189" s="1">
        <v>188</v>
      </c>
      <c r="C189" t="s">
        <v>7159</v>
      </c>
      <c r="D189" t="s">
        <v>6605</v>
      </c>
      <c r="E189" t="s">
        <v>7160</v>
      </c>
      <c r="F189" t="s">
        <v>7161</v>
      </c>
      <c r="G189" t="s">
        <v>6586</v>
      </c>
    </row>
    <row r="190" spans="1:7">
      <c r="A190" t="s">
        <v>6581</v>
      </c>
      <c r="B190" s="1">
        <v>189</v>
      </c>
      <c r="C190" t="s">
        <v>7162</v>
      </c>
      <c r="D190" t="s">
        <v>6695</v>
      </c>
      <c r="E190" t="s">
        <v>7163</v>
      </c>
      <c r="F190" t="s">
        <v>7164</v>
      </c>
      <c r="G190" t="s">
        <v>6586</v>
      </c>
    </row>
    <row r="191" spans="1:7">
      <c r="A191" t="s">
        <v>6581</v>
      </c>
      <c r="B191" s="1">
        <v>190</v>
      </c>
      <c r="C191" t="s">
        <v>7165</v>
      </c>
      <c r="D191" t="s">
        <v>6605</v>
      </c>
      <c r="E191" t="s">
        <v>7166</v>
      </c>
      <c r="F191" t="s">
        <v>7167</v>
      </c>
      <c r="G191" t="s">
        <v>6586</v>
      </c>
    </row>
    <row r="192" spans="1:7">
      <c r="A192" t="s">
        <v>6581</v>
      </c>
      <c r="B192" s="1">
        <v>191</v>
      </c>
      <c r="C192" t="s">
        <v>7168</v>
      </c>
      <c r="D192" t="s">
        <v>6605</v>
      </c>
      <c r="E192" t="s">
        <v>7169</v>
      </c>
      <c r="F192" t="s">
        <v>7170</v>
      </c>
      <c r="G192" t="s">
        <v>6586</v>
      </c>
    </row>
    <row r="193" spans="1:7">
      <c r="A193" t="s">
        <v>6581</v>
      </c>
      <c r="B193" s="1">
        <v>192</v>
      </c>
      <c r="C193" t="s">
        <v>7171</v>
      </c>
      <c r="D193" t="s">
        <v>6605</v>
      </c>
      <c r="E193" t="s">
        <v>7172</v>
      </c>
      <c r="F193" t="s">
        <v>7173</v>
      </c>
      <c r="G193" t="s">
        <v>6586</v>
      </c>
    </row>
    <row r="194" spans="1:7">
      <c r="A194" t="s">
        <v>6581</v>
      </c>
      <c r="B194" s="1">
        <v>193</v>
      </c>
      <c r="C194" t="s">
        <v>7174</v>
      </c>
      <c r="D194" t="s">
        <v>6605</v>
      </c>
      <c r="E194" t="s">
        <v>7175</v>
      </c>
      <c r="F194" t="s">
        <v>7176</v>
      </c>
      <c r="G194" t="s">
        <v>6586</v>
      </c>
    </row>
    <row r="195" spans="1:7">
      <c r="A195" t="s">
        <v>6581</v>
      </c>
      <c r="B195" s="1">
        <v>194</v>
      </c>
      <c r="C195" t="s">
        <v>7177</v>
      </c>
      <c r="D195" t="s">
        <v>6771</v>
      </c>
      <c r="E195" t="s">
        <v>7178</v>
      </c>
      <c r="F195" t="s">
        <v>7179</v>
      </c>
      <c r="G195" t="s">
        <v>6586</v>
      </c>
    </row>
    <row r="196" spans="1:7">
      <c r="A196" t="s">
        <v>6581</v>
      </c>
      <c r="B196" s="1">
        <v>195</v>
      </c>
      <c r="C196" t="s">
        <v>7180</v>
      </c>
      <c r="D196" t="s">
        <v>6771</v>
      </c>
      <c r="E196" t="s">
        <v>7181</v>
      </c>
      <c r="F196" t="s">
        <v>7182</v>
      </c>
      <c r="G196" t="s">
        <v>6586</v>
      </c>
    </row>
    <row r="197" spans="1:7">
      <c r="A197" t="s">
        <v>6581</v>
      </c>
      <c r="B197" s="1">
        <v>196</v>
      </c>
      <c r="C197" t="s">
        <v>7183</v>
      </c>
      <c r="D197" t="s">
        <v>6771</v>
      </c>
      <c r="E197" t="s">
        <v>7184</v>
      </c>
      <c r="F197" t="s">
        <v>7185</v>
      </c>
      <c r="G197" t="s">
        <v>6586</v>
      </c>
    </row>
    <row r="198" spans="1:7">
      <c r="A198" t="s">
        <v>6581</v>
      </c>
      <c r="B198" s="1">
        <v>197</v>
      </c>
      <c r="C198" t="s">
        <v>7186</v>
      </c>
      <c r="D198" t="s">
        <v>6771</v>
      </c>
      <c r="E198" t="s">
        <v>7187</v>
      </c>
      <c r="F198" t="s">
        <v>7188</v>
      </c>
      <c r="G198" t="s">
        <v>6586</v>
      </c>
    </row>
    <row r="199" spans="1:7">
      <c r="A199" t="s">
        <v>6581</v>
      </c>
      <c r="B199" s="1">
        <v>198</v>
      </c>
      <c r="C199" t="s">
        <v>7189</v>
      </c>
      <c r="D199" t="s">
        <v>6605</v>
      </c>
      <c r="E199" t="s">
        <v>7190</v>
      </c>
      <c r="F199" t="s">
        <v>7191</v>
      </c>
      <c r="G199" t="s">
        <v>6586</v>
      </c>
    </row>
    <row r="200" spans="1:7">
      <c r="A200" t="s">
        <v>6581</v>
      </c>
      <c r="B200" s="1">
        <v>199</v>
      </c>
      <c r="C200" t="s">
        <v>7192</v>
      </c>
      <c r="D200" t="s">
        <v>6705</v>
      </c>
      <c r="E200" t="s">
        <v>7193</v>
      </c>
      <c r="F200" t="s">
        <v>7194</v>
      </c>
      <c r="G200" t="s">
        <v>6586</v>
      </c>
    </row>
    <row r="201" spans="1:7">
      <c r="A201" t="s">
        <v>6581</v>
      </c>
      <c r="B201" s="1">
        <v>200</v>
      </c>
      <c r="C201" t="s">
        <v>7195</v>
      </c>
      <c r="D201" t="s">
        <v>6771</v>
      </c>
      <c r="E201" t="s">
        <v>7196</v>
      </c>
      <c r="F201" t="s">
        <v>7197</v>
      </c>
      <c r="G201" t="s">
        <v>6586</v>
      </c>
    </row>
    <row r="202" spans="1:7">
      <c r="A202" t="s">
        <v>6581</v>
      </c>
      <c r="B202" s="1">
        <v>201</v>
      </c>
      <c r="C202" t="s">
        <v>7198</v>
      </c>
      <c r="D202" t="s">
        <v>6771</v>
      </c>
      <c r="E202" t="s">
        <v>7199</v>
      </c>
      <c r="F202" t="s">
        <v>7200</v>
      </c>
      <c r="G202" t="s">
        <v>6586</v>
      </c>
    </row>
    <row r="203" spans="1:7">
      <c r="A203" t="s">
        <v>6581</v>
      </c>
      <c r="B203" s="1">
        <v>202</v>
      </c>
      <c r="C203" t="s">
        <v>7201</v>
      </c>
      <c r="D203" t="s">
        <v>6771</v>
      </c>
      <c r="E203" t="s">
        <v>7202</v>
      </c>
      <c r="F203" t="s">
        <v>7203</v>
      </c>
      <c r="G203" t="s">
        <v>6586</v>
      </c>
    </row>
    <row r="204" spans="1:7">
      <c r="A204" t="s">
        <v>6581</v>
      </c>
      <c r="B204" s="1">
        <v>203</v>
      </c>
      <c r="C204" t="s">
        <v>7204</v>
      </c>
      <c r="D204" t="s">
        <v>6771</v>
      </c>
      <c r="E204" t="s">
        <v>7205</v>
      </c>
      <c r="F204" t="s">
        <v>7206</v>
      </c>
      <c r="G204" t="s">
        <v>6586</v>
      </c>
    </row>
    <row r="205" spans="1:7">
      <c r="A205" t="s">
        <v>6581</v>
      </c>
      <c r="B205" s="1">
        <v>204</v>
      </c>
      <c r="C205" t="s">
        <v>7207</v>
      </c>
      <c r="D205" t="s">
        <v>6734</v>
      </c>
      <c r="E205" t="s">
        <v>7208</v>
      </c>
      <c r="F205" t="s">
        <v>7209</v>
      </c>
      <c r="G205" t="s">
        <v>6586</v>
      </c>
    </row>
    <row r="206" spans="1:7">
      <c r="A206" t="s">
        <v>6581</v>
      </c>
      <c r="B206" s="1">
        <v>205</v>
      </c>
      <c r="C206" t="s">
        <v>7210</v>
      </c>
      <c r="D206" t="s">
        <v>6734</v>
      </c>
      <c r="E206" t="s">
        <v>7211</v>
      </c>
      <c r="F206" t="s">
        <v>7212</v>
      </c>
      <c r="G206" t="s">
        <v>6586</v>
      </c>
    </row>
    <row r="207" spans="1:7">
      <c r="A207" t="s">
        <v>6581</v>
      </c>
      <c r="B207" s="1">
        <v>206</v>
      </c>
      <c r="C207" t="s">
        <v>7213</v>
      </c>
      <c r="D207" t="s">
        <v>6734</v>
      </c>
      <c r="E207" t="s">
        <v>7214</v>
      </c>
      <c r="F207" t="s">
        <v>7215</v>
      </c>
      <c r="G207" t="s">
        <v>6586</v>
      </c>
    </row>
    <row r="208" spans="1:7">
      <c r="A208" t="s">
        <v>6581</v>
      </c>
      <c r="B208" s="1">
        <v>207</v>
      </c>
      <c r="C208" t="s">
        <v>7216</v>
      </c>
      <c r="D208" t="s">
        <v>6605</v>
      </c>
      <c r="E208" t="s">
        <v>7217</v>
      </c>
      <c r="F208" t="s">
        <v>7218</v>
      </c>
      <c r="G208" t="s">
        <v>6586</v>
      </c>
    </row>
    <row r="209" spans="1:7">
      <c r="A209" t="s">
        <v>6581</v>
      </c>
      <c r="B209" s="1">
        <v>208</v>
      </c>
      <c r="C209" t="s">
        <v>7219</v>
      </c>
      <c r="D209" t="s">
        <v>6734</v>
      </c>
      <c r="E209" t="s">
        <v>7220</v>
      </c>
      <c r="F209" t="s">
        <v>7221</v>
      </c>
      <c r="G209" t="s">
        <v>6586</v>
      </c>
    </row>
    <row r="210" spans="1:7">
      <c r="A210" t="s">
        <v>6581</v>
      </c>
      <c r="B210" s="1">
        <v>209</v>
      </c>
      <c r="C210" t="s">
        <v>7222</v>
      </c>
      <c r="D210" t="s">
        <v>6734</v>
      </c>
      <c r="E210" t="s">
        <v>7223</v>
      </c>
      <c r="F210" t="s">
        <v>7224</v>
      </c>
      <c r="G210" t="s">
        <v>6586</v>
      </c>
    </row>
    <row r="211" spans="1:7">
      <c r="A211" t="s">
        <v>6581</v>
      </c>
      <c r="B211" s="1">
        <v>210</v>
      </c>
      <c r="C211" t="s">
        <v>7225</v>
      </c>
      <c r="D211" t="s">
        <v>6771</v>
      </c>
      <c r="E211" t="s">
        <v>7226</v>
      </c>
      <c r="F211" t="s">
        <v>7227</v>
      </c>
      <c r="G211" t="s">
        <v>6586</v>
      </c>
    </row>
    <row r="212" spans="1:7">
      <c r="A212" t="s">
        <v>6581</v>
      </c>
      <c r="B212" s="1">
        <v>211</v>
      </c>
      <c r="C212" t="s">
        <v>7228</v>
      </c>
      <c r="D212" t="s">
        <v>6705</v>
      </c>
      <c r="E212" t="s">
        <v>7229</v>
      </c>
      <c r="F212" t="s">
        <v>7230</v>
      </c>
      <c r="G212" t="s">
        <v>6586</v>
      </c>
    </row>
    <row r="213" spans="1:7">
      <c r="A213" t="s">
        <v>6581</v>
      </c>
      <c r="B213" s="1">
        <v>212</v>
      </c>
      <c r="C213" t="s">
        <v>7231</v>
      </c>
      <c r="D213" t="s">
        <v>6705</v>
      </c>
      <c r="E213" t="s">
        <v>7232</v>
      </c>
      <c r="F213" t="s">
        <v>7233</v>
      </c>
      <c r="G213" t="s">
        <v>6586</v>
      </c>
    </row>
    <row r="214" spans="1:7">
      <c r="A214" t="s">
        <v>6581</v>
      </c>
      <c r="B214" s="1">
        <v>213</v>
      </c>
      <c r="C214" t="s">
        <v>7234</v>
      </c>
      <c r="D214" t="s">
        <v>6771</v>
      </c>
      <c r="E214" t="s">
        <v>7235</v>
      </c>
      <c r="F214" t="s">
        <v>7236</v>
      </c>
      <c r="G214" t="s">
        <v>6586</v>
      </c>
    </row>
    <row r="215" spans="1:7">
      <c r="A215" t="s">
        <v>6581</v>
      </c>
      <c r="B215" s="1">
        <v>214</v>
      </c>
      <c r="C215" t="s">
        <v>7237</v>
      </c>
      <c r="D215" t="s">
        <v>6605</v>
      </c>
      <c r="E215" t="s">
        <v>7238</v>
      </c>
      <c r="F215" t="s">
        <v>7239</v>
      </c>
      <c r="G215" t="s">
        <v>6586</v>
      </c>
    </row>
    <row r="216" spans="1:7">
      <c r="A216" t="s">
        <v>6581</v>
      </c>
      <c r="B216" s="1">
        <v>215</v>
      </c>
      <c r="C216" t="s">
        <v>7240</v>
      </c>
      <c r="D216" t="s">
        <v>6654</v>
      </c>
      <c r="E216" t="s">
        <v>7241</v>
      </c>
      <c r="F216" t="s">
        <v>7242</v>
      </c>
      <c r="G216" t="s">
        <v>6586</v>
      </c>
    </row>
    <row r="217" spans="1:7">
      <c r="A217" t="s">
        <v>6581</v>
      </c>
      <c r="B217" s="1">
        <v>216</v>
      </c>
      <c r="C217" t="s">
        <v>7243</v>
      </c>
      <c r="D217" t="s">
        <v>6654</v>
      </c>
      <c r="E217" t="s">
        <v>7244</v>
      </c>
      <c r="F217" t="s">
        <v>7245</v>
      </c>
      <c r="G217" t="s">
        <v>6586</v>
      </c>
    </row>
    <row r="218" spans="1:7">
      <c r="A218" t="s">
        <v>6581</v>
      </c>
      <c r="B218" s="1">
        <v>217</v>
      </c>
      <c r="C218" t="s">
        <v>7246</v>
      </c>
      <c r="D218" t="s">
        <v>6598</v>
      </c>
      <c r="E218" t="s">
        <v>7247</v>
      </c>
      <c r="F218" t="s">
        <v>7248</v>
      </c>
      <c r="G218" t="s">
        <v>6586</v>
      </c>
    </row>
    <row r="219" spans="1:7">
      <c r="A219" t="s">
        <v>6581</v>
      </c>
      <c r="B219" s="1">
        <v>218</v>
      </c>
      <c r="C219" t="s">
        <v>7249</v>
      </c>
      <c r="D219" t="s">
        <v>6598</v>
      </c>
      <c r="E219" t="s">
        <v>7250</v>
      </c>
      <c r="F219" t="s">
        <v>7251</v>
      </c>
      <c r="G219" t="s">
        <v>6586</v>
      </c>
    </row>
    <row r="220" spans="1:7">
      <c r="A220" t="s">
        <v>6581</v>
      </c>
      <c r="B220" s="1">
        <v>219</v>
      </c>
      <c r="C220" t="s">
        <v>7252</v>
      </c>
      <c r="D220" t="s">
        <v>6598</v>
      </c>
      <c r="E220" t="s">
        <v>7253</v>
      </c>
      <c r="F220" t="s">
        <v>7254</v>
      </c>
      <c r="G220" t="s">
        <v>6586</v>
      </c>
    </row>
    <row r="221" spans="1:7">
      <c r="A221" t="s">
        <v>6581</v>
      </c>
      <c r="B221" s="1">
        <v>220</v>
      </c>
      <c r="C221" t="s">
        <v>7255</v>
      </c>
      <c r="D221" t="s">
        <v>6583</v>
      </c>
      <c r="E221" t="s">
        <v>7256</v>
      </c>
      <c r="F221" t="s">
        <v>7257</v>
      </c>
      <c r="G221" t="s">
        <v>6586</v>
      </c>
    </row>
    <row r="222" spans="1:7">
      <c r="A222" t="s">
        <v>6581</v>
      </c>
      <c r="B222" s="1">
        <v>221</v>
      </c>
      <c r="C222" t="s">
        <v>7258</v>
      </c>
      <c r="D222" t="s">
        <v>6654</v>
      </c>
      <c r="E222" t="s">
        <v>7259</v>
      </c>
      <c r="F222" t="s">
        <v>7260</v>
      </c>
      <c r="G222" t="s">
        <v>6586</v>
      </c>
    </row>
    <row r="223" spans="1:7">
      <c r="A223" t="s">
        <v>6581</v>
      </c>
      <c r="B223" s="1">
        <v>222</v>
      </c>
      <c r="C223" t="s">
        <v>7261</v>
      </c>
      <c r="D223" t="s">
        <v>6605</v>
      </c>
      <c r="E223" t="s">
        <v>7262</v>
      </c>
      <c r="F223" t="s">
        <v>7263</v>
      </c>
      <c r="G223" t="s">
        <v>6586</v>
      </c>
    </row>
    <row r="224" spans="1:7">
      <c r="A224" t="s">
        <v>6581</v>
      </c>
      <c r="B224" s="1">
        <v>223</v>
      </c>
      <c r="C224" t="s">
        <v>7264</v>
      </c>
      <c r="D224" t="s">
        <v>6609</v>
      </c>
      <c r="E224" t="s">
        <v>7265</v>
      </c>
      <c r="F224" t="s">
        <v>7266</v>
      </c>
      <c r="G224" t="s">
        <v>6586</v>
      </c>
    </row>
    <row r="225" spans="1:7">
      <c r="A225" t="s">
        <v>6581</v>
      </c>
      <c r="B225" s="1">
        <v>224</v>
      </c>
      <c r="C225" t="s">
        <v>7267</v>
      </c>
      <c r="D225" t="s">
        <v>6609</v>
      </c>
      <c r="E225" t="s">
        <v>7268</v>
      </c>
      <c r="F225" t="s">
        <v>7269</v>
      </c>
      <c r="G225" t="s">
        <v>6586</v>
      </c>
    </row>
    <row r="226" spans="1:7">
      <c r="A226" t="s">
        <v>6581</v>
      </c>
      <c r="B226" s="1">
        <v>225</v>
      </c>
      <c r="C226" t="s">
        <v>7270</v>
      </c>
      <c r="D226" t="s">
        <v>6609</v>
      </c>
      <c r="E226" t="s">
        <v>7271</v>
      </c>
      <c r="F226" t="s">
        <v>7272</v>
      </c>
      <c r="G226" t="s">
        <v>6586</v>
      </c>
    </row>
    <row r="227" spans="1:7">
      <c r="A227" t="s">
        <v>6581</v>
      </c>
      <c r="B227" s="1">
        <v>226</v>
      </c>
      <c r="C227" t="s">
        <v>7273</v>
      </c>
      <c r="D227" t="s">
        <v>6695</v>
      </c>
      <c r="E227" t="s">
        <v>7274</v>
      </c>
      <c r="F227" t="s">
        <v>7275</v>
      </c>
      <c r="G227" t="s">
        <v>6586</v>
      </c>
    </row>
    <row r="228" spans="1:7">
      <c r="A228" t="s">
        <v>6581</v>
      </c>
      <c r="B228" s="1">
        <v>227</v>
      </c>
      <c r="C228" t="s">
        <v>7276</v>
      </c>
      <c r="D228" t="s">
        <v>6583</v>
      </c>
      <c r="E228" t="s">
        <v>7277</v>
      </c>
      <c r="F228" t="s">
        <v>7278</v>
      </c>
      <c r="G228" t="s">
        <v>6586</v>
      </c>
    </row>
    <row r="229" spans="1:7">
      <c r="A229" t="s">
        <v>6581</v>
      </c>
      <c r="B229" s="1">
        <v>228</v>
      </c>
      <c r="C229" t="s">
        <v>7279</v>
      </c>
      <c r="D229" t="s">
        <v>6605</v>
      </c>
      <c r="E229" t="s">
        <v>7280</v>
      </c>
      <c r="F229" t="s">
        <v>7281</v>
      </c>
      <c r="G229" t="s">
        <v>6586</v>
      </c>
    </row>
    <row r="230" spans="1:7">
      <c r="A230" t="s">
        <v>6581</v>
      </c>
      <c r="B230" s="1">
        <v>229</v>
      </c>
      <c r="C230" t="s">
        <v>7282</v>
      </c>
      <c r="D230" t="s">
        <v>6695</v>
      </c>
      <c r="E230" t="s">
        <v>7283</v>
      </c>
      <c r="F230" t="s">
        <v>7284</v>
      </c>
      <c r="G230" t="s">
        <v>6586</v>
      </c>
    </row>
    <row r="231" spans="1:7">
      <c r="A231" t="s">
        <v>6581</v>
      </c>
      <c r="B231" s="1">
        <v>230</v>
      </c>
      <c r="C231" t="s">
        <v>7285</v>
      </c>
      <c r="D231" t="s">
        <v>6605</v>
      </c>
      <c r="E231" t="s">
        <v>7286</v>
      </c>
      <c r="F231" t="s">
        <v>7287</v>
      </c>
      <c r="G231" t="s">
        <v>6586</v>
      </c>
    </row>
    <row r="232" spans="1:7">
      <c r="A232" t="s">
        <v>6581</v>
      </c>
      <c r="B232" s="1">
        <v>231</v>
      </c>
      <c r="C232" t="s">
        <v>7288</v>
      </c>
      <c r="D232" t="s">
        <v>6695</v>
      </c>
      <c r="E232" t="s">
        <v>7289</v>
      </c>
      <c r="F232" t="s">
        <v>7290</v>
      </c>
      <c r="G232" t="s">
        <v>6586</v>
      </c>
    </row>
    <row r="233" spans="1:7">
      <c r="A233" t="s">
        <v>6581</v>
      </c>
      <c r="B233" s="1">
        <v>232</v>
      </c>
      <c r="C233" t="s">
        <v>7291</v>
      </c>
      <c r="D233" t="s">
        <v>6695</v>
      </c>
      <c r="E233" t="s">
        <v>7292</v>
      </c>
      <c r="F233" t="s">
        <v>7293</v>
      </c>
      <c r="G233" t="s">
        <v>6586</v>
      </c>
    </row>
    <row r="234" spans="1:7">
      <c r="A234" t="s">
        <v>6581</v>
      </c>
      <c r="B234" s="1">
        <v>233</v>
      </c>
      <c r="C234" t="s">
        <v>7294</v>
      </c>
      <c r="D234" t="s">
        <v>6771</v>
      </c>
      <c r="E234" t="s">
        <v>7295</v>
      </c>
      <c r="F234" t="s">
        <v>7296</v>
      </c>
      <c r="G234" t="s">
        <v>6586</v>
      </c>
    </row>
    <row r="235" spans="1:7">
      <c r="A235" t="s">
        <v>6581</v>
      </c>
      <c r="B235" s="1">
        <v>234</v>
      </c>
      <c r="C235" t="s">
        <v>7297</v>
      </c>
      <c r="D235" t="s">
        <v>6605</v>
      </c>
      <c r="E235" t="s">
        <v>7298</v>
      </c>
      <c r="F235" t="s">
        <v>7299</v>
      </c>
      <c r="G235" t="s">
        <v>6586</v>
      </c>
    </row>
    <row r="236" spans="1:7">
      <c r="A236" t="s">
        <v>6581</v>
      </c>
      <c r="B236" s="1">
        <v>235</v>
      </c>
      <c r="C236" t="s">
        <v>7300</v>
      </c>
      <c r="D236" t="s">
        <v>6771</v>
      </c>
      <c r="E236" t="s">
        <v>7301</v>
      </c>
      <c r="F236" t="s">
        <v>7302</v>
      </c>
      <c r="G236" t="s">
        <v>6586</v>
      </c>
    </row>
    <row r="237" spans="1:7">
      <c r="A237" t="s">
        <v>6581</v>
      </c>
      <c r="B237" s="1">
        <v>236</v>
      </c>
      <c r="C237" t="s">
        <v>7303</v>
      </c>
      <c r="D237" t="s">
        <v>6598</v>
      </c>
      <c r="E237" t="s">
        <v>7304</v>
      </c>
      <c r="F237" t="s">
        <v>7305</v>
      </c>
      <c r="G237" t="s">
        <v>6586</v>
      </c>
    </row>
    <row r="238" spans="1:7">
      <c r="A238" t="s">
        <v>6581</v>
      </c>
      <c r="B238" s="1">
        <v>237</v>
      </c>
      <c r="C238" t="s">
        <v>7306</v>
      </c>
      <c r="D238" t="s">
        <v>6598</v>
      </c>
      <c r="E238" t="s">
        <v>7307</v>
      </c>
      <c r="F238" t="s">
        <v>7308</v>
      </c>
      <c r="G238" t="s">
        <v>6586</v>
      </c>
    </row>
    <row r="239" spans="1:7">
      <c r="A239" t="s">
        <v>6581</v>
      </c>
      <c r="B239" s="1">
        <v>238</v>
      </c>
      <c r="C239" t="s">
        <v>7309</v>
      </c>
      <c r="D239" t="s">
        <v>6654</v>
      </c>
      <c r="E239" t="s">
        <v>7310</v>
      </c>
      <c r="F239" t="s">
        <v>7311</v>
      </c>
      <c r="G239" t="s">
        <v>6586</v>
      </c>
    </row>
    <row r="240" spans="1:7">
      <c r="A240" t="s">
        <v>6581</v>
      </c>
      <c r="B240" s="1">
        <v>239</v>
      </c>
      <c r="C240" t="s">
        <v>7312</v>
      </c>
      <c r="D240" t="s">
        <v>6654</v>
      </c>
      <c r="E240" t="s">
        <v>7313</v>
      </c>
      <c r="F240" t="s">
        <v>7314</v>
      </c>
      <c r="G240" t="s">
        <v>6586</v>
      </c>
    </row>
    <row r="241" spans="1:7">
      <c r="A241" t="s">
        <v>6581</v>
      </c>
      <c r="B241" s="1">
        <v>240</v>
      </c>
      <c r="C241" t="s">
        <v>7315</v>
      </c>
      <c r="D241" t="s">
        <v>6594</v>
      </c>
      <c r="E241" t="s">
        <v>7316</v>
      </c>
      <c r="F241" t="s">
        <v>7317</v>
      </c>
      <c r="G241" t="s">
        <v>6586</v>
      </c>
    </row>
    <row r="242" spans="1:7">
      <c r="A242" t="s">
        <v>6581</v>
      </c>
      <c r="B242" s="1">
        <v>241</v>
      </c>
      <c r="C242" t="s">
        <v>7318</v>
      </c>
      <c r="D242" t="s">
        <v>6594</v>
      </c>
      <c r="E242" t="s">
        <v>7319</v>
      </c>
      <c r="F242" t="s">
        <v>7320</v>
      </c>
      <c r="G242" t="s">
        <v>6586</v>
      </c>
    </row>
    <row r="243" spans="1:7">
      <c r="A243" t="s">
        <v>6581</v>
      </c>
      <c r="B243" s="1">
        <v>242</v>
      </c>
      <c r="C243" t="s">
        <v>7321</v>
      </c>
      <c r="D243" t="s">
        <v>6583</v>
      </c>
      <c r="E243" t="s">
        <v>7322</v>
      </c>
      <c r="F243" t="s">
        <v>7323</v>
      </c>
      <c r="G243" t="s">
        <v>6586</v>
      </c>
    </row>
    <row r="244" spans="1:7">
      <c r="A244" t="s">
        <v>6581</v>
      </c>
      <c r="B244" s="1">
        <v>243</v>
      </c>
      <c r="C244" t="s">
        <v>7324</v>
      </c>
      <c r="D244" t="s">
        <v>6605</v>
      </c>
      <c r="E244" t="s">
        <v>7325</v>
      </c>
      <c r="F244" t="s">
        <v>7326</v>
      </c>
      <c r="G244" t="s">
        <v>6586</v>
      </c>
    </row>
    <row r="245" spans="1:7">
      <c r="A245" t="s">
        <v>6581</v>
      </c>
      <c r="B245" s="1">
        <v>244</v>
      </c>
      <c r="C245" t="s">
        <v>7327</v>
      </c>
      <c r="D245" t="s">
        <v>6605</v>
      </c>
      <c r="E245" t="s">
        <v>7328</v>
      </c>
      <c r="F245" t="s">
        <v>7329</v>
      </c>
      <c r="G245" t="s">
        <v>6586</v>
      </c>
    </row>
    <row r="246" spans="1:7">
      <c r="A246" t="s">
        <v>6581</v>
      </c>
      <c r="B246" s="1">
        <v>245</v>
      </c>
      <c r="C246" t="s">
        <v>7330</v>
      </c>
      <c r="D246" t="s">
        <v>6771</v>
      </c>
      <c r="E246" t="s">
        <v>7331</v>
      </c>
      <c r="F246" t="s">
        <v>7332</v>
      </c>
      <c r="G246" t="s">
        <v>6586</v>
      </c>
    </row>
    <row r="247" spans="1:7">
      <c r="A247" t="s">
        <v>6581</v>
      </c>
      <c r="B247" s="1">
        <v>246</v>
      </c>
      <c r="C247" t="s">
        <v>7333</v>
      </c>
      <c r="D247" t="s">
        <v>6771</v>
      </c>
      <c r="E247" t="s">
        <v>7334</v>
      </c>
      <c r="F247" t="s">
        <v>7335</v>
      </c>
      <c r="G247" t="s">
        <v>6586</v>
      </c>
    </row>
    <row r="248" spans="1:7">
      <c r="A248" t="s">
        <v>6581</v>
      </c>
      <c r="B248" s="1">
        <v>247</v>
      </c>
      <c r="C248" t="s">
        <v>7336</v>
      </c>
      <c r="D248" t="s">
        <v>6605</v>
      </c>
      <c r="E248" t="s">
        <v>7337</v>
      </c>
      <c r="F248" t="s">
        <v>7338</v>
      </c>
      <c r="G248" t="s">
        <v>6586</v>
      </c>
    </row>
    <row r="249" spans="1:7">
      <c r="A249" t="s">
        <v>6581</v>
      </c>
      <c r="B249" s="1">
        <v>248</v>
      </c>
      <c r="C249" t="s">
        <v>7339</v>
      </c>
      <c r="D249" t="s">
        <v>6598</v>
      </c>
      <c r="E249" t="s">
        <v>7340</v>
      </c>
      <c r="F249" t="s">
        <v>7341</v>
      </c>
      <c r="G249" t="s">
        <v>6586</v>
      </c>
    </row>
    <row r="250" spans="1:7">
      <c r="A250" t="s">
        <v>6581</v>
      </c>
      <c r="B250" s="1">
        <v>249</v>
      </c>
      <c r="C250" t="s">
        <v>7342</v>
      </c>
      <c r="D250" t="s">
        <v>6598</v>
      </c>
      <c r="E250" t="s">
        <v>7343</v>
      </c>
      <c r="F250" t="s">
        <v>7344</v>
      </c>
      <c r="G250" t="s">
        <v>6586</v>
      </c>
    </row>
    <row r="251" spans="1:7">
      <c r="A251" t="s">
        <v>6581</v>
      </c>
      <c r="B251" s="1">
        <v>250</v>
      </c>
      <c r="C251" t="s">
        <v>7345</v>
      </c>
      <c r="D251" t="s">
        <v>6771</v>
      </c>
      <c r="E251" t="s">
        <v>7346</v>
      </c>
      <c r="F251" t="s">
        <v>7347</v>
      </c>
      <c r="G251" t="s">
        <v>6586</v>
      </c>
    </row>
    <row r="252" spans="1:7">
      <c r="A252" t="s">
        <v>6581</v>
      </c>
      <c r="B252" s="1">
        <v>251</v>
      </c>
      <c r="C252" t="s">
        <v>7348</v>
      </c>
      <c r="D252" t="s">
        <v>6598</v>
      </c>
      <c r="E252" t="s">
        <v>7349</v>
      </c>
      <c r="F252" t="s">
        <v>7350</v>
      </c>
      <c r="G252" t="s">
        <v>6586</v>
      </c>
    </row>
    <row r="253" spans="1:7">
      <c r="A253" t="s">
        <v>6581</v>
      </c>
      <c r="B253" s="1">
        <v>252</v>
      </c>
      <c r="C253" t="s">
        <v>7351</v>
      </c>
      <c r="D253" t="s">
        <v>6734</v>
      </c>
      <c r="E253" t="s">
        <v>7352</v>
      </c>
      <c r="F253" t="s">
        <v>7353</v>
      </c>
      <c r="G253" t="s">
        <v>6586</v>
      </c>
    </row>
    <row r="254" spans="1:7">
      <c r="A254" t="s">
        <v>6581</v>
      </c>
      <c r="B254" s="1">
        <v>253</v>
      </c>
      <c r="C254" t="s">
        <v>7354</v>
      </c>
      <c r="D254" t="s">
        <v>6695</v>
      </c>
      <c r="E254" t="s">
        <v>7355</v>
      </c>
      <c r="F254" t="s">
        <v>7356</v>
      </c>
      <c r="G254" t="s">
        <v>6586</v>
      </c>
    </row>
    <row r="255" spans="1:7">
      <c r="A255" t="s">
        <v>6581</v>
      </c>
      <c r="B255" s="1">
        <v>254</v>
      </c>
      <c r="C255" t="s">
        <v>7357</v>
      </c>
      <c r="D255" t="s">
        <v>6695</v>
      </c>
      <c r="E255" t="s">
        <v>7358</v>
      </c>
      <c r="F255" t="s">
        <v>7359</v>
      </c>
      <c r="G255" t="s">
        <v>6586</v>
      </c>
    </row>
    <row r="256" spans="1:7">
      <c r="A256" t="s">
        <v>6581</v>
      </c>
      <c r="B256" s="1">
        <v>255</v>
      </c>
      <c r="C256" t="s">
        <v>7360</v>
      </c>
      <c r="D256" t="s">
        <v>6734</v>
      </c>
      <c r="E256" t="s">
        <v>7361</v>
      </c>
      <c r="F256" t="s">
        <v>7362</v>
      </c>
      <c r="G256" t="s">
        <v>6586</v>
      </c>
    </row>
    <row r="257" spans="1:7">
      <c r="A257" t="s">
        <v>6581</v>
      </c>
      <c r="B257" s="1">
        <v>256</v>
      </c>
      <c r="C257" t="s">
        <v>7363</v>
      </c>
      <c r="D257" t="s">
        <v>6583</v>
      </c>
      <c r="E257" t="s">
        <v>7364</v>
      </c>
      <c r="F257" t="s">
        <v>7365</v>
      </c>
      <c r="G257" t="s">
        <v>6586</v>
      </c>
    </row>
    <row r="258" spans="1:7">
      <c r="A258" t="s">
        <v>6581</v>
      </c>
      <c r="B258" s="1">
        <v>257</v>
      </c>
      <c r="C258" t="s">
        <v>7366</v>
      </c>
      <c r="D258" t="s">
        <v>6583</v>
      </c>
      <c r="E258" t="s">
        <v>7367</v>
      </c>
      <c r="F258" t="s">
        <v>7368</v>
      </c>
      <c r="G258" t="s">
        <v>6586</v>
      </c>
    </row>
    <row r="259" spans="1:7">
      <c r="A259" t="s">
        <v>6581</v>
      </c>
      <c r="B259" s="1">
        <v>258</v>
      </c>
      <c r="C259" t="s">
        <v>7369</v>
      </c>
      <c r="D259" t="s">
        <v>6605</v>
      </c>
      <c r="E259" t="s">
        <v>7370</v>
      </c>
      <c r="F259" t="s">
        <v>7371</v>
      </c>
      <c r="G259" t="s">
        <v>6586</v>
      </c>
    </row>
    <row r="260" spans="1:7">
      <c r="A260" t="s">
        <v>6581</v>
      </c>
      <c r="B260" s="1">
        <v>259</v>
      </c>
      <c r="C260" t="s">
        <v>7372</v>
      </c>
      <c r="D260" t="s">
        <v>6605</v>
      </c>
      <c r="E260" t="s">
        <v>7373</v>
      </c>
      <c r="F260" t="s">
        <v>7374</v>
      </c>
      <c r="G260" t="s">
        <v>6586</v>
      </c>
    </row>
    <row r="261" spans="1:7">
      <c r="A261" t="s">
        <v>6581</v>
      </c>
      <c r="B261" s="1">
        <v>260</v>
      </c>
      <c r="C261" t="s">
        <v>7375</v>
      </c>
      <c r="D261" t="s">
        <v>6583</v>
      </c>
      <c r="E261" t="s">
        <v>7376</v>
      </c>
      <c r="F261" t="s">
        <v>7377</v>
      </c>
      <c r="G261" t="s">
        <v>6586</v>
      </c>
    </row>
    <row r="262" spans="1:7">
      <c r="A262" t="s">
        <v>6581</v>
      </c>
      <c r="B262" s="1">
        <v>261</v>
      </c>
      <c r="C262" t="s">
        <v>7378</v>
      </c>
      <c r="D262" t="s">
        <v>6583</v>
      </c>
      <c r="E262" t="s">
        <v>7379</v>
      </c>
      <c r="F262" t="s">
        <v>7380</v>
      </c>
      <c r="G262" t="s">
        <v>6586</v>
      </c>
    </row>
    <row r="263" spans="1:7">
      <c r="A263" t="s">
        <v>6581</v>
      </c>
      <c r="B263" s="1">
        <v>262</v>
      </c>
      <c r="C263" t="s">
        <v>7381</v>
      </c>
      <c r="D263" t="s">
        <v>6605</v>
      </c>
      <c r="E263" t="s">
        <v>7382</v>
      </c>
      <c r="F263" t="s">
        <v>7383</v>
      </c>
      <c r="G263" t="s">
        <v>6586</v>
      </c>
    </row>
    <row r="264" spans="1:7">
      <c r="A264" t="s">
        <v>6581</v>
      </c>
      <c r="B264" s="1">
        <v>263</v>
      </c>
      <c r="C264" t="s">
        <v>7384</v>
      </c>
      <c r="D264" t="s">
        <v>6734</v>
      </c>
      <c r="E264" t="s">
        <v>7385</v>
      </c>
      <c r="F264" t="s">
        <v>7386</v>
      </c>
      <c r="G264" t="s">
        <v>6586</v>
      </c>
    </row>
    <row r="265" spans="1:7">
      <c r="A265" t="s">
        <v>6581</v>
      </c>
      <c r="B265" s="1">
        <v>264</v>
      </c>
      <c r="C265" t="s">
        <v>7387</v>
      </c>
      <c r="D265" t="s">
        <v>6598</v>
      </c>
      <c r="E265" t="s">
        <v>7388</v>
      </c>
      <c r="F265" t="s">
        <v>7389</v>
      </c>
      <c r="G265" t="s">
        <v>6586</v>
      </c>
    </row>
    <row r="266" spans="1:7">
      <c r="A266" t="s">
        <v>6581</v>
      </c>
      <c r="B266" s="1">
        <v>265</v>
      </c>
      <c r="C266" t="s">
        <v>7390</v>
      </c>
      <c r="D266" t="s">
        <v>6771</v>
      </c>
      <c r="E266" t="s">
        <v>7391</v>
      </c>
      <c r="F266" t="s">
        <v>7392</v>
      </c>
      <c r="G266" t="s">
        <v>6586</v>
      </c>
    </row>
    <row r="267" spans="1:7">
      <c r="A267" t="s">
        <v>6581</v>
      </c>
      <c r="B267" s="1">
        <v>266</v>
      </c>
      <c r="C267" t="s">
        <v>7393</v>
      </c>
      <c r="D267" t="s">
        <v>6594</v>
      </c>
      <c r="E267" t="s">
        <v>7394</v>
      </c>
      <c r="F267" t="s">
        <v>7395</v>
      </c>
      <c r="G267" t="s">
        <v>6586</v>
      </c>
    </row>
    <row r="268" spans="1:7">
      <c r="A268" t="s">
        <v>6581</v>
      </c>
      <c r="B268" s="1">
        <v>267</v>
      </c>
      <c r="C268" t="s">
        <v>7396</v>
      </c>
      <c r="D268" t="s">
        <v>6654</v>
      </c>
      <c r="E268" t="s">
        <v>7397</v>
      </c>
      <c r="F268" t="s">
        <v>7398</v>
      </c>
      <c r="G268" t="s">
        <v>6586</v>
      </c>
    </row>
    <row r="269" spans="1:7">
      <c r="A269" t="s">
        <v>6581</v>
      </c>
      <c r="B269" s="1">
        <v>268</v>
      </c>
      <c r="C269" t="s">
        <v>7399</v>
      </c>
      <c r="D269" t="s">
        <v>6734</v>
      </c>
      <c r="E269" t="s">
        <v>7400</v>
      </c>
      <c r="F269" t="s">
        <v>7401</v>
      </c>
      <c r="G269" t="s">
        <v>6586</v>
      </c>
    </row>
    <row r="270" spans="1:7">
      <c r="A270" t="s">
        <v>6581</v>
      </c>
      <c r="B270" s="1">
        <v>269</v>
      </c>
      <c r="C270" t="s">
        <v>7402</v>
      </c>
      <c r="D270" t="s">
        <v>6609</v>
      </c>
      <c r="E270" t="s">
        <v>7403</v>
      </c>
      <c r="F270" t="s">
        <v>7404</v>
      </c>
      <c r="G270" t="s">
        <v>6586</v>
      </c>
    </row>
    <row r="271" spans="1:7">
      <c r="A271" t="s">
        <v>6581</v>
      </c>
      <c r="B271" s="1">
        <v>270</v>
      </c>
      <c r="C271" t="s">
        <v>7405</v>
      </c>
      <c r="D271" t="s">
        <v>6654</v>
      </c>
      <c r="E271" t="s">
        <v>7406</v>
      </c>
      <c r="F271" t="s">
        <v>7407</v>
      </c>
      <c r="G271" t="s">
        <v>6586</v>
      </c>
    </row>
    <row r="272" spans="1:7">
      <c r="A272" t="s">
        <v>6581</v>
      </c>
      <c r="B272" s="1">
        <v>271</v>
      </c>
      <c r="C272" t="s">
        <v>7408</v>
      </c>
      <c r="D272" t="s">
        <v>6654</v>
      </c>
      <c r="E272" t="s">
        <v>7409</v>
      </c>
      <c r="F272" t="s">
        <v>7410</v>
      </c>
      <c r="G272" t="s">
        <v>6586</v>
      </c>
    </row>
    <row r="273" spans="1:7">
      <c r="A273" t="s">
        <v>6581</v>
      </c>
      <c r="B273" s="1">
        <v>272</v>
      </c>
      <c r="C273" t="s">
        <v>7411</v>
      </c>
      <c r="D273" t="s">
        <v>6771</v>
      </c>
      <c r="E273" t="s">
        <v>7412</v>
      </c>
      <c r="F273" t="s">
        <v>7413</v>
      </c>
      <c r="G273" t="s">
        <v>6586</v>
      </c>
    </row>
    <row r="274" spans="1:7">
      <c r="A274" t="s">
        <v>6581</v>
      </c>
      <c r="B274" s="1">
        <v>273</v>
      </c>
      <c r="C274" t="s">
        <v>7198</v>
      </c>
      <c r="D274" t="s">
        <v>6771</v>
      </c>
      <c r="E274" t="s">
        <v>7414</v>
      </c>
      <c r="F274" t="s">
        <v>7415</v>
      </c>
      <c r="G274" t="s">
        <v>6586</v>
      </c>
    </row>
    <row r="275" spans="1:7">
      <c r="A275" t="s">
        <v>6581</v>
      </c>
      <c r="B275" s="1">
        <v>274</v>
      </c>
      <c r="C275" t="s">
        <v>7416</v>
      </c>
      <c r="D275" t="s">
        <v>6598</v>
      </c>
      <c r="E275" t="s">
        <v>7417</v>
      </c>
      <c r="F275" t="s">
        <v>7418</v>
      </c>
      <c r="G275" t="s">
        <v>6586</v>
      </c>
    </row>
    <row r="276" spans="1:7">
      <c r="A276" t="s">
        <v>6581</v>
      </c>
      <c r="B276" s="1">
        <v>275</v>
      </c>
      <c r="C276" t="s">
        <v>7419</v>
      </c>
      <c r="D276" t="s">
        <v>6598</v>
      </c>
      <c r="E276" t="s">
        <v>7420</v>
      </c>
      <c r="F276" t="s">
        <v>7421</v>
      </c>
      <c r="G276" t="s">
        <v>6586</v>
      </c>
    </row>
    <row r="277" spans="1:7">
      <c r="A277" t="s">
        <v>6581</v>
      </c>
      <c r="B277" s="1">
        <v>276</v>
      </c>
      <c r="C277" t="s">
        <v>7422</v>
      </c>
      <c r="D277" t="s">
        <v>6605</v>
      </c>
      <c r="E277" t="s">
        <v>7423</v>
      </c>
      <c r="F277" t="s">
        <v>7424</v>
      </c>
      <c r="G277" t="s">
        <v>6586</v>
      </c>
    </row>
    <row r="278" spans="1:7">
      <c r="A278" t="s">
        <v>6581</v>
      </c>
      <c r="B278" s="1">
        <v>277</v>
      </c>
      <c r="C278" t="s">
        <v>7425</v>
      </c>
      <c r="D278" t="s">
        <v>6734</v>
      </c>
      <c r="E278" t="s">
        <v>7426</v>
      </c>
      <c r="F278" t="s">
        <v>7427</v>
      </c>
      <c r="G278" t="s">
        <v>6586</v>
      </c>
    </row>
    <row r="279" spans="1:7">
      <c r="A279" t="s">
        <v>6581</v>
      </c>
      <c r="B279" s="1">
        <v>278</v>
      </c>
      <c r="C279" t="s">
        <v>7428</v>
      </c>
      <c r="D279" t="s">
        <v>6605</v>
      </c>
      <c r="E279" t="s">
        <v>7429</v>
      </c>
      <c r="F279" t="s">
        <v>7430</v>
      </c>
      <c r="G279" t="s">
        <v>6586</v>
      </c>
    </row>
    <row r="280" spans="1:7">
      <c r="A280" t="s">
        <v>6581</v>
      </c>
      <c r="B280" s="1">
        <v>279</v>
      </c>
      <c r="C280" t="s">
        <v>7431</v>
      </c>
      <c r="D280" t="s">
        <v>6609</v>
      </c>
      <c r="E280" t="s">
        <v>7432</v>
      </c>
      <c r="F280" t="s">
        <v>7433</v>
      </c>
      <c r="G280" t="s">
        <v>6586</v>
      </c>
    </row>
    <row r="281" spans="1:7">
      <c r="A281" t="s">
        <v>6581</v>
      </c>
      <c r="B281" s="1">
        <v>280</v>
      </c>
      <c r="C281" t="s">
        <v>7434</v>
      </c>
      <c r="D281" t="s">
        <v>6605</v>
      </c>
      <c r="E281" t="s">
        <v>7435</v>
      </c>
      <c r="F281" t="s">
        <v>7436</v>
      </c>
      <c r="G281" t="s">
        <v>6586</v>
      </c>
    </row>
    <row r="282" spans="1:7">
      <c r="A282" t="s">
        <v>6581</v>
      </c>
      <c r="B282" s="1">
        <v>281</v>
      </c>
      <c r="C282" t="s">
        <v>7437</v>
      </c>
      <c r="D282" t="s">
        <v>6605</v>
      </c>
      <c r="E282" t="s">
        <v>7438</v>
      </c>
      <c r="F282" t="s">
        <v>7439</v>
      </c>
      <c r="G282" t="s">
        <v>6586</v>
      </c>
    </row>
    <row r="283" spans="1:7">
      <c r="A283" t="s">
        <v>6581</v>
      </c>
      <c r="B283" s="1">
        <v>282</v>
      </c>
      <c r="C283" t="s">
        <v>7440</v>
      </c>
      <c r="D283" t="s">
        <v>6654</v>
      </c>
      <c r="E283" t="s">
        <v>7441</v>
      </c>
      <c r="F283" t="s">
        <v>7442</v>
      </c>
      <c r="G283" t="s">
        <v>6586</v>
      </c>
    </row>
    <row r="284" spans="1:7">
      <c r="A284" t="s">
        <v>6581</v>
      </c>
      <c r="B284" s="1">
        <v>283</v>
      </c>
      <c r="C284" t="s">
        <v>7443</v>
      </c>
      <c r="D284" t="s">
        <v>6605</v>
      </c>
      <c r="E284" t="s">
        <v>7444</v>
      </c>
      <c r="F284" t="s">
        <v>7445</v>
      </c>
      <c r="G284" t="s">
        <v>6586</v>
      </c>
    </row>
    <row r="285" spans="1:7">
      <c r="A285" t="s">
        <v>6581</v>
      </c>
      <c r="B285" s="1">
        <v>284</v>
      </c>
      <c r="C285" t="s">
        <v>7446</v>
      </c>
      <c r="D285" t="s">
        <v>6605</v>
      </c>
      <c r="E285" t="s">
        <v>7447</v>
      </c>
      <c r="F285" t="s">
        <v>7448</v>
      </c>
      <c r="G285" t="s">
        <v>6586</v>
      </c>
    </row>
    <row r="286" spans="1:7">
      <c r="A286" t="s">
        <v>6581</v>
      </c>
      <c r="B286" s="1">
        <v>285</v>
      </c>
      <c r="C286" t="s">
        <v>7449</v>
      </c>
      <c r="D286" t="s">
        <v>6695</v>
      </c>
      <c r="E286" t="s">
        <v>7450</v>
      </c>
      <c r="F286" t="s">
        <v>7451</v>
      </c>
      <c r="G286" t="s">
        <v>6586</v>
      </c>
    </row>
    <row r="287" spans="1:7">
      <c r="A287" t="s">
        <v>6581</v>
      </c>
      <c r="B287" s="1">
        <v>286</v>
      </c>
      <c r="C287" t="s">
        <v>7452</v>
      </c>
      <c r="D287" t="s">
        <v>6605</v>
      </c>
      <c r="E287" t="s">
        <v>7453</v>
      </c>
      <c r="F287" t="s">
        <v>7454</v>
      </c>
      <c r="G287" t="s">
        <v>6586</v>
      </c>
    </row>
    <row r="288" spans="1:7">
      <c r="A288" t="s">
        <v>6581</v>
      </c>
      <c r="B288" s="1">
        <v>287</v>
      </c>
      <c r="C288" t="s">
        <v>7455</v>
      </c>
      <c r="D288" t="s">
        <v>6771</v>
      </c>
      <c r="E288" t="s">
        <v>7456</v>
      </c>
      <c r="F288" t="s">
        <v>7457</v>
      </c>
      <c r="G288" t="s">
        <v>6586</v>
      </c>
    </row>
    <row r="289" spans="1:7">
      <c r="A289" t="s">
        <v>6581</v>
      </c>
      <c r="B289" s="1">
        <v>288</v>
      </c>
      <c r="C289" t="s">
        <v>7458</v>
      </c>
      <c r="D289" t="s">
        <v>6705</v>
      </c>
      <c r="E289" t="s">
        <v>7459</v>
      </c>
      <c r="F289" t="s">
        <v>7460</v>
      </c>
      <c r="G289" t="s">
        <v>6586</v>
      </c>
    </row>
    <row r="290" spans="1:7">
      <c r="A290" t="s">
        <v>6581</v>
      </c>
      <c r="B290" s="1">
        <v>289</v>
      </c>
      <c r="C290" t="s">
        <v>7461</v>
      </c>
      <c r="D290" t="s">
        <v>6771</v>
      </c>
      <c r="E290" t="s">
        <v>7462</v>
      </c>
      <c r="F290" t="s">
        <v>7463</v>
      </c>
      <c r="G290" t="s">
        <v>6586</v>
      </c>
    </row>
    <row r="291" spans="1:7">
      <c r="A291" t="s">
        <v>6581</v>
      </c>
      <c r="B291" s="1">
        <v>290</v>
      </c>
      <c r="C291" t="s">
        <v>7464</v>
      </c>
      <c r="D291" t="s">
        <v>6654</v>
      </c>
      <c r="E291" t="s">
        <v>7465</v>
      </c>
      <c r="F291" t="s">
        <v>7466</v>
      </c>
      <c r="G291" t="s">
        <v>6586</v>
      </c>
    </row>
    <row r="292" spans="1:7">
      <c r="A292" t="s">
        <v>6581</v>
      </c>
      <c r="B292" s="1">
        <v>291</v>
      </c>
      <c r="C292" t="s">
        <v>7467</v>
      </c>
      <c r="D292" t="s">
        <v>6654</v>
      </c>
      <c r="E292" t="s">
        <v>7468</v>
      </c>
      <c r="F292" t="s">
        <v>7469</v>
      </c>
      <c r="G292" t="s">
        <v>6586</v>
      </c>
    </row>
    <row r="293" spans="1:7">
      <c r="A293" t="s">
        <v>6581</v>
      </c>
      <c r="B293" s="1">
        <v>292</v>
      </c>
      <c r="C293" t="s">
        <v>7470</v>
      </c>
      <c r="D293" t="s">
        <v>6695</v>
      </c>
      <c r="E293" t="s">
        <v>7471</v>
      </c>
      <c r="F293" t="s">
        <v>7472</v>
      </c>
      <c r="G293" t="s">
        <v>6586</v>
      </c>
    </row>
    <row r="294" spans="1:7">
      <c r="A294" t="s">
        <v>6581</v>
      </c>
      <c r="B294" s="1">
        <v>293</v>
      </c>
      <c r="C294" t="s">
        <v>7473</v>
      </c>
      <c r="D294" t="s">
        <v>6605</v>
      </c>
      <c r="E294" t="s">
        <v>7474</v>
      </c>
      <c r="F294" t="s">
        <v>7475</v>
      </c>
      <c r="G294" t="s">
        <v>6586</v>
      </c>
    </row>
    <row r="295" spans="1:7">
      <c r="A295" t="s">
        <v>6581</v>
      </c>
      <c r="B295" s="1">
        <v>294</v>
      </c>
      <c r="C295" t="s">
        <v>7476</v>
      </c>
      <c r="D295" t="s">
        <v>6583</v>
      </c>
      <c r="E295" t="s">
        <v>7477</v>
      </c>
      <c r="F295" t="s">
        <v>7478</v>
      </c>
      <c r="G295" t="s">
        <v>6586</v>
      </c>
    </row>
    <row r="296" spans="1:7">
      <c r="A296" t="s">
        <v>6581</v>
      </c>
      <c r="B296" s="1">
        <v>295</v>
      </c>
      <c r="C296" t="s">
        <v>7479</v>
      </c>
      <c r="D296" t="s">
        <v>6654</v>
      </c>
      <c r="E296" t="s">
        <v>7480</v>
      </c>
      <c r="F296" t="s">
        <v>7481</v>
      </c>
      <c r="G296" t="s">
        <v>6586</v>
      </c>
    </row>
    <row r="297" spans="1:7">
      <c r="A297" t="s">
        <v>6581</v>
      </c>
      <c r="B297" s="1">
        <v>296</v>
      </c>
      <c r="C297" t="s">
        <v>7482</v>
      </c>
      <c r="D297" t="s">
        <v>6654</v>
      </c>
      <c r="E297" t="s">
        <v>7483</v>
      </c>
      <c r="F297" t="s">
        <v>7484</v>
      </c>
      <c r="G297" t="s">
        <v>6586</v>
      </c>
    </row>
    <row r="298" spans="1:7">
      <c r="A298" t="s">
        <v>6581</v>
      </c>
      <c r="B298" s="1">
        <v>297</v>
      </c>
      <c r="C298" t="s">
        <v>7485</v>
      </c>
      <c r="D298" t="s">
        <v>6605</v>
      </c>
      <c r="E298" t="s">
        <v>7486</v>
      </c>
      <c r="F298" t="s">
        <v>7487</v>
      </c>
      <c r="G298" t="s">
        <v>6586</v>
      </c>
    </row>
    <row r="299" spans="1:7">
      <c r="A299" t="s">
        <v>6581</v>
      </c>
      <c r="B299" s="1">
        <v>298</v>
      </c>
      <c r="C299" t="s">
        <v>7488</v>
      </c>
      <c r="D299" t="s">
        <v>6609</v>
      </c>
      <c r="E299" t="s">
        <v>7489</v>
      </c>
      <c r="F299" t="s">
        <v>7490</v>
      </c>
      <c r="G299" t="s">
        <v>6586</v>
      </c>
    </row>
    <row r="300" spans="1:7">
      <c r="A300" t="s">
        <v>6581</v>
      </c>
      <c r="B300" s="1">
        <v>299</v>
      </c>
      <c r="C300" t="s">
        <v>7491</v>
      </c>
      <c r="D300" t="s">
        <v>6654</v>
      </c>
      <c r="E300" t="s">
        <v>7492</v>
      </c>
      <c r="F300" t="s">
        <v>7493</v>
      </c>
      <c r="G300" t="s">
        <v>6586</v>
      </c>
    </row>
    <row r="301" spans="1:7">
      <c r="A301" t="s">
        <v>6581</v>
      </c>
      <c r="B301" s="1">
        <v>300</v>
      </c>
      <c r="C301" t="s">
        <v>7494</v>
      </c>
      <c r="D301" t="s">
        <v>6654</v>
      </c>
      <c r="E301" t="s">
        <v>7495</v>
      </c>
      <c r="F301" t="s">
        <v>7496</v>
      </c>
      <c r="G301" t="s">
        <v>6586</v>
      </c>
    </row>
    <row r="302" spans="1:7">
      <c r="A302" t="s">
        <v>6581</v>
      </c>
      <c r="B302" s="1">
        <v>301</v>
      </c>
      <c r="C302" t="s">
        <v>7497</v>
      </c>
      <c r="D302" t="s">
        <v>6654</v>
      </c>
      <c r="E302" t="s">
        <v>7498</v>
      </c>
      <c r="F302" t="s">
        <v>7499</v>
      </c>
      <c r="G302" t="s">
        <v>6586</v>
      </c>
    </row>
    <row r="303" spans="1:7">
      <c r="A303" t="s">
        <v>6581</v>
      </c>
      <c r="B303" s="1">
        <v>302</v>
      </c>
      <c r="C303" t="s">
        <v>7500</v>
      </c>
      <c r="D303" t="s">
        <v>6654</v>
      </c>
      <c r="E303" t="s">
        <v>7501</v>
      </c>
      <c r="F303" t="s">
        <v>7502</v>
      </c>
      <c r="G303" t="s">
        <v>6586</v>
      </c>
    </row>
    <row r="304" spans="1:7">
      <c r="A304" t="s">
        <v>6581</v>
      </c>
      <c r="B304" s="1">
        <v>303</v>
      </c>
      <c r="C304" t="s">
        <v>7503</v>
      </c>
      <c r="D304" t="s">
        <v>6654</v>
      </c>
      <c r="E304" t="s">
        <v>7504</v>
      </c>
      <c r="F304" t="s">
        <v>7505</v>
      </c>
      <c r="G304" t="s">
        <v>6586</v>
      </c>
    </row>
    <row r="305" spans="1:7">
      <c r="A305" t="s">
        <v>6581</v>
      </c>
      <c r="B305" s="1">
        <v>304</v>
      </c>
      <c r="C305" t="s">
        <v>7506</v>
      </c>
      <c r="D305" t="s">
        <v>6654</v>
      </c>
      <c r="E305" t="s">
        <v>7507</v>
      </c>
      <c r="F305" t="s">
        <v>7508</v>
      </c>
      <c r="G305" t="s">
        <v>6586</v>
      </c>
    </row>
    <row r="306" spans="1:7">
      <c r="A306" t="s">
        <v>6581</v>
      </c>
      <c r="B306" s="1">
        <v>305</v>
      </c>
      <c r="C306" t="s">
        <v>7509</v>
      </c>
      <c r="D306" t="s">
        <v>6654</v>
      </c>
      <c r="E306" t="s">
        <v>7510</v>
      </c>
      <c r="F306" t="s">
        <v>7511</v>
      </c>
      <c r="G306" t="s">
        <v>6586</v>
      </c>
    </row>
    <row r="307" spans="1:7">
      <c r="A307" t="s">
        <v>6581</v>
      </c>
      <c r="B307" s="1">
        <v>306</v>
      </c>
      <c r="C307" t="s">
        <v>7512</v>
      </c>
      <c r="D307" t="s">
        <v>6654</v>
      </c>
      <c r="E307" t="s">
        <v>7513</v>
      </c>
      <c r="F307" t="s">
        <v>7514</v>
      </c>
      <c r="G307" t="s">
        <v>6586</v>
      </c>
    </row>
    <row r="308" spans="1:7">
      <c r="A308" t="s">
        <v>6581</v>
      </c>
      <c r="B308" s="1">
        <v>307</v>
      </c>
      <c r="C308" t="s">
        <v>7515</v>
      </c>
      <c r="D308" t="s">
        <v>6605</v>
      </c>
      <c r="E308" t="s">
        <v>7516</v>
      </c>
      <c r="F308" t="s">
        <v>7517</v>
      </c>
      <c r="G308" t="s">
        <v>6586</v>
      </c>
    </row>
    <row r="309" spans="1:7">
      <c r="A309" t="s">
        <v>6581</v>
      </c>
      <c r="B309" s="1">
        <v>308</v>
      </c>
      <c r="C309" t="s">
        <v>7518</v>
      </c>
      <c r="D309" t="s">
        <v>6654</v>
      </c>
      <c r="E309" t="s">
        <v>7519</v>
      </c>
      <c r="F309" t="s">
        <v>7520</v>
      </c>
      <c r="G309" t="s">
        <v>6586</v>
      </c>
    </row>
    <row r="310" spans="1:7">
      <c r="A310" t="s">
        <v>6581</v>
      </c>
      <c r="B310" s="1">
        <v>309</v>
      </c>
      <c r="C310" t="s">
        <v>7521</v>
      </c>
      <c r="D310" t="s">
        <v>6605</v>
      </c>
      <c r="E310" t="s">
        <v>7522</v>
      </c>
      <c r="F310" t="s">
        <v>7523</v>
      </c>
      <c r="G310" t="s">
        <v>6586</v>
      </c>
    </row>
    <row r="311" spans="1:7">
      <c r="A311" t="s">
        <v>6581</v>
      </c>
      <c r="B311" s="1">
        <v>310</v>
      </c>
      <c r="C311" t="s">
        <v>7524</v>
      </c>
      <c r="D311" t="s">
        <v>6654</v>
      </c>
      <c r="E311" t="s">
        <v>7525</v>
      </c>
      <c r="F311" t="s">
        <v>7526</v>
      </c>
      <c r="G311" t="s">
        <v>6586</v>
      </c>
    </row>
    <row r="312" spans="1:7">
      <c r="A312" t="s">
        <v>6581</v>
      </c>
      <c r="B312" s="1">
        <v>311</v>
      </c>
      <c r="C312" t="s">
        <v>7527</v>
      </c>
      <c r="D312" t="s">
        <v>6654</v>
      </c>
      <c r="E312" t="s">
        <v>7528</v>
      </c>
      <c r="F312" t="s">
        <v>7529</v>
      </c>
      <c r="G312" t="s">
        <v>6586</v>
      </c>
    </row>
    <row r="313" spans="1:7">
      <c r="A313" t="s">
        <v>6581</v>
      </c>
      <c r="B313" s="1">
        <v>312</v>
      </c>
      <c r="C313" t="s">
        <v>7530</v>
      </c>
      <c r="D313" t="s">
        <v>6654</v>
      </c>
      <c r="E313" t="s">
        <v>7531</v>
      </c>
      <c r="F313" t="s">
        <v>7532</v>
      </c>
      <c r="G313" t="s">
        <v>6586</v>
      </c>
    </row>
    <row r="314" spans="1:7">
      <c r="A314" t="s">
        <v>6581</v>
      </c>
      <c r="B314" s="1">
        <v>313</v>
      </c>
      <c r="C314" t="s">
        <v>7533</v>
      </c>
      <c r="D314" t="s">
        <v>6605</v>
      </c>
      <c r="E314" t="s">
        <v>7534</v>
      </c>
      <c r="F314" t="s">
        <v>7535</v>
      </c>
      <c r="G314" t="s">
        <v>6586</v>
      </c>
    </row>
    <row r="315" spans="1:7">
      <c r="A315" t="s">
        <v>6581</v>
      </c>
      <c r="B315" s="1">
        <v>314</v>
      </c>
      <c r="C315" t="s">
        <v>7536</v>
      </c>
      <c r="D315" t="s">
        <v>6654</v>
      </c>
      <c r="E315" t="s">
        <v>7537</v>
      </c>
      <c r="F315" t="s">
        <v>7538</v>
      </c>
      <c r="G315" t="s">
        <v>6586</v>
      </c>
    </row>
    <row r="316" spans="1:7">
      <c r="A316" t="s">
        <v>6581</v>
      </c>
      <c r="B316" s="1">
        <v>315</v>
      </c>
      <c r="C316" t="s">
        <v>7539</v>
      </c>
      <c r="D316" t="s">
        <v>6583</v>
      </c>
      <c r="E316" t="s">
        <v>7540</v>
      </c>
      <c r="F316" t="s">
        <v>7541</v>
      </c>
      <c r="G316" t="s">
        <v>6586</v>
      </c>
    </row>
    <row r="317" spans="1:7">
      <c r="A317" t="s">
        <v>6581</v>
      </c>
      <c r="B317" s="1">
        <v>316</v>
      </c>
      <c r="C317" t="s">
        <v>7542</v>
      </c>
      <c r="D317" t="s">
        <v>6654</v>
      </c>
      <c r="E317" t="s">
        <v>7543</v>
      </c>
      <c r="F317" t="s">
        <v>7544</v>
      </c>
      <c r="G317" t="s">
        <v>6586</v>
      </c>
    </row>
    <row r="318" spans="1:7">
      <c r="A318" t="s">
        <v>6581</v>
      </c>
      <c r="B318" s="1">
        <v>317</v>
      </c>
      <c r="C318" t="s">
        <v>7545</v>
      </c>
      <c r="D318" t="s">
        <v>6654</v>
      </c>
      <c r="E318" t="s">
        <v>7546</v>
      </c>
      <c r="F318" t="s">
        <v>7547</v>
      </c>
      <c r="G318" t="s">
        <v>6586</v>
      </c>
    </row>
    <row r="319" spans="1:7">
      <c r="A319" t="s">
        <v>6581</v>
      </c>
      <c r="B319" s="1">
        <v>318</v>
      </c>
      <c r="C319" t="s">
        <v>7548</v>
      </c>
      <c r="D319" t="s">
        <v>6654</v>
      </c>
      <c r="E319" t="s">
        <v>7549</v>
      </c>
      <c r="F319" t="s">
        <v>7550</v>
      </c>
      <c r="G319" t="s">
        <v>6586</v>
      </c>
    </row>
    <row r="320" spans="1:7">
      <c r="A320" t="s">
        <v>6581</v>
      </c>
      <c r="B320" s="1">
        <v>319</v>
      </c>
      <c r="C320" t="s">
        <v>7551</v>
      </c>
      <c r="D320" t="s">
        <v>6667</v>
      </c>
      <c r="E320" t="s">
        <v>7552</v>
      </c>
      <c r="F320" t="s">
        <v>7553</v>
      </c>
      <c r="G320" t="s">
        <v>6586</v>
      </c>
    </row>
    <row r="321" spans="1:7">
      <c r="A321" t="s">
        <v>6581</v>
      </c>
      <c r="B321" s="1">
        <v>320</v>
      </c>
      <c r="C321" t="s">
        <v>7554</v>
      </c>
      <c r="D321" t="s">
        <v>6667</v>
      </c>
      <c r="E321" t="s">
        <v>7555</v>
      </c>
      <c r="F321" t="s">
        <v>7556</v>
      </c>
      <c r="G321" t="s">
        <v>6586</v>
      </c>
    </row>
    <row r="322" spans="1:7">
      <c r="A322" t="s">
        <v>6581</v>
      </c>
      <c r="B322" s="1">
        <v>321</v>
      </c>
      <c r="C322" t="s">
        <v>7557</v>
      </c>
      <c r="D322" t="s">
        <v>6654</v>
      </c>
      <c r="E322" t="s">
        <v>7558</v>
      </c>
      <c r="F322" t="s">
        <v>7559</v>
      </c>
      <c r="G322" t="s">
        <v>6586</v>
      </c>
    </row>
    <row r="323" spans="1:7">
      <c r="A323" t="s">
        <v>6581</v>
      </c>
      <c r="B323" s="1">
        <v>322</v>
      </c>
      <c r="C323" t="s">
        <v>7560</v>
      </c>
      <c r="D323" t="s">
        <v>6594</v>
      </c>
      <c r="E323" t="s">
        <v>7561</v>
      </c>
      <c r="F323" t="s">
        <v>7562</v>
      </c>
      <c r="G323" t="s">
        <v>6586</v>
      </c>
    </row>
    <row r="324" spans="1:7">
      <c r="A324" t="s">
        <v>6581</v>
      </c>
      <c r="B324" s="1">
        <v>323</v>
      </c>
      <c r="C324" t="s">
        <v>7563</v>
      </c>
      <c r="D324" t="s">
        <v>6654</v>
      </c>
      <c r="E324" t="s">
        <v>7564</v>
      </c>
      <c r="F324" t="s">
        <v>7565</v>
      </c>
      <c r="G324" t="s">
        <v>6586</v>
      </c>
    </row>
    <row r="325" spans="1:7">
      <c r="A325" t="s">
        <v>6581</v>
      </c>
      <c r="B325" s="1">
        <v>324</v>
      </c>
      <c r="C325" t="s">
        <v>7566</v>
      </c>
      <c r="D325" t="s">
        <v>6734</v>
      </c>
      <c r="E325" t="s">
        <v>7567</v>
      </c>
      <c r="F325" t="s">
        <v>7568</v>
      </c>
      <c r="G325" t="s">
        <v>6586</v>
      </c>
    </row>
    <row r="326" spans="1:7">
      <c r="A326" t="s">
        <v>6581</v>
      </c>
      <c r="B326" s="1">
        <v>325</v>
      </c>
      <c r="C326" t="s">
        <v>7569</v>
      </c>
      <c r="D326" t="s">
        <v>6695</v>
      </c>
      <c r="E326" t="s">
        <v>7570</v>
      </c>
      <c r="F326" t="s">
        <v>7571</v>
      </c>
      <c r="G326" t="s">
        <v>6586</v>
      </c>
    </row>
    <row r="327" spans="1:7">
      <c r="A327" t="s">
        <v>6581</v>
      </c>
      <c r="B327" s="1">
        <v>326</v>
      </c>
      <c r="C327" t="s">
        <v>7572</v>
      </c>
      <c r="D327" t="s">
        <v>6598</v>
      </c>
      <c r="E327" t="s">
        <v>7573</v>
      </c>
      <c r="F327" t="s">
        <v>7574</v>
      </c>
      <c r="G327" t="s">
        <v>6586</v>
      </c>
    </row>
    <row r="328" spans="1:7">
      <c r="A328" t="s">
        <v>6581</v>
      </c>
      <c r="B328" s="1">
        <v>327</v>
      </c>
      <c r="C328" t="s">
        <v>7575</v>
      </c>
      <c r="D328" t="s">
        <v>6734</v>
      </c>
      <c r="E328" t="s">
        <v>7576</v>
      </c>
      <c r="F328" t="s">
        <v>7577</v>
      </c>
      <c r="G328" t="s">
        <v>6586</v>
      </c>
    </row>
    <row r="329" spans="1:7">
      <c r="A329" t="s">
        <v>6581</v>
      </c>
      <c r="B329" s="1">
        <v>328</v>
      </c>
      <c r="C329" t="s">
        <v>7578</v>
      </c>
      <c r="D329" t="s">
        <v>6654</v>
      </c>
      <c r="E329" t="s">
        <v>7579</v>
      </c>
      <c r="F329" t="s">
        <v>7580</v>
      </c>
      <c r="G329" t="s">
        <v>6586</v>
      </c>
    </row>
    <row r="330" spans="1:7">
      <c r="A330" t="s">
        <v>6581</v>
      </c>
      <c r="B330" s="1">
        <v>329</v>
      </c>
      <c r="C330" t="s">
        <v>7581</v>
      </c>
      <c r="D330" t="s">
        <v>6605</v>
      </c>
      <c r="E330" t="s">
        <v>7582</v>
      </c>
      <c r="F330" t="s">
        <v>7583</v>
      </c>
      <c r="G330" t="s">
        <v>6586</v>
      </c>
    </row>
    <row r="331" spans="1:7">
      <c r="A331" t="s">
        <v>6581</v>
      </c>
      <c r="B331" s="1">
        <v>330</v>
      </c>
      <c r="C331" t="s">
        <v>7584</v>
      </c>
      <c r="D331" t="s">
        <v>6594</v>
      </c>
      <c r="E331" t="s">
        <v>7585</v>
      </c>
      <c r="F331" t="s">
        <v>7586</v>
      </c>
      <c r="G331" t="s">
        <v>6586</v>
      </c>
    </row>
    <row r="332" spans="1:7">
      <c r="A332" t="s">
        <v>6581</v>
      </c>
      <c r="B332" s="1">
        <v>331</v>
      </c>
      <c r="C332" t="s">
        <v>7587</v>
      </c>
      <c r="D332" t="s">
        <v>6654</v>
      </c>
      <c r="E332" t="s">
        <v>7588</v>
      </c>
      <c r="F332" t="s">
        <v>7589</v>
      </c>
      <c r="G332" t="s">
        <v>6586</v>
      </c>
    </row>
    <row r="333" spans="1:7">
      <c r="A333" t="s">
        <v>6581</v>
      </c>
      <c r="B333" s="1">
        <v>332</v>
      </c>
      <c r="C333" t="s">
        <v>7590</v>
      </c>
      <c r="D333" t="s">
        <v>6605</v>
      </c>
      <c r="E333" t="s">
        <v>7591</v>
      </c>
      <c r="F333" t="s">
        <v>7592</v>
      </c>
      <c r="G333" t="s">
        <v>6586</v>
      </c>
    </row>
    <row r="334" spans="1:7">
      <c r="A334" t="s">
        <v>6581</v>
      </c>
      <c r="B334" s="1">
        <v>333</v>
      </c>
      <c r="C334" t="s">
        <v>7593</v>
      </c>
      <c r="D334" t="s">
        <v>6654</v>
      </c>
      <c r="E334" t="s">
        <v>7594</v>
      </c>
      <c r="F334" t="s">
        <v>7595</v>
      </c>
      <c r="G334" t="s">
        <v>6586</v>
      </c>
    </row>
    <row r="335" spans="1:7">
      <c r="A335" t="s">
        <v>6581</v>
      </c>
      <c r="B335" s="1">
        <v>334</v>
      </c>
      <c r="C335" t="s">
        <v>7596</v>
      </c>
      <c r="D335" t="s">
        <v>6605</v>
      </c>
      <c r="E335" t="s">
        <v>7597</v>
      </c>
      <c r="F335" t="s">
        <v>7598</v>
      </c>
      <c r="G335" t="s">
        <v>6586</v>
      </c>
    </row>
    <row r="336" spans="1:7">
      <c r="A336" t="s">
        <v>6581</v>
      </c>
      <c r="B336" s="1">
        <v>335</v>
      </c>
      <c r="C336" t="s">
        <v>7599</v>
      </c>
      <c r="D336" t="s">
        <v>6654</v>
      </c>
      <c r="E336" t="s">
        <v>7600</v>
      </c>
      <c r="F336" t="s">
        <v>7601</v>
      </c>
      <c r="G336" t="s">
        <v>6586</v>
      </c>
    </row>
    <row r="337" spans="1:7">
      <c r="A337" t="s">
        <v>6581</v>
      </c>
      <c r="B337" s="1">
        <v>336</v>
      </c>
      <c r="C337" t="s">
        <v>7602</v>
      </c>
      <c r="D337" t="s">
        <v>6605</v>
      </c>
      <c r="E337" t="s">
        <v>7603</v>
      </c>
      <c r="F337" t="s">
        <v>7604</v>
      </c>
      <c r="G337" t="s">
        <v>6586</v>
      </c>
    </row>
    <row r="338" spans="1:7">
      <c r="A338" t="s">
        <v>6581</v>
      </c>
      <c r="B338" s="1">
        <v>337</v>
      </c>
      <c r="C338" t="s">
        <v>7605</v>
      </c>
      <c r="D338" t="s">
        <v>6771</v>
      </c>
      <c r="E338" t="s">
        <v>7606</v>
      </c>
      <c r="F338" t="s">
        <v>7607</v>
      </c>
      <c r="G338" t="s">
        <v>6586</v>
      </c>
    </row>
    <row r="339" spans="1:7">
      <c r="A339" t="s">
        <v>6581</v>
      </c>
      <c r="B339" s="1">
        <v>338</v>
      </c>
      <c r="C339" t="s">
        <v>7608</v>
      </c>
      <c r="D339" t="s">
        <v>6605</v>
      </c>
      <c r="E339" t="s">
        <v>7609</v>
      </c>
      <c r="F339" t="s">
        <v>7610</v>
      </c>
      <c r="G339" t="s">
        <v>6586</v>
      </c>
    </row>
    <row r="340" spans="1:7">
      <c r="A340" t="s">
        <v>6581</v>
      </c>
      <c r="B340" s="1">
        <v>339</v>
      </c>
      <c r="C340" t="s">
        <v>7611</v>
      </c>
      <c r="D340" t="s">
        <v>6605</v>
      </c>
      <c r="E340" t="s">
        <v>7612</v>
      </c>
      <c r="F340" t="s">
        <v>7613</v>
      </c>
      <c r="G340" t="s">
        <v>6586</v>
      </c>
    </row>
    <row r="341" spans="1:7">
      <c r="A341" t="s">
        <v>6581</v>
      </c>
      <c r="B341" s="1">
        <v>340</v>
      </c>
      <c r="C341" t="s">
        <v>7614</v>
      </c>
      <c r="D341" t="s">
        <v>6605</v>
      </c>
      <c r="E341" t="s">
        <v>7615</v>
      </c>
      <c r="F341" t="s">
        <v>7616</v>
      </c>
      <c r="G341" t="s">
        <v>6586</v>
      </c>
    </row>
    <row r="342" spans="1:7">
      <c r="A342" t="s">
        <v>6581</v>
      </c>
      <c r="B342" s="1">
        <v>341</v>
      </c>
      <c r="C342" t="s">
        <v>7617</v>
      </c>
      <c r="D342" t="s">
        <v>6654</v>
      </c>
      <c r="E342" t="s">
        <v>7618</v>
      </c>
      <c r="F342" t="s">
        <v>7619</v>
      </c>
      <c r="G342" t="s">
        <v>6586</v>
      </c>
    </row>
    <row r="343" spans="1:7">
      <c r="A343" t="s">
        <v>6581</v>
      </c>
      <c r="B343" s="1">
        <v>342</v>
      </c>
      <c r="C343" t="s">
        <v>7620</v>
      </c>
      <c r="D343" t="s">
        <v>6609</v>
      </c>
      <c r="E343" t="s">
        <v>7621</v>
      </c>
      <c r="F343" t="s">
        <v>7622</v>
      </c>
      <c r="G343" t="s">
        <v>6586</v>
      </c>
    </row>
    <row r="344" spans="1:7">
      <c r="A344" t="s">
        <v>6581</v>
      </c>
      <c r="B344" s="1">
        <v>343</v>
      </c>
      <c r="C344" t="s">
        <v>7623</v>
      </c>
      <c r="D344" t="s">
        <v>6695</v>
      </c>
      <c r="E344" t="s">
        <v>7624</v>
      </c>
      <c r="F344" t="s">
        <v>7625</v>
      </c>
      <c r="G344" t="s">
        <v>6586</v>
      </c>
    </row>
    <row r="345" spans="1:7">
      <c r="A345" t="s">
        <v>6581</v>
      </c>
      <c r="B345" s="1">
        <v>344</v>
      </c>
      <c r="C345" t="s">
        <v>7626</v>
      </c>
      <c r="D345" t="s">
        <v>6654</v>
      </c>
      <c r="E345" t="s">
        <v>7627</v>
      </c>
      <c r="F345" t="s">
        <v>7628</v>
      </c>
      <c r="G345" t="s">
        <v>6586</v>
      </c>
    </row>
    <row r="346" spans="1:7">
      <c r="A346" t="s">
        <v>6581</v>
      </c>
      <c r="B346" s="1">
        <v>345</v>
      </c>
      <c r="C346" t="s">
        <v>7629</v>
      </c>
      <c r="D346" t="s">
        <v>6605</v>
      </c>
      <c r="E346" t="s">
        <v>7630</v>
      </c>
      <c r="F346" t="s">
        <v>7631</v>
      </c>
      <c r="G346" t="s">
        <v>6586</v>
      </c>
    </row>
    <row r="347" spans="1:7">
      <c r="A347" t="s">
        <v>6581</v>
      </c>
      <c r="B347" s="1">
        <v>346</v>
      </c>
      <c r="C347" t="s">
        <v>7632</v>
      </c>
      <c r="D347" t="s">
        <v>6654</v>
      </c>
      <c r="E347" t="s">
        <v>7633</v>
      </c>
      <c r="F347" t="s">
        <v>7634</v>
      </c>
      <c r="G347" t="s">
        <v>6586</v>
      </c>
    </row>
    <row r="348" spans="1:7">
      <c r="A348" t="s">
        <v>6581</v>
      </c>
      <c r="B348" s="1">
        <v>347</v>
      </c>
      <c r="C348" t="s">
        <v>7635</v>
      </c>
      <c r="D348" t="s">
        <v>6734</v>
      </c>
      <c r="E348" t="s">
        <v>7636</v>
      </c>
      <c r="F348" t="s">
        <v>7637</v>
      </c>
      <c r="G348" t="s">
        <v>6586</v>
      </c>
    </row>
    <row r="349" spans="1:7">
      <c r="A349" t="s">
        <v>6581</v>
      </c>
      <c r="B349" s="1">
        <v>348</v>
      </c>
      <c r="C349" t="s">
        <v>7638</v>
      </c>
      <c r="D349" t="s">
        <v>6654</v>
      </c>
      <c r="E349" t="s">
        <v>7639</v>
      </c>
      <c r="F349" t="s">
        <v>7640</v>
      </c>
      <c r="G349" t="s">
        <v>6586</v>
      </c>
    </row>
    <row r="350" spans="1:7">
      <c r="A350" t="s">
        <v>6581</v>
      </c>
      <c r="B350" s="1">
        <v>349</v>
      </c>
      <c r="C350" t="s">
        <v>7641</v>
      </c>
      <c r="D350" t="s">
        <v>6654</v>
      </c>
      <c r="E350" t="s">
        <v>7642</v>
      </c>
      <c r="F350" t="s">
        <v>7643</v>
      </c>
      <c r="G350" t="s">
        <v>6586</v>
      </c>
    </row>
    <row r="351" spans="1:7">
      <c r="A351" t="s">
        <v>6581</v>
      </c>
      <c r="B351" s="1">
        <v>350</v>
      </c>
      <c r="C351" t="s">
        <v>7644</v>
      </c>
      <c r="D351" t="s">
        <v>6605</v>
      </c>
      <c r="E351" t="s">
        <v>7645</v>
      </c>
      <c r="F351" t="s">
        <v>7646</v>
      </c>
      <c r="G351" t="s">
        <v>6586</v>
      </c>
    </row>
    <row r="352" spans="1:7">
      <c r="A352" t="s">
        <v>6581</v>
      </c>
      <c r="B352" s="1">
        <v>351</v>
      </c>
      <c r="C352" t="s">
        <v>7647</v>
      </c>
      <c r="D352" t="s">
        <v>6771</v>
      </c>
      <c r="E352" t="s">
        <v>7648</v>
      </c>
      <c r="F352" t="s">
        <v>7649</v>
      </c>
      <c r="G352" t="s">
        <v>6586</v>
      </c>
    </row>
    <row r="353" spans="1:7">
      <c r="A353" t="s">
        <v>6581</v>
      </c>
      <c r="B353" s="1">
        <v>352</v>
      </c>
      <c r="C353" t="s">
        <v>7650</v>
      </c>
      <c r="D353" t="s">
        <v>6654</v>
      </c>
      <c r="E353" t="s">
        <v>7651</v>
      </c>
      <c r="F353" t="s">
        <v>7652</v>
      </c>
      <c r="G353" t="s">
        <v>6586</v>
      </c>
    </row>
    <row r="354" spans="1:7">
      <c r="A354" t="s">
        <v>6581</v>
      </c>
      <c r="B354" s="1">
        <v>353</v>
      </c>
      <c r="C354" t="s">
        <v>7653</v>
      </c>
      <c r="D354" t="s">
        <v>6594</v>
      </c>
      <c r="E354" t="s">
        <v>7654</v>
      </c>
      <c r="F354" t="s">
        <v>7655</v>
      </c>
      <c r="G354" t="s">
        <v>6586</v>
      </c>
    </row>
    <row r="355" spans="1:7">
      <c r="A355" t="s">
        <v>6581</v>
      </c>
      <c r="B355" s="1">
        <v>354</v>
      </c>
      <c r="C355" t="s">
        <v>7656</v>
      </c>
      <c r="D355" t="s">
        <v>6654</v>
      </c>
      <c r="E355" t="s">
        <v>7657</v>
      </c>
      <c r="F355" t="s">
        <v>7658</v>
      </c>
      <c r="G355" t="s">
        <v>6586</v>
      </c>
    </row>
    <row r="356" spans="1:7">
      <c r="A356" t="s">
        <v>6581</v>
      </c>
      <c r="B356" s="1">
        <v>355</v>
      </c>
      <c r="C356" t="s">
        <v>7659</v>
      </c>
      <c r="D356" t="s">
        <v>6654</v>
      </c>
      <c r="E356" t="s">
        <v>7660</v>
      </c>
      <c r="F356" t="s">
        <v>7661</v>
      </c>
      <c r="G356" t="s">
        <v>6586</v>
      </c>
    </row>
    <row r="357" spans="1:7">
      <c r="A357" t="s">
        <v>6581</v>
      </c>
      <c r="B357" s="1">
        <v>356</v>
      </c>
      <c r="C357" t="s">
        <v>7662</v>
      </c>
      <c r="D357" t="s">
        <v>6605</v>
      </c>
      <c r="E357" t="s">
        <v>7663</v>
      </c>
      <c r="F357" t="s">
        <v>7664</v>
      </c>
      <c r="G357" t="s">
        <v>6586</v>
      </c>
    </row>
    <row r="358" spans="1:7">
      <c r="A358" t="s">
        <v>6581</v>
      </c>
      <c r="B358" s="1">
        <v>357</v>
      </c>
      <c r="C358" t="s">
        <v>7665</v>
      </c>
      <c r="D358" t="s">
        <v>6605</v>
      </c>
      <c r="E358" t="s">
        <v>7666</v>
      </c>
      <c r="F358" t="s">
        <v>7667</v>
      </c>
      <c r="G358" t="s">
        <v>6586</v>
      </c>
    </row>
    <row r="359" spans="1:7">
      <c r="A359" t="s">
        <v>6581</v>
      </c>
      <c r="B359" s="1">
        <v>358</v>
      </c>
      <c r="C359" t="s">
        <v>7668</v>
      </c>
      <c r="D359" t="s">
        <v>6654</v>
      </c>
      <c r="E359" t="s">
        <v>7669</v>
      </c>
      <c r="F359" t="s">
        <v>7670</v>
      </c>
      <c r="G359" t="s">
        <v>6586</v>
      </c>
    </row>
    <row r="360" spans="1:7">
      <c r="A360" t="s">
        <v>6581</v>
      </c>
      <c r="B360" s="1">
        <v>359</v>
      </c>
      <c r="C360" t="s">
        <v>7671</v>
      </c>
      <c r="D360" t="s">
        <v>6605</v>
      </c>
      <c r="E360" t="s">
        <v>7672</v>
      </c>
      <c r="F360" t="s">
        <v>7673</v>
      </c>
      <c r="G360" t="s">
        <v>6586</v>
      </c>
    </row>
    <row r="361" spans="1:7">
      <c r="A361" t="s">
        <v>6581</v>
      </c>
      <c r="B361" s="1">
        <v>360</v>
      </c>
      <c r="C361" t="s">
        <v>7674</v>
      </c>
      <c r="D361" t="s">
        <v>6654</v>
      </c>
      <c r="E361" t="s">
        <v>7675</v>
      </c>
      <c r="F361" t="s">
        <v>7676</v>
      </c>
      <c r="G361" t="s">
        <v>6586</v>
      </c>
    </row>
    <row r="362" spans="1:7">
      <c r="A362" t="s">
        <v>6581</v>
      </c>
      <c r="B362" s="1">
        <v>361</v>
      </c>
      <c r="C362" t="s">
        <v>7677</v>
      </c>
      <c r="D362" t="s">
        <v>6654</v>
      </c>
      <c r="E362" t="s">
        <v>7678</v>
      </c>
      <c r="F362" t="s">
        <v>7679</v>
      </c>
      <c r="G362" t="s">
        <v>6586</v>
      </c>
    </row>
    <row r="363" spans="1:7">
      <c r="A363" t="s">
        <v>6581</v>
      </c>
      <c r="B363" s="1">
        <v>362</v>
      </c>
      <c r="C363" t="s">
        <v>7680</v>
      </c>
      <c r="D363" t="s">
        <v>6771</v>
      </c>
      <c r="E363" t="s">
        <v>7681</v>
      </c>
      <c r="F363" t="s">
        <v>7682</v>
      </c>
      <c r="G363" t="s">
        <v>6586</v>
      </c>
    </row>
    <row r="364" spans="1:7">
      <c r="A364" t="s">
        <v>6581</v>
      </c>
      <c r="B364" s="1">
        <v>363</v>
      </c>
      <c r="C364" t="s">
        <v>7683</v>
      </c>
      <c r="D364" t="s">
        <v>6654</v>
      </c>
      <c r="E364" t="s">
        <v>7684</v>
      </c>
      <c r="F364" t="s">
        <v>7685</v>
      </c>
      <c r="G364" t="s">
        <v>6586</v>
      </c>
    </row>
    <row r="365" spans="1:7">
      <c r="A365" t="s">
        <v>6581</v>
      </c>
      <c r="B365" s="1">
        <v>364</v>
      </c>
      <c r="C365" t="s">
        <v>7686</v>
      </c>
      <c r="D365" t="s">
        <v>6654</v>
      </c>
      <c r="E365" t="s">
        <v>7687</v>
      </c>
      <c r="F365" t="s">
        <v>7688</v>
      </c>
      <c r="G365" t="s">
        <v>6586</v>
      </c>
    </row>
    <row r="366" spans="1:7">
      <c r="A366" t="s">
        <v>6581</v>
      </c>
      <c r="B366" s="1">
        <v>365</v>
      </c>
      <c r="C366" t="s">
        <v>7689</v>
      </c>
      <c r="D366" t="s">
        <v>6654</v>
      </c>
      <c r="E366" t="s">
        <v>7690</v>
      </c>
      <c r="F366" t="s">
        <v>7691</v>
      </c>
      <c r="G366" t="s">
        <v>6586</v>
      </c>
    </row>
    <row r="367" spans="1:7">
      <c r="A367" t="s">
        <v>6581</v>
      </c>
      <c r="B367" s="1">
        <v>366</v>
      </c>
      <c r="C367" t="s">
        <v>7692</v>
      </c>
      <c r="D367" t="s">
        <v>6605</v>
      </c>
      <c r="E367" t="s">
        <v>7693</v>
      </c>
      <c r="F367" t="s">
        <v>7694</v>
      </c>
      <c r="G367" t="s">
        <v>6586</v>
      </c>
    </row>
    <row r="368" spans="1:7">
      <c r="A368" t="s">
        <v>6581</v>
      </c>
      <c r="B368" s="1">
        <v>367</v>
      </c>
      <c r="C368" t="s">
        <v>7695</v>
      </c>
      <c r="D368" t="s">
        <v>6605</v>
      </c>
      <c r="E368" t="s">
        <v>7696</v>
      </c>
      <c r="F368" t="s">
        <v>7697</v>
      </c>
      <c r="G368" t="s">
        <v>6586</v>
      </c>
    </row>
    <row r="369" spans="1:7">
      <c r="A369" t="s">
        <v>6581</v>
      </c>
      <c r="B369" s="1">
        <v>368</v>
      </c>
      <c r="C369" t="s">
        <v>7698</v>
      </c>
      <c r="D369" t="s">
        <v>6605</v>
      </c>
      <c r="E369" t="s">
        <v>7699</v>
      </c>
      <c r="F369" t="s">
        <v>7700</v>
      </c>
      <c r="G369" t="s">
        <v>6586</v>
      </c>
    </row>
    <row r="370" spans="1:7">
      <c r="A370" t="s">
        <v>6581</v>
      </c>
      <c r="B370" s="1">
        <v>369</v>
      </c>
      <c r="C370" t="s">
        <v>7701</v>
      </c>
      <c r="D370" t="s">
        <v>6605</v>
      </c>
      <c r="E370" t="s">
        <v>7702</v>
      </c>
      <c r="F370" t="s">
        <v>7703</v>
      </c>
      <c r="G370" t="s">
        <v>6586</v>
      </c>
    </row>
    <row r="371" spans="1:7">
      <c r="A371" t="s">
        <v>6581</v>
      </c>
      <c r="B371" s="1">
        <v>370</v>
      </c>
      <c r="C371" t="s">
        <v>7704</v>
      </c>
      <c r="D371" t="s">
        <v>6605</v>
      </c>
      <c r="E371" t="s">
        <v>7705</v>
      </c>
      <c r="F371" t="s">
        <v>7706</v>
      </c>
      <c r="G371" t="s">
        <v>6586</v>
      </c>
    </row>
    <row r="372" spans="1:7">
      <c r="A372" t="s">
        <v>6581</v>
      </c>
      <c r="B372" s="1">
        <v>371</v>
      </c>
      <c r="C372" t="s">
        <v>7707</v>
      </c>
      <c r="D372" t="s">
        <v>6605</v>
      </c>
      <c r="E372" t="s">
        <v>7708</v>
      </c>
      <c r="F372" t="s">
        <v>7709</v>
      </c>
      <c r="G372" t="s">
        <v>6586</v>
      </c>
    </row>
    <row r="373" spans="1:7">
      <c r="A373" t="s">
        <v>6581</v>
      </c>
      <c r="B373" s="1">
        <v>372</v>
      </c>
      <c r="C373" t="s">
        <v>7710</v>
      </c>
      <c r="D373" t="s">
        <v>6695</v>
      </c>
      <c r="E373" t="s">
        <v>7711</v>
      </c>
      <c r="F373" t="s">
        <v>7712</v>
      </c>
      <c r="G373" t="s">
        <v>6586</v>
      </c>
    </row>
    <row r="374" spans="1:7">
      <c r="A374" t="s">
        <v>6581</v>
      </c>
      <c r="B374" s="1">
        <v>373</v>
      </c>
      <c r="C374" t="s">
        <v>7713</v>
      </c>
      <c r="D374" t="s">
        <v>6771</v>
      </c>
      <c r="E374" t="s">
        <v>7714</v>
      </c>
      <c r="F374" t="s">
        <v>7715</v>
      </c>
      <c r="G374" t="s">
        <v>6586</v>
      </c>
    </row>
    <row r="375" spans="1:7">
      <c r="A375" t="s">
        <v>6581</v>
      </c>
      <c r="B375" s="1">
        <v>374</v>
      </c>
      <c r="C375" t="s">
        <v>7716</v>
      </c>
      <c r="D375" t="s">
        <v>6734</v>
      </c>
      <c r="E375" t="s">
        <v>7717</v>
      </c>
      <c r="F375" t="s">
        <v>7718</v>
      </c>
      <c r="G375" t="s">
        <v>6586</v>
      </c>
    </row>
    <row r="376" spans="1:7">
      <c r="A376" t="s">
        <v>6581</v>
      </c>
      <c r="B376" s="1">
        <v>375</v>
      </c>
      <c r="C376" t="s">
        <v>7719</v>
      </c>
      <c r="D376" t="s">
        <v>6734</v>
      </c>
      <c r="E376" t="s">
        <v>7720</v>
      </c>
      <c r="F376" t="s">
        <v>7721</v>
      </c>
      <c r="G376" t="s">
        <v>6586</v>
      </c>
    </row>
    <row r="377" spans="1:7">
      <c r="A377" t="s">
        <v>6581</v>
      </c>
      <c r="B377" s="1">
        <v>376</v>
      </c>
      <c r="C377" t="s">
        <v>7722</v>
      </c>
      <c r="D377" t="s">
        <v>6734</v>
      </c>
      <c r="E377" t="s">
        <v>7723</v>
      </c>
      <c r="F377" t="s">
        <v>7724</v>
      </c>
      <c r="G377" t="s">
        <v>6586</v>
      </c>
    </row>
    <row r="378" spans="1:7">
      <c r="A378" t="s">
        <v>6581</v>
      </c>
      <c r="B378" s="1">
        <v>377</v>
      </c>
      <c r="C378" t="s">
        <v>7725</v>
      </c>
      <c r="D378" t="s">
        <v>6654</v>
      </c>
      <c r="E378" t="s">
        <v>7726</v>
      </c>
      <c r="F378" t="s">
        <v>7727</v>
      </c>
      <c r="G378" t="s">
        <v>6586</v>
      </c>
    </row>
    <row r="379" spans="1:7">
      <c r="A379" t="s">
        <v>6581</v>
      </c>
      <c r="B379" s="1">
        <v>378</v>
      </c>
      <c r="C379" t="s">
        <v>7728</v>
      </c>
      <c r="D379" t="s">
        <v>6609</v>
      </c>
      <c r="E379" t="s">
        <v>7729</v>
      </c>
      <c r="F379" t="s">
        <v>7730</v>
      </c>
      <c r="G379" t="s">
        <v>6586</v>
      </c>
    </row>
    <row r="380" spans="1:7">
      <c r="A380" t="s">
        <v>6581</v>
      </c>
      <c r="B380" s="1">
        <v>379</v>
      </c>
      <c r="C380" t="s">
        <v>7731</v>
      </c>
      <c r="D380" t="s">
        <v>6654</v>
      </c>
      <c r="E380" t="s">
        <v>7732</v>
      </c>
      <c r="F380" t="s">
        <v>7733</v>
      </c>
      <c r="G380" t="s">
        <v>6586</v>
      </c>
    </row>
    <row r="381" spans="1:7">
      <c r="A381" t="s">
        <v>6581</v>
      </c>
      <c r="B381" s="1">
        <v>380</v>
      </c>
      <c r="C381" t="s">
        <v>7734</v>
      </c>
      <c r="D381" t="s">
        <v>6695</v>
      </c>
      <c r="E381" t="s">
        <v>7735</v>
      </c>
      <c r="F381" t="s">
        <v>7736</v>
      </c>
      <c r="G381" t="s">
        <v>6586</v>
      </c>
    </row>
    <row r="382" spans="1:7">
      <c r="A382" t="s">
        <v>6581</v>
      </c>
      <c r="B382" s="1">
        <v>381</v>
      </c>
      <c r="C382" t="s">
        <v>7737</v>
      </c>
      <c r="D382" t="s">
        <v>6605</v>
      </c>
      <c r="E382" t="s">
        <v>7738</v>
      </c>
      <c r="F382" t="s">
        <v>7739</v>
      </c>
      <c r="G382" t="s">
        <v>6586</v>
      </c>
    </row>
    <row r="383" spans="1:7">
      <c r="A383" t="s">
        <v>6581</v>
      </c>
      <c r="B383" s="1">
        <v>382</v>
      </c>
      <c r="C383" t="s">
        <v>7740</v>
      </c>
      <c r="D383" t="s">
        <v>6605</v>
      </c>
      <c r="E383" t="s">
        <v>7741</v>
      </c>
      <c r="F383" t="s">
        <v>7742</v>
      </c>
      <c r="G383" t="s">
        <v>6586</v>
      </c>
    </row>
    <row r="384" spans="1:7">
      <c r="A384" t="s">
        <v>6581</v>
      </c>
      <c r="B384" s="1">
        <v>383</v>
      </c>
      <c r="C384" t="s">
        <v>7743</v>
      </c>
      <c r="D384" t="s">
        <v>6771</v>
      </c>
      <c r="E384" t="s">
        <v>7744</v>
      </c>
      <c r="F384" t="s">
        <v>7745</v>
      </c>
      <c r="G384" t="s">
        <v>6586</v>
      </c>
    </row>
    <row r="385" spans="1:7">
      <c r="A385" t="s">
        <v>6581</v>
      </c>
      <c r="B385" s="1">
        <v>384</v>
      </c>
      <c r="C385" t="s">
        <v>7746</v>
      </c>
      <c r="D385" t="s">
        <v>6734</v>
      </c>
      <c r="E385" t="s">
        <v>7747</v>
      </c>
      <c r="F385" t="s">
        <v>7748</v>
      </c>
      <c r="G385" t="s">
        <v>6586</v>
      </c>
    </row>
    <row r="386" spans="1:7">
      <c r="A386" t="s">
        <v>6581</v>
      </c>
      <c r="B386" s="1">
        <v>385</v>
      </c>
      <c r="C386" t="s">
        <v>7749</v>
      </c>
      <c r="D386" t="s">
        <v>6734</v>
      </c>
      <c r="E386" t="s">
        <v>7750</v>
      </c>
      <c r="F386" t="s">
        <v>7751</v>
      </c>
      <c r="G386" t="s">
        <v>6586</v>
      </c>
    </row>
    <row r="387" spans="1:7">
      <c r="A387" t="s">
        <v>6581</v>
      </c>
      <c r="B387" s="1">
        <v>386</v>
      </c>
      <c r="C387" t="s">
        <v>7752</v>
      </c>
      <c r="D387" t="s">
        <v>6605</v>
      </c>
      <c r="E387" t="s">
        <v>7753</v>
      </c>
      <c r="F387" t="s">
        <v>7754</v>
      </c>
      <c r="G387" t="s">
        <v>6586</v>
      </c>
    </row>
    <row r="388" spans="1:7">
      <c r="A388" t="s">
        <v>6581</v>
      </c>
      <c r="B388" s="1">
        <v>387</v>
      </c>
      <c r="C388" t="s">
        <v>7755</v>
      </c>
      <c r="D388" t="s">
        <v>6605</v>
      </c>
      <c r="E388" t="s">
        <v>7756</v>
      </c>
      <c r="F388" t="s">
        <v>7757</v>
      </c>
      <c r="G388" t="s">
        <v>6586</v>
      </c>
    </row>
    <row r="389" spans="1:7">
      <c r="A389" t="s">
        <v>6581</v>
      </c>
      <c r="B389" s="1">
        <v>388</v>
      </c>
      <c r="C389" t="s">
        <v>7758</v>
      </c>
      <c r="D389" t="s">
        <v>6695</v>
      </c>
      <c r="E389" t="s">
        <v>7759</v>
      </c>
      <c r="F389" t="s">
        <v>7760</v>
      </c>
      <c r="G389" t="s">
        <v>6586</v>
      </c>
    </row>
    <row r="390" spans="1:7">
      <c r="A390" t="s">
        <v>6581</v>
      </c>
      <c r="B390" s="1">
        <v>389</v>
      </c>
      <c r="C390" t="s">
        <v>7761</v>
      </c>
      <c r="D390" t="s">
        <v>6605</v>
      </c>
      <c r="E390" t="s">
        <v>7762</v>
      </c>
      <c r="F390" t="s">
        <v>7763</v>
      </c>
      <c r="G390" t="s">
        <v>6586</v>
      </c>
    </row>
    <row r="391" spans="1:7">
      <c r="A391" t="s">
        <v>6581</v>
      </c>
      <c r="B391" s="1">
        <v>390</v>
      </c>
      <c r="C391" t="s">
        <v>7764</v>
      </c>
      <c r="D391" t="s">
        <v>6734</v>
      </c>
      <c r="E391" t="s">
        <v>7765</v>
      </c>
      <c r="F391" t="s">
        <v>7766</v>
      </c>
      <c r="G391" t="s">
        <v>6586</v>
      </c>
    </row>
    <row r="392" spans="1:7">
      <c r="A392" t="s">
        <v>6581</v>
      </c>
      <c r="B392" s="1">
        <v>391</v>
      </c>
      <c r="C392" t="s">
        <v>7767</v>
      </c>
      <c r="D392" t="s">
        <v>6605</v>
      </c>
      <c r="E392" t="s">
        <v>7768</v>
      </c>
      <c r="F392" t="s">
        <v>7769</v>
      </c>
      <c r="G392" t="s">
        <v>6586</v>
      </c>
    </row>
    <row r="393" spans="1:7">
      <c r="A393" t="s">
        <v>6581</v>
      </c>
      <c r="B393" s="1">
        <v>392</v>
      </c>
      <c r="C393" t="s">
        <v>7770</v>
      </c>
      <c r="D393" t="s">
        <v>6695</v>
      </c>
      <c r="E393" t="s">
        <v>7771</v>
      </c>
      <c r="F393" t="s">
        <v>7772</v>
      </c>
      <c r="G393" t="s">
        <v>6586</v>
      </c>
    </row>
    <row r="394" spans="1:7">
      <c r="A394" t="s">
        <v>6581</v>
      </c>
      <c r="B394" s="1">
        <v>393</v>
      </c>
      <c r="C394" t="s">
        <v>7773</v>
      </c>
      <c r="D394" t="s">
        <v>6695</v>
      </c>
      <c r="E394" t="s">
        <v>7774</v>
      </c>
      <c r="F394" t="s">
        <v>7775</v>
      </c>
      <c r="G394" t="s">
        <v>6586</v>
      </c>
    </row>
    <row r="395" spans="1:7">
      <c r="A395" t="s">
        <v>6581</v>
      </c>
      <c r="B395" s="1">
        <v>394</v>
      </c>
      <c r="C395" t="s">
        <v>7776</v>
      </c>
      <c r="D395" t="s">
        <v>6771</v>
      </c>
      <c r="E395" t="s">
        <v>7777</v>
      </c>
      <c r="F395" t="s">
        <v>7778</v>
      </c>
      <c r="G395" t="s">
        <v>6586</v>
      </c>
    </row>
    <row r="396" spans="1:7">
      <c r="A396" t="s">
        <v>6581</v>
      </c>
      <c r="B396" s="1">
        <v>395</v>
      </c>
      <c r="C396" t="s">
        <v>7779</v>
      </c>
      <c r="D396" t="s">
        <v>6605</v>
      </c>
      <c r="E396" t="s">
        <v>7780</v>
      </c>
      <c r="F396" t="s">
        <v>7781</v>
      </c>
      <c r="G396" t="s">
        <v>6586</v>
      </c>
    </row>
    <row r="397" spans="1:7">
      <c r="A397" t="s">
        <v>6581</v>
      </c>
      <c r="B397" s="1">
        <v>396</v>
      </c>
      <c r="C397" t="s">
        <v>7782</v>
      </c>
      <c r="D397" t="s">
        <v>6734</v>
      </c>
      <c r="E397" t="s">
        <v>7783</v>
      </c>
      <c r="F397" t="s">
        <v>7784</v>
      </c>
      <c r="G397" t="s">
        <v>6586</v>
      </c>
    </row>
    <row r="398" spans="1:7">
      <c r="A398" t="s">
        <v>6581</v>
      </c>
      <c r="B398" s="1">
        <v>397</v>
      </c>
      <c r="C398" t="s">
        <v>7785</v>
      </c>
      <c r="D398" t="s">
        <v>6734</v>
      </c>
      <c r="E398" t="s">
        <v>7786</v>
      </c>
      <c r="F398" t="s">
        <v>7787</v>
      </c>
      <c r="G398" t="s">
        <v>6586</v>
      </c>
    </row>
    <row r="399" spans="1:7">
      <c r="A399" t="s">
        <v>6581</v>
      </c>
      <c r="B399" s="1">
        <v>398</v>
      </c>
      <c r="C399" t="s">
        <v>7788</v>
      </c>
      <c r="D399" t="s">
        <v>6734</v>
      </c>
      <c r="E399" t="s">
        <v>7789</v>
      </c>
      <c r="F399" t="s">
        <v>7790</v>
      </c>
      <c r="G399" t="s">
        <v>6586</v>
      </c>
    </row>
    <row r="400" spans="1:7">
      <c r="A400" t="s">
        <v>6581</v>
      </c>
      <c r="B400" s="1">
        <v>399</v>
      </c>
      <c r="C400" t="s">
        <v>7791</v>
      </c>
      <c r="D400" t="s">
        <v>6734</v>
      </c>
      <c r="E400" t="s">
        <v>7792</v>
      </c>
      <c r="F400" t="s">
        <v>7793</v>
      </c>
      <c r="G400" t="s">
        <v>6586</v>
      </c>
    </row>
    <row r="401" spans="1:7">
      <c r="A401" t="s">
        <v>6581</v>
      </c>
      <c r="B401" s="1">
        <v>400</v>
      </c>
      <c r="C401" t="s">
        <v>7794</v>
      </c>
      <c r="D401" t="s">
        <v>6734</v>
      </c>
      <c r="E401" t="s">
        <v>7795</v>
      </c>
      <c r="F401" t="s">
        <v>7796</v>
      </c>
      <c r="G401" t="s">
        <v>6586</v>
      </c>
    </row>
    <row r="402" spans="1:7">
      <c r="A402" t="s">
        <v>6581</v>
      </c>
      <c r="B402" s="1">
        <v>401</v>
      </c>
      <c r="C402" t="s">
        <v>7797</v>
      </c>
      <c r="D402" t="s">
        <v>6734</v>
      </c>
      <c r="E402" t="s">
        <v>7798</v>
      </c>
      <c r="F402" t="s">
        <v>7799</v>
      </c>
      <c r="G402" t="s">
        <v>6586</v>
      </c>
    </row>
    <row r="403" spans="1:7">
      <c r="A403" t="s">
        <v>6581</v>
      </c>
      <c r="B403" s="1">
        <v>402</v>
      </c>
      <c r="C403" t="s">
        <v>7800</v>
      </c>
      <c r="D403" t="s">
        <v>6734</v>
      </c>
      <c r="E403" t="s">
        <v>7801</v>
      </c>
      <c r="F403" t="s">
        <v>7802</v>
      </c>
      <c r="G403" t="s">
        <v>6586</v>
      </c>
    </row>
    <row r="404" spans="1:7">
      <c r="A404" t="s">
        <v>6581</v>
      </c>
      <c r="B404" s="1">
        <v>403</v>
      </c>
      <c r="C404" t="s">
        <v>7803</v>
      </c>
      <c r="D404" t="s">
        <v>6734</v>
      </c>
      <c r="E404" t="s">
        <v>7804</v>
      </c>
      <c r="F404" t="s">
        <v>7805</v>
      </c>
      <c r="G404" t="s">
        <v>6586</v>
      </c>
    </row>
    <row r="405" spans="1:7">
      <c r="A405" t="s">
        <v>6581</v>
      </c>
      <c r="B405" s="1">
        <v>404</v>
      </c>
      <c r="C405" t="s">
        <v>7806</v>
      </c>
      <c r="D405" t="s">
        <v>6695</v>
      </c>
      <c r="E405" t="s">
        <v>7807</v>
      </c>
      <c r="F405" t="s">
        <v>7808</v>
      </c>
      <c r="G405" t="s">
        <v>6586</v>
      </c>
    </row>
    <row r="406" spans="1:7">
      <c r="A406" t="s">
        <v>6581</v>
      </c>
      <c r="B406" s="1">
        <v>405</v>
      </c>
      <c r="C406" t="s">
        <v>7809</v>
      </c>
      <c r="D406" t="s">
        <v>6605</v>
      </c>
      <c r="E406" t="s">
        <v>7810</v>
      </c>
      <c r="F406" t="s">
        <v>7811</v>
      </c>
      <c r="G406" t="s">
        <v>6586</v>
      </c>
    </row>
    <row r="407" spans="1:7">
      <c r="A407" t="s">
        <v>6581</v>
      </c>
      <c r="B407" s="1">
        <v>406</v>
      </c>
      <c r="C407" t="s">
        <v>7812</v>
      </c>
      <c r="D407" t="s">
        <v>6609</v>
      </c>
      <c r="E407" t="s">
        <v>7813</v>
      </c>
      <c r="F407" t="s">
        <v>7814</v>
      </c>
      <c r="G407" t="s">
        <v>6586</v>
      </c>
    </row>
    <row r="408" spans="1:7">
      <c r="A408" t="s">
        <v>6581</v>
      </c>
      <c r="B408" s="1">
        <v>407</v>
      </c>
      <c r="C408" t="s">
        <v>6852</v>
      </c>
      <c r="D408" t="s">
        <v>6609</v>
      </c>
      <c r="E408" t="s">
        <v>7815</v>
      </c>
      <c r="F408" t="s">
        <v>7816</v>
      </c>
      <c r="G408" t="s">
        <v>6586</v>
      </c>
    </row>
    <row r="409" spans="1:7">
      <c r="A409" t="s">
        <v>6581</v>
      </c>
      <c r="B409" s="1">
        <v>408</v>
      </c>
      <c r="C409" t="s">
        <v>7817</v>
      </c>
      <c r="D409" t="s">
        <v>6609</v>
      </c>
      <c r="E409" t="s">
        <v>7818</v>
      </c>
      <c r="F409" t="s">
        <v>7819</v>
      </c>
      <c r="G409" t="s">
        <v>6586</v>
      </c>
    </row>
    <row r="410" spans="1:7">
      <c r="A410" t="s">
        <v>6581</v>
      </c>
      <c r="B410" s="1">
        <v>409</v>
      </c>
      <c r="C410" t="s">
        <v>7820</v>
      </c>
      <c r="D410" t="s">
        <v>6771</v>
      </c>
      <c r="E410" t="s">
        <v>7821</v>
      </c>
      <c r="F410" t="s">
        <v>7822</v>
      </c>
      <c r="G410" t="s">
        <v>6586</v>
      </c>
    </row>
    <row r="411" spans="1:7">
      <c r="A411" t="s">
        <v>6581</v>
      </c>
      <c r="B411" s="1">
        <v>410</v>
      </c>
      <c r="C411" t="s">
        <v>7823</v>
      </c>
      <c r="D411" t="s">
        <v>6605</v>
      </c>
      <c r="E411" t="s">
        <v>7824</v>
      </c>
      <c r="F411" t="s">
        <v>7825</v>
      </c>
      <c r="G411" t="s">
        <v>6586</v>
      </c>
    </row>
    <row r="412" spans="1:7">
      <c r="A412" t="s">
        <v>6581</v>
      </c>
      <c r="B412" s="1">
        <v>411</v>
      </c>
      <c r="C412" t="s">
        <v>7826</v>
      </c>
      <c r="D412" t="s">
        <v>6771</v>
      </c>
      <c r="E412" t="s">
        <v>7827</v>
      </c>
      <c r="F412" t="s">
        <v>7828</v>
      </c>
      <c r="G412" t="s">
        <v>6586</v>
      </c>
    </row>
    <row r="413" spans="1:7">
      <c r="A413" t="s">
        <v>6581</v>
      </c>
      <c r="B413" s="1">
        <v>412</v>
      </c>
      <c r="C413" t="s">
        <v>7829</v>
      </c>
      <c r="D413" t="s">
        <v>6734</v>
      </c>
      <c r="E413" t="s">
        <v>7830</v>
      </c>
      <c r="F413" t="s">
        <v>7831</v>
      </c>
      <c r="G413" t="s">
        <v>6586</v>
      </c>
    </row>
    <row r="414" spans="1:7">
      <c r="A414" t="s">
        <v>6581</v>
      </c>
      <c r="B414" s="1">
        <v>413</v>
      </c>
      <c r="C414" t="s">
        <v>7832</v>
      </c>
      <c r="D414" t="s">
        <v>6734</v>
      </c>
      <c r="E414" t="s">
        <v>7833</v>
      </c>
      <c r="F414" t="s">
        <v>7834</v>
      </c>
      <c r="G414" t="s">
        <v>6586</v>
      </c>
    </row>
    <row r="415" spans="1:7">
      <c r="A415" t="s">
        <v>6581</v>
      </c>
      <c r="B415" s="1">
        <v>414</v>
      </c>
      <c r="C415" t="s">
        <v>7835</v>
      </c>
      <c r="D415" t="s">
        <v>6609</v>
      </c>
      <c r="E415" t="s">
        <v>7836</v>
      </c>
      <c r="F415" t="s">
        <v>7837</v>
      </c>
      <c r="G415" t="s">
        <v>6586</v>
      </c>
    </row>
    <row r="416" spans="1:7">
      <c r="A416" t="s">
        <v>6581</v>
      </c>
      <c r="B416" s="1">
        <v>415</v>
      </c>
      <c r="C416" t="s">
        <v>7838</v>
      </c>
      <c r="D416" t="s">
        <v>6734</v>
      </c>
      <c r="E416" t="s">
        <v>7839</v>
      </c>
      <c r="F416" t="s">
        <v>7840</v>
      </c>
      <c r="G416" t="s">
        <v>6586</v>
      </c>
    </row>
    <row r="417" spans="1:7">
      <c r="A417" t="s">
        <v>6581</v>
      </c>
      <c r="B417" s="1">
        <v>416</v>
      </c>
      <c r="C417" t="s">
        <v>7841</v>
      </c>
      <c r="D417" t="s">
        <v>6695</v>
      </c>
      <c r="E417" t="s">
        <v>7842</v>
      </c>
      <c r="F417" t="s">
        <v>7843</v>
      </c>
      <c r="G417" t="s">
        <v>6586</v>
      </c>
    </row>
    <row r="418" spans="1:7">
      <c r="A418" t="s">
        <v>6581</v>
      </c>
      <c r="B418" s="1">
        <v>417</v>
      </c>
      <c r="C418" t="s">
        <v>7844</v>
      </c>
      <c r="D418" t="s">
        <v>6695</v>
      </c>
      <c r="E418" t="s">
        <v>7845</v>
      </c>
      <c r="F418" t="s">
        <v>7846</v>
      </c>
      <c r="G418" t="s">
        <v>6586</v>
      </c>
    </row>
    <row r="419" spans="1:7">
      <c r="A419" t="s">
        <v>6581</v>
      </c>
      <c r="B419" s="1">
        <v>418</v>
      </c>
      <c r="C419" t="s">
        <v>7847</v>
      </c>
      <c r="D419" t="s">
        <v>6771</v>
      </c>
      <c r="E419" t="s">
        <v>7848</v>
      </c>
      <c r="F419" t="s">
        <v>7849</v>
      </c>
      <c r="G419" t="s">
        <v>6586</v>
      </c>
    </row>
    <row r="420" spans="1:7">
      <c r="A420" t="s">
        <v>6581</v>
      </c>
      <c r="B420" s="1">
        <v>419</v>
      </c>
      <c r="C420" t="s">
        <v>7850</v>
      </c>
      <c r="D420" t="s">
        <v>6734</v>
      </c>
      <c r="E420" t="s">
        <v>7851</v>
      </c>
      <c r="F420" t="s">
        <v>7852</v>
      </c>
      <c r="G420" t="s">
        <v>6586</v>
      </c>
    </row>
    <row r="421" spans="1:7">
      <c r="A421" t="s">
        <v>6581</v>
      </c>
      <c r="B421" s="1">
        <v>420</v>
      </c>
      <c r="C421" t="s">
        <v>7853</v>
      </c>
      <c r="D421" t="s">
        <v>6734</v>
      </c>
      <c r="E421" t="s">
        <v>7854</v>
      </c>
      <c r="F421" t="s">
        <v>7855</v>
      </c>
      <c r="G421" t="s">
        <v>6586</v>
      </c>
    </row>
    <row r="422" spans="1:7">
      <c r="A422" t="s">
        <v>6581</v>
      </c>
      <c r="B422" s="1">
        <v>421</v>
      </c>
      <c r="C422" t="s">
        <v>7856</v>
      </c>
      <c r="D422" t="s">
        <v>6605</v>
      </c>
      <c r="E422" t="s">
        <v>7857</v>
      </c>
      <c r="F422" t="s">
        <v>7858</v>
      </c>
      <c r="G422" t="s">
        <v>6586</v>
      </c>
    </row>
    <row r="423" spans="1:7">
      <c r="A423" t="s">
        <v>6581</v>
      </c>
      <c r="B423" s="1">
        <v>422</v>
      </c>
      <c r="C423" t="s">
        <v>7859</v>
      </c>
      <c r="D423" t="s">
        <v>6609</v>
      </c>
      <c r="E423" t="s">
        <v>7860</v>
      </c>
      <c r="F423" t="s">
        <v>7861</v>
      </c>
      <c r="G423" t="s">
        <v>6586</v>
      </c>
    </row>
    <row r="424" spans="1:7">
      <c r="A424" t="s">
        <v>6581</v>
      </c>
      <c r="B424" s="1">
        <v>423</v>
      </c>
      <c r="C424" t="s">
        <v>7862</v>
      </c>
      <c r="D424" t="s">
        <v>6609</v>
      </c>
      <c r="E424" t="s">
        <v>7863</v>
      </c>
      <c r="F424" t="s">
        <v>7864</v>
      </c>
      <c r="G424" t="s">
        <v>6586</v>
      </c>
    </row>
    <row r="425" spans="1:7">
      <c r="A425" t="s">
        <v>6581</v>
      </c>
      <c r="B425" s="1">
        <v>424</v>
      </c>
      <c r="C425" t="s">
        <v>7865</v>
      </c>
      <c r="D425" t="s">
        <v>6609</v>
      </c>
      <c r="E425" t="s">
        <v>7866</v>
      </c>
      <c r="F425" t="s">
        <v>7867</v>
      </c>
      <c r="G425" t="s">
        <v>6586</v>
      </c>
    </row>
    <row r="426" spans="1:7">
      <c r="A426" t="s">
        <v>6581</v>
      </c>
      <c r="B426" s="1">
        <v>425</v>
      </c>
      <c r="C426" t="s">
        <v>7868</v>
      </c>
      <c r="D426" t="s">
        <v>6771</v>
      </c>
      <c r="E426" t="s">
        <v>7869</v>
      </c>
      <c r="F426" t="s">
        <v>7870</v>
      </c>
      <c r="G426" t="s">
        <v>6586</v>
      </c>
    </row>
    <row r="427" spans="1:7">
      <c r="A427" t="s">
        <v>6581</v>
      </c>
      <c r="B427" s="1">
        <v>426</v>
      </c>
      <c r="C427" t="s">
        <v>7871</v>
      </c>
      <c r="D427" t="s">
        <v>6771</v>
      </c>
      <c r="E427" t="s">
        <v>7872</v>
      </c>
      <c r="F427" t="s">
        <v>7873</v>
      </c>
      <c r="G427" t="s">
        <v>6586</v>
      </c>
    </row>
    <row r="428" spans="1:7">
      <c r="A428" t="s">
        <v>6581</v>
      </c>
      <c r="B428" s="1">
        <v>427</v>
      </c>
      <c r="C428" t="s">
        <v>7874</v>
      </c>
      <c r="D428" t="s">
        <v>6605</v>
      </c>
      <c r="E428" t="s">
        <v>7875</v>
      </c>
      <c r="F428" t="s">
        <v>7876</v>
      </c>
      <c r="G428" t="s">
        <v>6586</v>
      </c>
    </row>
    <row r="429" spans="1:7">
      <c r="A429" t="s">
        <v>6581</v>
      </c>
      <c r="B429" s="1">
        <v>428</v>
      </c>
      <c r="C429" t="s">
        <v>7877</v>
      </c>
      <c r="D429" t="s">
        <v>6609</v>
      </c>
      <c r="E429" t="s">
        <v>7878</v>
      </c>
      <c r="F429" t="s">
        <v>7879</v>
      </c>
      <c r="G429" t="s">
        <v>6586</v>
      </c>
    </row>
    <row r="430" spans="1:7">
      <c r="A430" t="s">
        <v>6581</v>
      </c>
      <c r="B430" s="1">
        <v>429</v>
      </c>
      <c r="C430" t="s">
        <v>7880</v>
      </c>
      <c r="D430" t="s">
        <v>6734</v>
      </c>
      <c r="E430" t="s">
        <v>7881</v>
      </c>
      <c r="F430" t="s">
        <v>7882</v>
      </c>
      <c r="G430" t="s">
        <v>6586</v>
      </c>
    </row>
    <row r="431" spans="1:7">
      <c r="A431" t="s">
        <v>6581</v>
      </c>
      <c r="B431" s="1">
        <v>430</v>
      </c>
      <c r="C431" t="s">
        <v>7883</v>
      </c>
      <c r="D431" t="s">
        <v>6734</v>
      </c>
      <c r="E431" t="s">
        <v>7884</v>
      </c>
      <c r="F431" t="s">
        <v>7885</v>
      </c>
      <c r="G431" t="s">
        <v>6586</v>
      </c>
    </row>
    <row r="432" spans="1:7">
      <c r="A432" t="s">
        <v>6581</v>
      </c>
      <c r="B432" s="1">
        <v>431</v>
      </c>
      <c r="C432" t="s">
        <v>7886</v>
      </c>
      <c r="D432" t="s">
        <v>6734</v>
      </c>
      <c r="E432" t="s">
        <v>7887</v>
      </c>
      <c r="F432" t="s">
        <v>7888</v>
      </c>
      <c r="G432" t="s">
        <v>6586</v>
      </c>
    </row>
    <row r="433" spans="1:7">
      <c r="A433" t="s">
        <v>6581</v>
      </c>
      <c r="B433" s="1">
        <v>432</v>
      </c>
      <c r="C433" t="s">
        <v>7889</v>
      </c>
      <c r="D433" t="s">
        <v>6734</v>
      </c>
      <c r="E433" t="s">
        <v>7890</v>
      </c>
      <c r="F433" t="s">
        <v>7891</v>
      </c>
      <c r="G433" t="s">
        <v>6586</v>
      </c>
    </row>
    <row r="434" spans="1:7">
      <c r="A434" t="s">
        <v>6581</v>
      </c>
      <c r="B434" s="1">
        <v>433</v>
      </c>
      <c r="C434" t="s">
        <v>7892</v>
      </c>
      <c r="D434" t="s">
        <v>6734</v>
      </c>
      <c r="E434" t="s">
        <v>7893</v>
      </c>
      <c r="F434" t="s">
        <v>7894</v>
      </c>
      <c r="G434" t="s">
        <v>6586</v>
      </c>
    </row>
    <row r="435" spans="1:7">
      <c r="A435" t="s">
        <v>6581</v>
      </c>
      <c r="B435" s="1">
        <v>434</v>
      </c>
      <c r="C435" t="s">
        <v>7895</v>
      </c>
      <c r="D435" t="s">
        <v>6605</v>
      </c>
      <c r="E435" t="s">
        <v>7896</v>
      </c>
      <c r="F435" t="s">
        <v>7897</v>
      </c>
      <c r="G435" t="s">
        <v>6586</v>
      </c>
    </row>
    <row r="436" spans="1:7">
      <c r="A436" t="s">
        <v>6581</v>
      </c>
      <c r="B436" s="1">
        <v>435</v>
      </c>
      <c r="C436" t="s">
        <v>7898</v>
      </c>
      <c r="D436" t="s">
        <v>6771</v>
      </c>
      <c r="E436" t="s">
        <v>7899</v>
      </c>
      <c r="F436" t="s">
        <v>7900</v>
      </c>
      <c r="G436" t="s">
        <v>6586</v>
      </c>
    </row>
    <row r="437" spans="1:7">
      <c r="A437" t="s">
        <v>6581</v>
      </c>
      <c r="B437" s="1">
        <v>436</v>
      </c>
      <c r="C437" t="s">
        <v>7901</v>
      </c>
      <c r="D437" t="s">
        <v>6609</v>
      </c>
      <c r="E437" t="s">
        <v>7902</v>
      </c>
      <c r="F437" t="s">
        <v>7903</v>
      </c>
      <c r="G437" t="s">
        <v>6586</v>
      </c>
    </row>
    <row r="438" spans="1:7">
      <c r="A438" t="s">
        <v>6581</v>
      </c>
      <c r="B438" s="1">
        <v>437</v>
      </c>
      <c r="C438" t="s">
        <v>7904</v>
      </c>
      <c r="D438" t="s">
        <v>6609</v>
      </c>
      <c r="E438" t="s">
        <v>7905</v>
      </c>
      <c r="F438" t="s">
        <v>7906</v>
      </c>
      <c r="G438" t="s">
        <v>6586</v>
      </c>
    </row>
    <row r="439" spans="1:7">
      <c r="A439" t="s">
        <v>6581</v>
      </c>
      <c r="B439" s="1">
        <v>438</v>
      </c>
      <c r="C439" t="s">
        <v>7907</v>
      </c>
      <c r="D439" t="s">
        <v>6695</v>
      </c>
      <c r="E439" t="s">
        <v>7908</v>
      </c>
      <c r="F439" t="s">
        <v>7909</v>
      </c>
      <c r="G439" t="s">
        <v>6586</v>
      </c>
    </row>
    <row r="440" spans="1:7">
      <c r="A440" t="s">
        <v>6581</v>
      </c>
      <c r="B440" s="1">
        <v>439</v>
      </c>
      <c r="C440" t="s">
        <v>7910</v>
      </c>
      <c r="D440" t="s">
        <v>6771</v>
      </c>
      <c r="E440" t="s">
        <v>7911</v>
      </c>
      <c r="F440" t="s">
        <v>7912</v>
      </c>
      <c r="G440" t="s">
        <v>6586</v>
      </c>
    </row>
    <row r="441" spans="1:7">
      <c r="A441" t="s">
        <v>6581</v>
      </c>
      <c r="B441" s="1">
        <v>440</v>
      </c>
      <c r="C441" t="s">
        <v>7913</v>
      </c>
      <c r="D441" t="s">
        <v>6771</v>
      </c>
      <c r="E441" t="s">
        <v>7914</v>
      </c>
      <c r="F441" t="s">
        <v>7915</v>
      </c>
      <c r="G441" t="s">
        <v>6586</v>
      </c>
    </row>
    <row r="442" spans="1:7">
      <c r="A442" t="s">
        <v>6581</v>
      </c>
      <c r="B442" s="1">
        <v>441</v>
      </c>
      <c r="C442" t="s">
        <v>7916</v>
      </c>
      <c r="D442" t="s">
        <v>6771</v>
      </c>
      <c r="E442" t="s">
        <v>7917</v>
      </c>
      <c r="F442" t="s">
        <v>7918</v>
      </c>
      <c r="G442" t="s">
        <v>6586</v>
      </c>
    </row>
    <row r="443" spans="1:7">
      <c r="A443" t="s">
        <v>6581</v>
      </c>
      <c r="B443" s="1">
        <v>442</v>
      </c>
      <c r="C443" t="s">
        <v>7919</v>
      </c>
      <c r="D443" t="s">
        <v>6598</v>
      </c>
      <c r="E443" t="s">
        <v>7920</v>
      </c>
      <c r="F443" t="s">
        <v>7921</v>
      </c>
      <c r="G443" t="s">
        <v>6586</v>
      </c>
    </row>
    <row r="444" spans="1:7">
      <c r="A444" t="s">
        <v>6581</v>
      </c>
      <c r="B444" s="1">
        <v>443</v>
      </c>
      <c r="C444" t="s">
        <v>7922</v>
      </c>
      <c r="D444" t="s">
        <v>6605</v>
      </c>
      <c r="E444" t="s">
        <v>7923</v>
      </c>
      <c r="F444" t="s">
        <v>7924</v>
      </c>
      <c r="G444" t="s">
        <v>6586</v>
      </c>
    </row>
    <row r="445" spans="1:7">
      <c r="A445" t="s">
        <v>6581</v>
      </c>
      <c r="B445" s="1">
        <v>444</v>
      </c>
      <c r="C445" t="s">
        <v>7925</v>
      </c>
      <c r="D445" t="s">
        <v>6734</v>
      </c>
      <c r="E445" t="s">
        <v>7926</v>
      </c>
      <c r="F445" t="s">
        <v>7927</v>
      </c>
      <c r="G445" t="s">
        <v>6586</v>
      </c>
    </row>
    <row r="446" spans="1:7">
      <c r="A446" t="s">
        <v>6581</v>
      </c>
      <c r="B446" s="1">
        <v>445</v>
      </c>
      <c r="C446" t="s">
        <v>7928</v>
      </c>
      <c r="D446" t="s">
        <v>6734</v>
      </c>
      <c r="E446" t="s">
        <v>7929</v>
      </c>
      <c r="F446" t="s">
        <v>7930</v>
      </c>
      <c r="G446" t="s">
        <v>6586</v>
      </c>
    </row>
    <row r="447" spans="1:7">
      <c r="A447" t="s">
        <v>6581</v>
      </c>
      <c r="B447" s="1">
        <v>446</v>
      </c>
      <c r="C447" t="s">
        <v>7931</v>
      </c>
      <c r="D447" t="s">
        <v>6734</v>
      </c>
      <c r="E447" t="s">
        <v>7932</v>
      </c>
      <c r="F447" t="s">
        <v>7933</v>
      </c>
      <c r="G447" t="s">
        <v>6586</v>
      </c>
    </row>
    <row r="448" spans="1:7">
      <c r="A448" t="s">
        <v>6581</v>
      </c>
      <c r="B448" s="1">
        <v>447</v>
      </c>
      <c r="C448" t="s">
        <v>7934</v>
      </c>
      <c r="D448" t="s">
        <v>6654</v>
      </c>
      <c r="E448" t="s">
        <v>7935</v>
      </c>
      <c r="F448" t="s">
        <v>7936</v>
      </c>
      <c r="G448" t="s">
        <v>6586</v>
      </c>
    </row>
    <row r="449" spans="1:7">
      <c r="A449" t="s">
        <v>6581</v>
      </c>
      <c r="B449" s="1">
        <v>448</v>
      </c>
      <c r="C449" t="s">
        <v>7937</v>
      </c>
      <c r="D449" t="s">
        <v>6734</v>
      </c>
      <c r="E449" t="s">
        <v>7938</v>
      </c>
      <c r="F449" t="s">
        <v>7939</v>
      </c>
      <c r="G449" t="s">
        <v>6586</v>
      </c>
    </row>
    <row r="450" spans="1:7">
      <c r="A450" t="s">
        <v>6581</v>
      </c>
      <c r="B450" s="1">
        <v>449</v>
      </c>
      <c r="C450" t="s">
        <v>7940</v>
      </c>
      <c r="D450" t="s">
        <v>6771</v>
      </c>
      <c r="E450" t="s">
        <v>7941</v>
      </c>
      <c r="F450" t="s">
        <v>7942</v>
      </c>
      <c r="G450" t="s">
        <v>6586</v>
      </c>
    </row>
    <row r="451" spans="1:7">
      <c r="A451" t="s">
        <v>6581</v>
      </c>
      <c r="B451" s="1">
        <v>450</v>
      </c>
      <c r="C451" t="s">
        <v>7943</v>
      </c>
      <c r="D451" t="s">
        <v>6705</v>
      </c>
      <c r="E451" t="s">
        <v>7944</v>
      </c>
      <c r="F451" t="s">
        <v>7945</v>
      </c>
      <c r="G451" t="s">
        <v>6586</v>
      </c>
    </row>
    <row r="452" spans="1:7">
      <c r="A452" t="s">
        <v>6581</v>
      </c>
      <c r="B452" s="1">
        <v>451</v>
      </c>
      <c r="C452" t="s">
        <v>7946</v>
      </c>
      <c r="D452" t="s">
        <v>6734</v>
      </c>
      <c r="E452" t="s">
        <v>7947</v>
      </c>
      <c r="F452" t="s">
        <v>7948</v>
      </c>
      <c r="G452" t="s">
        <v>6586</v>
      </c>
    </row>
    <row r="453" spans="1:7">
      <c r="A453" t="s">
        <v>6581</v>
      </c>
      <c r="B453" s="1">
        <v>452</v>
      </c>
      <c r="C453" t="s">
        <v>7949</v>
      </c>
      <c r="D453" t="s">
        <v>6734</v>
      </c>
      <c r="E453" t="s">
        <v>7950</v>
      </c>
      <c r="F453" t="s">
        <v>7951</v>
      </c>
      <c r="G453" t="s">
        <v>6586</v>
      </c>
    </row>
    <row r="454" spans="1:7">
      <c r="A454" t="s">
        <v>6581</v>
      </c>
      <c r="B454" s="1">
        <v>453</v>
      </c>
      <c r="C454" t="s">
        <v>7952</v>
      </c>
      <c r="D454" t="s">
        <v>6695</v>
      </c>
      <c r="E454" t="s">
        <v>7953</v>
      </c>
      <c r="F454" t="s">
        <v>7954</v>
      </c>
      <c r="G454" t="s">
        <v>6586</v>
      </c>
    </row>
    <row r="455" spans="1:7">
      <c r="A455" t="s">
        <v>6581</v>
      </c>
      <c r="B455" s="1">
        <v>454</v>
      </c>
      <c r="C455" t="s">
        <v>7955</v>
      </c>
      <c r="D455" t="s">
        <v>6605</v>
      </c>
      <c r="E455" t="s">
        <v>7956</v>
      </c>
      <c r="F455" t="s">
        <v>7957</v>
      </c>
      <c r="G455" t="s">
        <v>6586</v>
      </c>
    </row>
    <row r="456" spans="1:7">
      <c r="A456" t="s">
        <v>6581</v>
      </c>
      <c r="B456" s="1">
        <v>455</v>
      </c>
      <c r="C456" t="s">
        <v>7958</v>
      </c>
      <c r="D456" t="s">
        <v>6695</v>
      </c>
      <c r="E456" t="s">
        <v>7959</v>
      </c>
      <c r="F456" t="s">
        <v>7960</v>
      </c>
      <c r="G456" t="s">
        <v>6586</v>
      </c>
    </row>
    <row r="457" spans="1:7">
      <c r="A457" t="s">
        <v>6581</v>
      </c>
      <c r="B457" s="1">
        <v>456</v>
      </c>
      <c r="C457" t="s">
        <v>7961</v>
      </c>
      <c r="D457" t="s">
        <v>6695</v>
      </c>
      <c r="E457" t="s">
        <v>7962</v>
      </c>
      <c r="F457" t="s">
        <v>7963</v>
      </c>
      <c r="G457" t="s">
        <v>6586</v>
      </c>
    </row>
    <row r="458" spans="1:7">
      <c r="A458" t="s">
        <v>6581</v>
      </c>
      <c r="B458" s="1">
        <v>457</v>
      </c>
      <c r="C458" t="s">
        <v>7964</v>
      </c>
      <c r="D458" t="s">
        <v>6734</v>
      </c>
      <c r="E458" t="s">
        <v>7965</v>
      </c>
      <c r="F458" t="s">
        <v>7966</v>
      </c>
      <c r="G458" t="s">
        <v>6586</v>
      </c>
    </row>
    <row r="459" spans="1:7">
      <c r="A459" t="s">
        <v>6581</v>
      </c>
      <c r="B459" s="1">
        <v>458</v>
      </c>
      <c r="C459" t="s">
        <v>7967</v>
      </c>
      <c r="D459" t="s">
        <v>6734</v>
      </c>
      <c r="E459" t="s">
        <v>7968</v>
      </c>
      <c r="F459" t="s">
        <v>7969</v>
      </c>
      <c r="G459" t="s">
        <v>6586</v>
      </c>
    </row>
    <row r="460" spans="1:7">
      <c r="A460" t="s">
        <v>6581</v>
      </c>
      <c r="B460" s="1">
        <v>459</v>
      </c>
      <c r="C460" t="s">
        <v>7970</v>
      </c>
      <c r="D460" t="s">
        <v>6771</v>
      </c>
      <c r="E460" t="s">
        <v>7971</v>
      </c>
      <c r="F460" t="s">
        <v>7972</v>
      </c>
      <c r="G460" t="s">
        <v>6586</v>
      </c>
    </row>
    <row r="461" spans="1:7">
      <c r="A461" t="s">
        <v>6581</v>
      </c>
      <c r="B461" s="1">
        <v>460</v>
      </c>
      <c r="C461" t="s">
        <v>7973</v>
      </c>
      <c r="D461" t="s">
        <v>6734</v>
      </c>
      <c r="E461" t="s">
        <v>7974</v>
      </c>
      <c r="F461" t="s">
        <v>7975</v>
      </c>
      <c r="G461" t="s">
        <v>6586</v>
      </c>
    </row>
    <row r="462" spans="1:7">
      <c r="A462" t="s">
        <v>6581</v>
      </c>
      <c r="B462" s="1">
        <v>461</v>
      </c>
      <c r="C462" t="s">
        <v>7976</v>
      </c>
      <c r="D462" t="s">
        <v>6771</v>
      </c>
      <c r="E462" t="s">
        <v>7977</v>
      </c>
      <c r="F462" t="s">
        <v>7978</v>
      </c>
      <c r="G462" t="s">
        <v>6586</v>
      </c>
    </row>
    <row r="463" spans="1:7">
      <c r="A463" t="s">
        <v>6581</v>
      </c>
      <c r="B463" s="1">
        <v>462</v>
      </c>
      <c r="C463" t="s">
        <v>7979</v>
      </c>
      <c r="D463" t="s">
        <v>6771</v>
      </c>
      <c r="E463" t="s">
        <v>7980</v>
      </c>
      <c r="F463" t="s">
        <v>7981</v>
      </c>
      <c r="G463" t="s">
        <v>6586</v>
      </c>
    </row>
    <row r="464" spans="1:7">
      <c r="A464" t="s">
        <v>6581</v>
      </c>
      <c r="B464" s="1">
        <v>463</v>
      </c>
      <c r="C464" t="s">
        <v>7982</v>
      </c>
      <c r="D464" t="s">
        <v>6734</v>
      </c>
      <c r="E464" t="s">
        <v>7983</v>
      </c>
      <c r="F464" t="s">
        <v>7984</v>
      </c>
      <c r="G464" t="s">
        <v>6586</v>
      </c>
    </row>
    <row r="465" spans="1:7">
      <c r="A465" t="s">
        <v>6581</v>
      </c>
      <c r="B465" s="1">
        <v>464</v>
      </c>
      <c r="C465" t="s">
        <v>7985</v>
      </c>
      <c r="D465" t="s">
        <v>6734</v>
      </c>
      <c r="E465" t="s">
        <v>7986</v>
      </c>
      <c r="F465" t="s">
        <v>7987</v>
      </c>
      <c r="G465" t="s">
        <v>6586</v>
      </c>
    </row>
    <row r="466" spans="1:7">
      <c r="A466" t="s">
        <v>6581</v>
      </c>
      <c r="B466" s="1">
        <v>465</v>
      </c>
      <c r="C466" t="s">
        <v>7988</v>
      </c>
      <c r="D466" t="s">
        <v>6609</v>
      </c>
      <c r="E466" t="s">
        <v>7989</v>
      </c>
      <c r="F466" t="s">
        <v>7990</v>
      </c>
      <c r="G466" t="s">
        <v>6586</v>
      </c>
    </row>
    <row r="467" spans="1:7">
      <c r="A467" t="s">
        <v>6581</v>
      </c>
      <c r="B467" s="1">
        <v>466</v>
      </c>
      <c r="C467" t="s">
        <v>7991</v>
      </c>
      <c r="D467" t="s">
        <v>6609</v>
      </c>
      <c r="E467" t="s">
        <v>7992</v>
      </c>
      <c r="F467" t="s">
        <v>7993</v>
      </c>
      <c r="G467" t="s">
        <v>6586</v>
      </c>
    </row>
    <row r="468" spans="1:7">
      <c r="A468" t="s">
        <v>6581</v>
      </c>
      <c r="B468" s="1">
        <v>467</v>
      </c>
      <c r="C468" t="s">
        <v>7994</v>
      </c>
      <c r="D468" t="s">
        <v>6609</v>
      </c>
      <c r="E468" t="s">
        <v>7995</v>
      </c>
      <c r="F468" t="s">
        <v>7996</v>
      </c>
      <c r="G468" t="s">
        <v>6586</v>
      </c>
    </row>
    <row r="469" spans="1:7">
      <c r="A469" t="s">
        <v>6581</v>
      </c>
      <c r="B469" s="1">
        <v>468</v>
      </c>
      <c r="C469" t="s">
        <v>7997</v>
      </c>
      <c r="D469" t="s">
        <v>6609</v>
      </c>
      <c r="E469" t="s">
        <v>7998</v>
      </c>
      <c r="F469" t="s">
        <v>7999</v>
      </c>
      <c r="G469" t="s">
        <v>6586</v>
      </c>
    </row>
    <row r="470" spans="1:7">
      <c r="A470" t="s">
        <v>6581</v>
      </c>
      <c r="B470" s="1">
        <v>469</v>
      </c>
      <c r="C470" t="s">
        <v>8000</v>
      </c>
      <c r="D470" t="s">
        <v>6605</v>
      </c>
      <c r="E470" t="s">
        <v>8001</v>
      </c>
      <c r="F470" t="s">
        <v>8002</v>
      </c>
      <c r="G470" t="s">
        <v>6586</v>
      </c>
    </row>
    <row r="471" spans="1:7">
      <c r="A471" t="s">
        <v>6581</v>
      </c>
      <c r="B471" s="1">
        <v>470</v>
      </c>
      <c r="C471" t="s">
        <v>8003</v>
      </c>
      <c r="D471" t="s">
        <v>6734</v>
      </c>
      <c r="E471" t="s">
        <v>8004</v>
      </c>
      <c r="F471" t="s">
        <v>8005</v>
      </c>
      <c r="G471" t="s">
        <v>6586</v>
      </c>
    </row>
    <row r="472" spans="1:7">
      <c r="A472" t="s">
        <v>6581</v>
      </c>
      <c r="B472" s="1">
        <v>471</v>
      </c>
      <c r="C472" t="s">
        <v>8006</v>
      </c>
      <c r="D472" t="s">
        <v>6734</v>
      </c>
      <c r="E472" t="s">
        <v>8007</v>
      </c>
      <c r="F472" t="s">
        <v>8008</v>
      </c>
      <c r="G472" t="s">
        <v>6586</v>
      </c>
    </row>
    <row r="473" spans="1:7">
      <c r="A473" t="s">
        <v>6581</v>
      </c>
      <c r="B473" s="1">
        <v>472</v>
      </c>
      <c r="C473" t="s">
        <v>8009</v>
      </c>
      <c r="D473" t="s">
        <v>6654</v>
      </c>
      <c r="E473" t="s">
        <v>8010</v>
      </c>
      <c r="F473" t="s">
        <v>8011</v>
      </c>
      <c r="G473" t="s">
        <v>6586</v>
      </c>
    </row>
    <row r="474" spans="1:7">
      <c r="A474" t="s">
        <v>6581</v>
      </c>
      <c r="B474" s="1">
        <v>473</v>
      </c>
      <c r="C474" t="s">
        <v>8012</v>
      </c>
      <c r="D474" t="s">
        <v>6734</v>
      </c>
      <c r="E474" t="s">
        <v>8013</v>
      </c>
      <c r="F474" t="s">
        <v>8014</v>
      </c>
      <c r="G474" t="s">
        <v>6586</v>
      </c>
    </row>
    <row r="475" spans="1:7">
      <c r="A475" t="s">
        <v>6581</v>
      </c>
      <c r="B475" s="1">
        <v>474</v>
      </c>
      <c r="C475" t="s">
        <v>8015</v>
      </c>
      <c r="D475" t="s">
        <v>6695</v>
      </c>
      <c r="E475" t="s">
        <v>8016</v>
      </c>
      <c r="F475" t="s">
        <v>8017</v>
      </c>
      <c r="G475" t="s">
        <v>6586</v>
      </c>
    </row>
    <row r="476" spans="1:7">
      <c r="A476" t="s">
        <v>6581</v>
      </c>
      <c r="B476" s="1">
        <v>475</v>
      </c>
      <c r="C476" t="s">
        <v>8018</v>
      </c>
      <c r="D476" t="s">
        <v>6734</v>
      </c>
      <c r="E476" t="s">
        <v>8019</v>
      </c>
      <c r="F476" t="s">
        <v>8020</v>
      </c>
      <c r="G476" t="s">
        <v>6586</v>
      </c>
    </row>
    <row r="477" spans="1:7">
      <c r="A477" t="s">
        <v>6581</v>
      </c>
      <c r="B477" s="1">
        <v>476</v>
      </c>
      <c r="C477" t="s">
        <v>8021</v>
      </c>
      <c r="D477" t="s">
        <v>6734</v>
      </c>
      <c r="E477" t="s">
        <v>8022</v>
      </c>
      <c r="F477" t="s">
        <v>8023</v>
      </c>
      <c r="G477" t="s">
        <v>6586</v>
      </c>
    </row>
    <row r="478" spans="1:7">
      <c r="A478" t="s">
        <v>6581</v>
      </c>
      <c r="B478" s="1">
        <v>477</v>
      </c>
      <c r="C478" t="s">
        <v>8024</v>
      </c>
      <c r="D478" t="s">
        <v>6705</v>
      </c>
      <c r="E478" t="s">
        <v>8025</v>
      </c>
      <c r="F478" t="s">
        <v>8026</v>
      </c>
      <c r="G478" t="s">
        <v>6586</v>
      </c>
    </row>
    <row r="479" spans="1:7">
      <c r="A479" t="s">
        <v>6581</v>
      </c>
      <c r="B479" s="1">
        <v>478</v>
      </c>
      <c r="C479" t="s">
        <v>8027</v>
      </c>
      <c r="D479" t="s">
        <v>6734</v>
      </c>
      <c r="E479" t="s">
        <v>8028</v>
      </c>
      <c r="F479" t="s">
        <v>8029</v>
      </c>
      <c r="G479" t="s">
        <v>6586</v>
      </c>
    </row>
    <row r="480" spans="1:7">
      <c r="A480" t="s">
        <v>6581</v>
      </c>
      <c r="B480" s="1">
        <v>479</v>
      </c>
      <c r="C480" t="s">
        <v>8030</v>
      </c>
      <c r="D480" t="s">
        <v>6605</v>
      </c>
      <c r="E480" t="s">
        <v>8031</v>
      </c>
      <c r="F480" t="s">
        <v>8032</v>
      </c>
      <c r="G480" t="s">
        <v>6586</v>
      </c>
    </row>
    <row r="481" spans="1:7">
      <c r="A481" t="s">
        <v>6581</v>
      </c>
      <c r="B481" s="1">
        <v>480</v>
      </c>
      <c r="C481" t="s">
        <v>8033</v>
      </c>
      <c r="D481" t="s">
        <v>6695</v>
      </c>
      <c r="E481" t="s">
        <v>8034</v>
      </c>
      <c r="F481" t="s">
        <v>8035</v>
      </c>
      <c r="G481" t="s">
        <v>6586</v>
      </c>
    </row>
    <row r="482" spans="1:7">
      <c r="A482" t="s">
        <v>6581</v>
      </c>
      <c r="B482" s="1">
        <v>481</v>
      </c>
      <c r="C482" t="s">
        <v>8036</v>
      </c>
      <c r="D482" t="s">
        <v>6771</v>
      </c>
      <c r="E482" t="s">
        <v>8037</v>
      </c>
      <c r="F482" t="s">
        <v>8038</v>
      </c>
      <c r="G482" t="s">
        <v>6586</v>
      </c>
    </row>
    <row r="483" spans="1:7">
      <c r="A483" t="s">
        <v>6581</v>
      </c>
      <c r="B483" s="1">
        <v>482</v>
      </c>
      <c r="C483" t="s">
        <v>8039</v>
      </c>
      <c r="D483" t="s">
        <v>6609</v>
      </c>
      <c r="E483" t="s">
        <v>8040</v>
      </c>
      <c r="F483" t="s">
        <v>8041</v>
      </c>
      <c r="G483" t="s">
        <v>6586</v>
      </c>
    </row>
    <row r="484" spans="1:7">
      <c r="A484" t="s">
        <v>6581</v>
      </c>
      <c r="B484" s="1">
        <v>483</v>
      </c>
      <c r="C484" t="s">
        <v>8042</v>
      </c>
      <c r="D484" t="s">
        <v>6654</v>
      </c>
      <c r="E484" t="s">
        <v>8043</v>
      </c>
      <c r="F484" t="s">
        <v>8044</v>
      </c>
      <c r="G484" t="s">
        <v>6586</v>
      </c>
    </row>
    <row r="485" spans="1:7">
      <c r="A485" t="s">
        <v>6581</v>
      </c>
      <c r="B485" s="1">
        <v>484</v>
      </c>
      <c r="C485" t="s">
        <v>8045</v>
      </c>
      <c r="D485" t="s">
        <v>6695</v>
      </c>
      <c r="E485" t="s">
        <v>8046</v>
      </c>
      <c r="F485" t="s">
        <v>8047</v>
      </c>
      <c r="G485" t="s">
        <v>6586</v>
      </c>
    </row>
    <row r="486" spans="1:7">
      <c r="A486" t="s">
        <v>6581</v>
      </c>
      <c r="B486" s="1">
        <v>485</v>
      </c>
      <c r="C486" t="s">
        <v>8048</v>
      </c>
      <c r="D486" t="s">
        <v>6695</v>
      </c>
      <c r="E486" t="s">
        <v>8049</v>
      </c>
      <c r="F486" t="s">
        <v>8050</v>
      </c>
      <c r="G486" t="s">
        <v>6586</v>
      </c>
    </row>
    <row r="487" spans="1:7">
      <c r="A487" t="s">
        <v>6581</v>
      </c>
      <c r="B487" s="1">
        <v>486</v>
      </c>
      <c r="C487" t="s">
        <v>8051</v>
      </c>
      <c r="D487" t="s">
        <v>6771</v>
      </c>
      <c r="E487" t="s">
        <v>8052</v>
      </c>
      <c r="F487" t="s">
        <v>8053</v>
      </c>
      <c r="G487" t="s">
        <v>6586</v>
      </c>
    </row>
    <row r="488" spans="1:7">
      <c r="A488" t="s">
        <v>6581</v>
      </c>
      <c r="B488" s="1">
        <v>487</v>
      </c>
      <c r="C488" t="s">
        <v>8054</v>
      </c>
      <c r="D488" t="s">
        <v>6695</v>
      </c>
      <c r="E488" t="s">
        <v>8055</v>
      </c>
      <c r="F488" t="s">
        <v>8056</v>
      </c>
      <c r="G488" t="s">
        <v>6586</v>
      </c>
    </row>
    <row r="489" spans="1:7">
      <c r="A489" t="s">
        <v>6581</v>
      </c>
      <c r="B489" s="1">
        <v>488</v>
      </c>
      <c r="C489" t="s">
        <v>8057</v>
      </c>
      <c r="D489" t="s">
        <v>6605</v>
      </c>
      <c r="E489" t="s">
        <v>8058</v>
      </c>
      <c r="F489" t="s">
        <v>8059</v>
      </c>
      <c r="G489" t="s">
        <v>6586</v>
      </c>
    </row>
    <row r="490" spans="1:7">
      <c r="A490" t="s">
        <v>6581</v>
      </c>
      <c r="B490" s="1">
        <v>489</v>
      </c>
      <c r="C490" t="s">
        <v>8060</v>
      </c>
      <c r="D490" t="s">
        <v>6695</v>
      </c>
      <c r="E490" t="s">
        <v>8061</v>
      </c>
      <c r="F490" t="s">
        <v>8062</v>
      </c>
      <c r="G490" t="s">
        <v>6586</v>
      </c>
    </row>
    <row r="491" spans="1:7">
      <c r="A491" t="s">
        <v>6581</v>
      </c>
      <c r="B491" s="1">
        <v>490</v>
      </c>
      <c r="C491" t="s">
        <v>8063</v>
      </c>
      <c r="D491" t="s">
        <v>6734</v>
      </c>
      <c r="E491" t="s">
        <v>8064</v>
      </c>
      <c r="F491" t="s">
        <v>8065</v>
      </c>
      <c r="G491" t="s">
        <v>6586</v>
      </c>
    </row>
    <row r="492" spans="1:7">
      <c r="A492" t="s">
        <v>6581</v>
      </c>
      <c r="B492" s="1">
        <v>491</v>
      </c>
      <c r="C492" t="s">
        <v>8066</v>
      </c>
      <c r="D492" t="s">
        <v>6734</v>
      </c>
      <c r="E492" t="s">
        <v>8067</v>
      </c>
      <c r="F492" t="s">
        <v>8068</v>
      </c>
      <c r="G492" t="s">
        <v>6586</v>
      </c>
    </row>
    <row r="493" spans="1:7">
      <c r="A493" t="s">
        <v>6581</v>
      </c>
      <c r="B493" s="1">
        <v>492</v>
      </c>
      <c r="C493" t="s">
        <v>8069</v>
      </c>
      <c r="D493" t="s">
        <v>6734</v>
      </c>
      <c r="E493" t="s">
        <v>8070</v>
      </c>
      <c r="F493" t="s">
        <v>8071</v>
      </c>
      <c r="G493" t="s">
        <v>6586</v>
      </c>
    </row>
    <row r="494" spans="1:7">
      <c r="A494" t="s">
        <v>6581</v>
      </c>
      <c r="B494" s="1">
        <v>493</v>
      </c>
      <c r="C494" t="s">
        <v>8072</v>
      </c>
      <c r="D494" t="s">
        <v>6695</v>
      </c>
      <c r="E494" t="s">
        <v>8073</v>
      </c>
      <c r="F494" t="s">
        <v>8074</v>
      </c>
      <c r="G494" t="s">
        <v>6586</v>
      </c>
    </row>
    <row r="495" spans="1:7">
      <c r="A495" t="s">
        <v>6581</v>
      </c>
      <c r="B495" s="1">
        <v>494</v>
      </c>
      <c r="C495" t="s">
        <v>8075</v>
      </c>
      <c r="D495" t="s">
        <v>6695</v>
      </c>
      <c r="E495" t="s">
        <v>8076</v>
      </c>
      <c r="F495" t="s">
        <v>8077</v>
      </c>
      <c r="G495" t="s">
        <v>6586</v>
      </c>
    </row>
    <row r="496" spans="1:7">
      <c r="A496" t="s">
        <v>6581</v>
      </c>
      <c r="B496" s="1">
        <v>495</v>
      </c>
      <c r="C496" t="s">
        <v>8078</v>
      </c>
      <c r="D496" t="s">
        <v>6734</v>
      </c>
      <c r="E496" t="s">
        <v>8079</v>
      </c>
      <c r="F496" t="s">
        <v>8080</v>
      </c>
      <c r="G496" t="s">
        <v>6586</v>
      </c>
    </row>
    <row r="497" spans="1:7">
      <c r="A497" t="s">
        <v>6581</v>
      </c>
      <c r="B497" s="1">
        <v>496</v>
      </c>
      <c r="C497" t="s">
        <v>8081</v>
      </c>
      <c r="D497" t="s">
        <v>6734</v>
      </c>
      <c r="E497" t="s">
        <v>8082</v>
      </c>
      <c r="F497" t="s">
        <v>8083</v>
      </c>
      <c r="G497" t="s">
        <v>6586</v>
      </c>
    </row>
    <row r="498" spans="1:7">
      <c r="A498" t="s">
        <v>6581</v>
      </c>
      <c r="B498" s="1">
        <v>497</v>
      </c>
      <c r="C498" t="s">
        <v>8084</v>
      </c>
      <c r="D498" t="s">
        <v>6734</v>
      </c>
      <c r="E498" t="s">
        <v>8085</v>
      </c>
      <c r="F498" t="s">
        <v>8086</v>
      </c>
      <c r="G498" t="s">
        <v>6586</v>
      </c>
    </row>
    <row r="499" spans="1:7">
      <c r="A499" t="s">
        <v>6581</v>
      </c>
      <c r="B499" s="1">
        <v>498</v>
      </c>
      <c r="C499" t="s">
        <v>8087</v>
      </c>
      <c r="D499" t="s">
        <v>6771</v>
      </c>
      <c r="E499" t="s">
        <v>8088</v>
      </c>
      <c r="F499" t="s">
        <v>8089</v>
      </c>
      <c r="G499" t="s">
        <v>6586</v>
      </c>
    </row>
    <row r="500" spans="1:7">
      <c r="A500" t="s">
        <v>6581</v>
      </c>
      <c r="B500" s="1">
        <v>499</v>
      </c>
      <c r="C500" t="s">
        <v>8090</v>
      </c>
      <c r="D500" t="s">
        <v>6609</v>
      </c>
      <c r="E500" t="s">
        <v>8091</v>
      </c>
      <c r="F500" t="s">
        <v>8092</v>
      </c>
      <c r="G500" t="s">
        <v>6586</v>
      </c>
    </row>
    <row r="501" spans="1:7">
      <c r="A501" t="s">
        <v>6581</v>
      </c>
      <c r="B501" s="1">
        <v>500</v>
      </c>
      <c r="C501" t="s">
        <v>8093</v>
      </c>
      <c r="D501" t="s">
        <v>6734</v>
      </c>
      <c r="E501" t="s">
        <v>8094</v>
      </c>
      <c r="F501" t="s">
        <v>8095</v>
      </c>
      <c r="G501" t="s">
        <v>6586</v>
      </c>
    </row>
    <row r="502" spans="1:7">
      <c r="A502" t="s">
        <v>6581</v>
      </c>
      <c r="B502" s="1">
        <v>501</v>
      </c>
      <c r="C502" t="s">
        <v>8096</v>
      </c>
      <c r="D502" t="s">
        <v>6734</v>
      </c>
      <c r="E502" t="s">
        <v>8097</v>
      </c>
      <c r="F502" t="s">
        <v>8098</v>
      </c>
      <c r="G502" t="s">
        <v>6586</v>
      </c>
    </row>
    <row r="503" spans="1:7">
      <c r="A503" t="s">
        <v>6581</v>
      </c>
      <c r="B503" s="1">
        <v>502</v>
      </c>
      <c r="C503" t="s">
        <v>8099</v>
      </c>
      <c r="D503" t="s">
        <v>6695</v>
      </c>
      <c r="E503" t="s">
        <v>8100</v>
      </c>
      <c r="F503" t="s">
        <v>8101</v>
      </c>
      <c r="G503" t="s">
        <v>6586</v>
      </c>
    </row>
    <row r="504" spans="1:7">
      <c r="A504" t="s">
        <v>6581</v>
      </c>
      <c r="B504" s="1">
        <v>503</v>
      </c>
      <c r="C504" t="s">
        <v>8102</v>
      </c>
      <c r="D504" t="s">
        <v>6734</v>
      </c>
      <c r="E504" t="s">
        <v>8103</v>
      </c>
      <c r="F504" t="s">
        <v>8104</v>
      </c>
      <c r="G504" t="s">
        <v>6586</v>
      </c>
    </row>
    <row r="505" spans="1:7">
      <c r="A505" t="s">
        <v>6581</v>
      </c>
      <c r="B505" s="1">
        <v>504</v>
      </c>
      <c r="C505" t="s">
        <v>8105</v>
      </c>
      <c r="D505" t="s">
        <v>6771</v>
      </c>
      <c r="E505" t="s">
        <v>8106</v>
      </c>
      <c r="F505" t="s">
        <v>8107</v>
      </c>
      <c r="G505" t="s">
        <v>6586</v>
      </c>
    </row>
    <row r="506" spans="1:7">
      <c r="A506" t="s">
        <v>6581</v>
      </c>
      <c r="B506" s="1">
        <v>505</v>
      </c>
      <c r="C506" t="s">
        <v>8108</v>
      </c>
      <c r="D506" t="s">
        <v>6734</v>
      </c>
      <c r="E506" t="s">
        <v>8109</v>
      </c>
      <c r="F506" t="s">
        <v>8110</v>
      </c>
      <c r="G506" t="s">
        <v>6586</v>
      </c>
    </row>
    <row r="507" spans="1:7">
      <c r="A507" t="s">
        <v>6581</v>
      </c>
      <c r="B507" s="1">
        <v>506</v>
      </c>
      <c r="C507" t="s">
        <v>8111</v>
      </c>
      <c r="D507" t="s">
        <v>6771</v>
      </c>
      <c r="E507" t="s">
        <v>8112</v>
      </c>
      <c r="F507" t="s">
        <v>8113</v>
      </c>
      <c r="G507" t="s">
        <v>6586</v>
      </c>
    </row>
    <row r="508" spans="1:7">
      <c r="A508" t="s">
        <v>6581</v>
      </c>
      <c r="B508" s="1">
        <v>507</v>
      </c>
      <c r="C508" t="s">
        <v>8114</v>
      </c>
      <c r="D508" t="s">
        <v>6771</v>
      </c>
      <c r="E508" t="s">
        <v>8115</v>
      </c>
      <c r="F508" t="s">
        <v>8116</v>
      </c>
      <c r="G508" t="s">
        <v>6586</v>
      </c>
    </row>
    <row r="509" spans="1:7">
      <c r="A509" t="s">
        <v>6581</v>
      </c>
      <c r="B509" s="1">
        <v>508</v>
      </c>
      <c r="C509" t="s">
        <v>8117</v>
      </c>
      <c r="D509" t="s">
        <v>6695</v>
      </c>
      <c r="E509" t="s">
        <v>8118</v>
      </c>
      <c r="F509" t="s">
        <v>8119</v>
      </c>
      <c r="G509" t="s">
        <v>6586</v>
      </c>
    </row>
    <row r="510" spans="1:7">
      <c r="A510" t="s">
        <v>6581</v>
      </c>
      <c r="B510" s="1">
        <v>509</v>
      </c>
      <c r="C510" t="s">
        <v>8120</v>
      </c>
      <c r="D510" t="s">
        <v>6771</v>
      </c>
      <c r="E510" t="s">
        <v>8121</v>
      </c>
      <c r="F510" t="s">
        <v>8122</v>
      </c>
      <c r="G510" t="s">
        <v>6586</v>
      </c>
    </row>
    <row r="511" spans="1:7">
      <c r="A511" t="s">
        <v>6581</v>
      </c>
      <c r="B511" s="1">
        <v>510</v>
      </c>
      <c r="C511" t="s">
        <v>8123</v>
      </c>
      <c r="D511" t="s">
        <v>6734</v>
      </c>
      <c r="E511" t="s">
        <v>8124</v>
      </c>
      <c r="F511" t="s">
        <v>8125</v>
      </c>
      <c r="G511" t="s">
        <v>6586</v>
      </c>
    </row>
    <row r="512" spans="1:7">
      <c r="A512" t="s">
        <v>6581</v>
      </c>
      <c r="B512" s="1">
        <v>511</v>
      </c>
      <c r="C512" t="s">
        <v>8126</v>
      </c>
      <c r="D512" t="s">
        <v>6667</v>
      </c>
      <c r="E512" t="s">
        <v>8127</v>
      </c>
      <c r="F512" t="s">
        <v>8128</v>
      </c>
      <c r="G512" t="s">
        <v>6586</v>
      </c>
    </row>
    <row r="513" spans="1:7">
      <c r="A513" t="s">
        <v>6581</v>
      </c>
      <c r="B513" s="1">
        <v>512</v>
      </c>
      <c r="C513" t="s">
        <v>8129</v>
      </c>
      <c r="D513" t="s">
        <v>6734</v>
      </c>
      <c r="E513" t="s">
        <v>8130</v>
      </c>
      <c r="F513" t="s">
        <v>8131</v>
      </c>
      <c r="G513" t="s">
        <v>6586</v>
      </c>
    </row>
    <row r="514" spans="1:7">
      <c r="A514" t="s">
        <v>6581</v>
      </c>
      <c r="B514" s="1">
        <v>513</v>
      </c>
      <c r="C514" t="s">
        <v>8132</v>
      </c>
      <c r="D514" t="s">
        <v>6734</v>
      </c>
      <c r="E514" t="s">
        <v>8133</v>
      </c>
      <c r="F514" t="s">
        <v>8134</v>
      </c>
      <c r="G514" t="s">
        <v>6586</v>
      </c>
    </row>
    <row r="515" spans="1:7">
      <c r="A515" t="s">
        <v>6581</v>
      </c>
      <c r="B515" s="1">
        <v>514</v>
      </c>
      <c r="C515" t="s">
        <v>8135</v>
      </c>
      <c r="D515" t="s">
        <v>6734</v>
      </c>
      <c r="E515" t="s">
        <v>8136</v>
      </c>
      <c r="F515" t="s">
        <v>8137</v>
      </c>
      <c r="G515" t="s">
        <v>6586</v>
      </c>
    </row>
    <row r="516" spans="1:7">
      <c r="A516" t="s">
        <v>6581</v>
      </c>
      <c r="B516" s="1">
        <v>515</v>
      </c>
      <c r="C516" t="s">
        <v>8138</v>
      </c>
      <c r="D516" t="s">
        <v>6598</v>
      </c>
      <c r="E516" t="s">
        <v>8139</v>
      </c>
      <c r="F516" t="s">
        <v>8140</v>
      </c>
      <c r="G516" t="s">
        <v>6586</v>
      </c>
    </row>
    <row r="517" spans="1:7">
      <c r="A517" t="s">
        <v>6581</v>
      </c>
      <c r="B517" s="1">
        <v>516</v>
      </c>
      <c r="C517" t="s">
        <v>8141</v>
      </c>
      <c r="D517" t="s">
        <v>6705</v>
      </c>
      <c r="E517" t="s">
        <v>8142</v>
      </c>
      <c r="F517" t="s">
        <v>8143</v>
      </c>
      <c r="G517" t="s">
        <v>6586</v>
      </c>
    </row>
    <row r="518" spans="1:7">
      <c r="A518" t="s">
        <v>6581</v>
      </c>
      <c r="B518" s="1">
        <v>517</v>
      </c>
      <c r="C518" t="s">
        <v>8144</v>
      </c>
      <c r="D518" t="s">
        <v>6605</v>
      </c>
      <c r="E518" t="s">
        <v>8145</v>
      </c>
      <c r="F518" t="s">
        <v>8146</v>
      </c>
      <c r="G518" t="s">
        <v>6586</v>
      </c>
    </row>
    <row r="519" spans="1:7">
      <c r="A519" t="s">
        <v>6581</v>
      </c>
      <c r="B519" s="1">
        <v>518</v>
      </c>
      <c r="C519" t="s">
        <v>8147</v>
      </c>
      <c r="D519" t="s">
        <v>6734</v>
      </c>
      <c r="E519" t="s">
        <v>8148</v>
      </c>
      <c r="F519" t="s">
        <v>8149</v>
      </c>
      <c r="G519" t="s">
        <v>6586</v>
      </c>
    </row>
    <row r="520" spans="1:7">
      <c r="A520" t="s">
        <v>6581</v>
      </c>
      <c r="B520" s="1">
        <v>519</v>
      </c>
      <c r="C520" t="s">
        <v>8150</v>
      </c>
      <c r="D520" t="s">
        <v>6734</v>
      </c>
      <c r="E520" t="s">
        <v>8151</v>
      </c>
      <c r="F520" t="s">
        <v>8152</v>
      </c>
      <c r="G520" t="s">
        <v>6586</v>
      </c>
    </row>
    <row r="521" spans="1:7">
      <c r="A521" t="s">
        <v>6581</v>
      </c>
      <c r="B521" s="1">
        <v>520</v>
      </c>
      <c r="C521" t="s">
        <v>8153</v>
      </c>
      <c r="D521" t="s">
        <v>6598</v>
      </c>
      <c r="E521" t="s">
        <v>8154</v>
      </c>
      <c r="F521" t="s">
        <v>8155</v>
      </c>
      <c r="G521" t="s">
        <v>6586</v>
      </c>
    </row>
    <row r="522" spans="1:7">
      <c r="A522" t="s">
        <v>6581</v>
      </c>
      <c r="B522" s="1">
        <v>521</v>
      </c>
      <c r="C522" t="s">
        <v>8156</v>
      </c>
      <c r="D522" t="s">
        <v>6605</v>
      </c>
      <c r="E522" t="s">
        <v>8157</v>
      </c>
      <c r="F522" t="s">
        <v>8158</v>
      </c>
      <c r="G522" t="s">
        <v>6586</v>
      </c>
    </row>
    <row r="523" spans="1:7">
      <c r="A523" t="s">
        <v>6581</v>
      </c>
      <c r="B523" s="1">
        <v>522</v>
      </c>
      <c r="C523" t="s">
        <v>8159</v>
      </c>
      <c r="D523" t="s">
        <v>6605</v>
      </c>
      <c r="E523" t="s">
        <v>8160</v>
      </c>
      <c r="F523" t="s">
        <v>8161</v>
      </c>
      <c r="G523" t="s">
        <v>6586</v>
      </c>
    </row>
    <row r="524" spans="1:7">
      <c r="A524" t="s">
        <v>6581</v>
      </c>
      <c r="B524" s="1">
        <v>523</v>
      </c>
      <c r="C524" t="s">
        <v>8162</v>
      </c>
      <c r="D524" t="s">
        <v>6598</v>
      </c>
      <c r="E524" t="s">
        <v>8163</v>
      </c>
      <c r="F524" t="s">
        <v>8164</v>
      </c>
      <c r="G524" t="s">
        <v>6586</v>
      </c>
    </row>
    <row r="525" spans="1:7">
      <c r="A525" t="s">
        <v>6581</v>
      </c>
      <c r="B525" s="1">
        <v>524</v>
      </c>
      <c r="C525" t="s">
        <v>8165</v>
      </c>
      <c r="D525" t="s">
        <v>6734</v>
      </c>
      <c r="E525" t="s">
        <v>8166</v>
      </c>
      <c r="F525" t="s">
        <v>8167</v>
      </c>
      <c r="G525" t="s">
        <v>6586</v>
      </c>
    </row>
    <row r="526" spans="1:7">
      <c r="A526" t="s">
        <v>6581</v>
      </c>
      <c r="B526" s="1">
        <v>525</v>
      </c>
      <c r="C526" t="s">
        <v>8168</v>
      </c>
      <c r="D526" t="s">
        <v>6734</v>
      </c>
      <c r="E526" t="s">
        <v>8169</v>
      </c>
      <c r="F526" t="s">
        <v>8170</v>
      </c>
      <c r="G526" t="s">
        <v>6586</v>
      </c>
    </row>
    <row r="527" spans="1:7">
      <c r="A527" t="s">
        <v>6581</v>
      </c>
      <c r="B527" s="1">
        <v>526</v>
      </c>
      <c r="C527" t="s">
        <v>8171</v>
      </c>
      <c r="D527" t="s">
        <v>6734</v>
      </c>
      <c r="E527" t="s">
        <v>8172</v>
      </c>
      <c r="F527" t="s">
        <v>8173</v>
      </c>
      <c r="G527" t="s">
        <v>6586</v>
      </c>
    </row>
    <row r="528" spans="1:7">
      <c r="A528" t="s">
        <v>6581</v>
      </c>
      <c r="B528" s="1">
        <v>527</v>
      </c>
      <c r="C528" t="s">
        <v>8174</v>
      </c>
      <c r="D528" t="s">
        <v>6734</v>
      </c>
      <c r="E528" t="s">
        <v>8175</v>
      </c>
      <c r="F528" t="s">
        <v>8176</v>
      </c>
      <c r="G528" t="s">
        <v>6586</v>
      </c>
    </row>
    <row r="529" spans="1:7">
      <c r="A529" t="s">
        <v>6581</v>
      </c>
      <c r="B529" s="1">
        <v>528</v>
      </c>
      <c r="C529" t="s">
        <v>8177</v>
      </c>
      <c r="D529" t="s">
        <v>6734</v>
      </c>
      <c r="E529" t="s">
        <v>8178</v>
      </c>
      <c r="F529" t="s">
        <v>8179</v>
      </c>
      <c r="G529" t="s">
        <v>6586</v>
      </c>
    </row>
    <row r="530" spans="1:7">
      <c r="A530" t="s">
        <v>6581</v>
      </c>
      <c r="B530" s="1">
        <v>529</v>
      </c>
      <c r="C530" t="s">
        <v>8180</v>
      </c>
      <c r="D530" t="s">
        <v>6734</v>
      </c>
      <c r="E530" t="s">
        <v>8181</v>
      </c>
      <c r="F530" t="s">
        <v>8182</v>
      </c>
      <c r="G530" t="s">
        <v>6586</v>
      </c>
    </row>
    <row r="531" spans="1:7">
      <c r="A531" t="s">
        <v>6581</v>
      </c>
      <c r="B531" s="1">
        <v>530</v>
      </c>
      <c r="C531" t="s">
        <v>8183</v>
      </c>
      <c r="D531" t="s">
        <v>6695</v>
      </c>
      <c r="E531" t="s">
        <v>8184</v>
      </c>
      <c r="F531" t="s">
        <v>8185</v>
      </c>
      <c r="G531" t="s">
        <v>6586</v>
      </c>
    </row>
    <row r="532" spans="1:7">
      <c r="A532" t="s">
        <v>6581</v>
      </c>
      <c r="B532" s="1">
        <v>531</v>
      </c>
      <c r="C532" t="s">
        <v>8186</v>
      </c>
      <c r="D532" t="s">
        <v>6605</v>
      </c>
      <c r="E532" t="s">
        <v>8187</v>
      </c>
      <c r="F532" t="s">
        <v>8188</v>
      </c>
      <c r="G532" t="s">
        <v>6586</v>
      </c>
    </row>
    <row r="533" spans="1:7">
      <c r="A533" t="s">
        <v>6581</v>
      </c>
      <c r="B533" s="1">
        <v>532</v>
      </c>
      <c r="C533" t="s">
        <v>8189</v>
      </c>
      <c r="D533" t="s">
        <v>6734</v>
      </c>
      <c r="E533" t="s">
        <v>8190</v>
      </c>
      <c r="F533" t="s">
        <v>8191</v>
      </c>
      <c r="G533" t="s">
        <v>6586</v>
      </c>
    </row>
    <row r="534" spans="1:7">
      <c r="A534" t="s">
        <v>6581</v>
      </c>
      <c r="B534" s="1">
        <v>533</v>
      </c>
      <c r="C534" t="s">
        <v>8192</v>
      </c>
      <c r="D534" t="s">
        <v>6605</v>
      </c>
      <c r="E534" t="s">
        <v>8193</v>
      </c>
      <c r="F534" t="s">
        <v>8194</v>
      </c>
      <c r="G534" t="s">
        <v>6586</v>
      </c>
    </row>
    <row r="535" spans="1:7">
      <c r="A535" t="s">
        <v>6581</v>
      </c>
      <c r="B535" s="1">
        <v>534</v>
      </c>
      <c r="C535" t="s">
        <v>8195</v>
      </c>
      <c r="D535" t="s">
        <v>6734</v>
      </c>
      <c r="E535" t="s">
        <v>8196</v>
      </c>
      <c r="F535" t="s">
        <v>8197</v>
      </c>
      <c r="G535" t="s">
        <v>6586</v>
      </c>
    </row>
    <row r="536" spans="1:7">
      <c r="A536" t="s">
        <v>6581</v>
      </c>
      <c r="B536" s="1">
        <v>535</v>
      </c>
      <c r="C536" t="s">
        <v>8198</v>
      </c>
      <c r="D536" t="s">
        <v>6734</v>
      </c>
      <c r="E536" t="s">
        <v>8199</v>
      </c>
      <c r="F536" t="s">
        <v>8200</v>
      </c>
      <c r="G536" t="s">
        <v>6586</v>
      </c>
    </row>
    <row r="537" spans="1:7">
      <c r="A537" t="s">
        <v>6581</v>
      </c>
      <c r="B537" s="1">
        <v>536</v>
      </c>
      <c r="C537" t="s">
        <v>8201</v>
      </c>
      <c r="D537" t="s">
        <v>6605</v>
      </c>
      <c r="E537" t="s">
        <v>8202</v>
      </c>
      <c r="F537" t="s">
        <v>8203</v>
      </c>
      <c r="G537" t="s">
        <v>6586</v>
      </c>
    </row>
    <row r="538" spans="1:7">
      <c r="A538" t="s">
        <v>6581</v>
      </c>
      <c r="B538" s="1">
        <v>537</v>
      </c>
      <c r="C538" t="s">
        <v>8204</v>
      </c>
      <c r="D538" t="s">
        <v>6705</v>
      </c>
      <c r="E538" t="s">
        <v>8205</v>
      </c>
      <c r="F538" t="s">
        <v>8206</v>
      </c>
      <c r="G538" t="s">
        <v>6586</v>
      </c>
    </row>
    <row r="539" spans="1:7">
      <c r="A539" t="s">
        <v>6581</v>
      </c>
      <c r="B539" s="1">
        <v>538</v>
      </c>
      <c r="C539" t="s">
        <v>8207</v>
      </c>
      <c r="D539" t="s">
        <v>6654</v>
      </c>
      <c r="E539" t="s">
        <v>8208</v>
      </c>
      <c r="F539" t="s">
        <v>8209</v>
      </c>
      <c r="G539" t="s">
        <v>6586</v>
      </c>
    </row>
    <row r="540" spans="1:7">
      <c r="A540" t="s">
        <v>6581</v>
      </c>
      <c r="B540" s="1">
        <v>539</v>
      </c>
      <c r="C540" t="s">
        <v>8210</v>
      </c>
      <c r="D540" t="s">
        <v>6695</v>
      </c>
      <c r="E540" t="s">
        <v>8211</v>
      </c>
      <c r="F540" t="s">
        <v>8212</v>
      </c>
      <c r="G540" t="s">
        <v>6586</v>
      </c>
    </row>
    <row r="541" spans="1:7">
      <c r="A541" t="s">
        <v>6581</v>
      </c>
      <c r="B541" s="1">
        <v>540</v>
      </c>
      <c r="C541" t="s">
        <v>8213</v>
      </c>
      <c r="D541" t="s">
        <v>6605</v>
      </c>
      <c r="E541" t="s">
        <v>8214</v>
      </c>
      <c r="F541" t="s">
        <v>8215</v>
      </c>
      <c r="G541" t="s">
        <v>6586</v>
      </c>
    </row>
    <row r="542" spans="1:7">
      <c r="A542" t="s">
        <v>6581</v>
      </c>
      <c r="B542" s="1">
        <v>541</v>
      </c>
      <c r="C542" t="s">
        <v>8216</v>
      </c>
      <c r="D542" t="s">
        <v>6695</v>
      </c>
      <c r="E542" t="s">
        <v>8217</v>
      </c>
      <c r="F542" t="s">
        <v>8218</v>
      </c>
      <c r="G542" t="s">
        <v>6586</v>
      </c>
    </row>
    <row r="543" spans="1:7">
      <c r="A543" t="s">
        <v>6581</v>
      </c>
      <c r="B543" s="1">
        <v>542</v>
      </c>
      <c r="C543" t="s">
        <v>8219</v>
      </c>
      <c r="D543" t="s">
        <v>6734</v>
      </c>
      <c r="E543" t="s">
        <v>8220</v>
      </c>
      <c r="F543" t="s">
        <v>8221</v>
      </c>
      <c r="G543" t="s">
        <v>6586</v>
      </c>
    </row>
    <row r="544" spans="1:7">
      <c r="A544" t="s">
        <v>6581</v>
      </c>
      <c r="B544" s="1">
        <v>543</v>
      </c>
      <c r="C544" t="s">
        <v>8222</v>
      </c>
      <c r="D544" t="s">
        <v>6605</v>
      </c>
      <c r="E544" t="s">
        <v>8223</v>
      </c>
      <c r="F544" t="s">
        <v>8224</v>
      </c>
      <c r="G544" t="s">
        <v>6586</v>
      </c>
    </row>
    <row r="545" spans="1:7">
      <c r="A545" t="s">
        <v>6581</v>
      </c>
      <c r="B545" s="1">
        <v>544</v>
      </c>
      <c r="C545" t="s">
        <v>8225</v>
      </c>
      <c r="D545" t="s">
        <v>6734</v>
      </c>
      <c r="E545" t="s">
        <v>8226</v>
      </c>
      <c r="F545" t="s">
        <v>8227</v>
      </c>
      <c r="G545" t="s">
        <v>6586</v>
      </c>
    </row>
    <row r="546" spans="1:7">
      <c r="A546" t="s">
        <v>6581</v>
      </c>
      <c r="B546" s="1">
        <v>545</v>
      </c>
      <c r="C546" t="s">
        <v>8228</v>
      </c>
      <c r="D546" t="s">
        <v>6734</v>
      </c>
      <c r="E546" t="s">
        <v>8229</v>
      </c>
      <c r="F546" t="s">
        <v>8230</v>
      </c>
      <c r="G546" t="s">
        <v>6586</v>
      </c>
    </row>
    <row r="547" spans="1:7">
      <c r="A547" t="s">
        <v>6581</v>
      </c>
      <c r="B547" s="1">
        <v>546</v>
      </c>
      <c r="C547" t="s">
        <v>8231</v>
      </c>
      <c r="D547" t="s">
        <v>6734</v>
      </c>
      <c r="E547" t="s">
        <v>8232</v>
      </c>
      <c r="F547" t="s">
        <v>8233</v>
      </c>
      <c r="G547" t="s">
        <v>6586</v>
      </c>
    </row>
    <row r="548" spans="1:7">
      <c r="A548" t="s">
        <v>6581</v>
      </c>
      <c r="B548" s="1">
        <v>547</v>
      </c>
      <c r="C548" t="s">
        <v>8234</v>
      </c>
      <c r="D548" t="s">
        <v>6734</v>
      </c>
      <c r="E548" t="s">
        <v>8235</v>
      </c>
      <c r="F548" t="s">
        <v>8236</v>
      </c>
      <c r="G548" t="s">
        <v>6586</v>
      </c>
    </row>
    <row r="549" spans="1:7">
      <c r="A549" t="s">
        <v>6581</v>
      </c>
      <c r="B549" s="1">
        <v>548</v>
      </c>
      <c r="C549" t="s">
        <v>8237</v>
      </c>
      <c r="D549" t="s">
        <v>6771</v>
      </c>
      <c r="E549" t="s">
        <v>8238</v>
      </c>
      <c r="F549" t="s">
        <v>8239</v>
      </c>
      <c r="G549" t="s">
        <v>6586</v>
      </c>
    </row>
    <row r="550" spans="1:7">
      <c r="A550" t="s">
        <v>6581</v>
      </c>
      <c r="B550" s="1">
        <v>549</v>
      </c>
      <c r="C550" t="s">
        <v>8240</v>
      </c>
      <c r="D550" t="s">
        <v>6605</v>
      </c>
      <c r="E550" t="s">
        <v>8241</v>
      </c>
      <c r="F550" t="s">
        <v>8242</v>
      </c>
      <c r="G550" t="s">
        <v>6586</v>
      </c>
    </row>
    <row r="551" spans="1:7">
      <c r="A551" t="s">
        <v>6581</v>
      </c>
      <c r="B551" s="1">
        <v>550</v>
      </c>
      <c r="C551" t="s">
        <v>8243</v>
      </c>
      <c r="D551" t="s">
        <v>6695</v>
      </c>
      <c r="E551" t="s">
        <v>8244</v>
      </c>
      <c r="F551" t="s">
        <v>8245</v>
      </c>
      <c r="G551" t="s">
        <v>6586</v>
      </c>
    </row>
    <row r="552" spans="1:7">
      <c r="A552" t="s">
        <v>6581</v>
      </c>
      <c r="B552" s="1">
        <v>551</v>
      </c>
      <c r="C552" t="s">
        <v>8246</v>
      </c>
      <c r="D552" t="s">
        <v>6734</v>
      </c>
      <c r="E552" t="s">
        <v>8247</v>
      </c>
      <c r="F552" t="s">
        <v>8248</v>
      </c>
      <c r="G552" t="s">
        <v>6586</v>
      </c>
    </row>
    <row r="553" spans="1:7">
      <c r="A553" t="s">
        <v>6581</v>
      </c>
      <c r="B553" s="1">
        <v>552</v>
      </c>
      <c r="C553" t="s">
        <v>7381</v>
      </c>
      <c r="D553" t="s">
        <v>6605</v>
      </c>
      <c r="E553" t="s">
        <v>8249</v>
      </c>
      <c r="F553" t="s">
        <v>8250</v>
      </c>
      <c r="G553" t="s">
        <v>6586</v>
      </c>
    </row>
    <row r="554" spans="1:7">
      <c r="A554" t="s">
        <v>6581</v>
      </c>
      <c r="B554" s="1">
        <v>553</v>
      </c>
      <c r="C554" t="s">
        <v>8251</v>
      </c>
      <c r="D554" t="s">
        <v>6605</v>
      </c>
      <c r="E554" t="s">
        <v>8252</v>
      </c>
      <c r="F554" t="s">
        <v>8253</v>
      </c>
      <c r="G554" t="s">
        <v>6586</v>
      </c>
    </row>
    <row r="555" spans="1:7">
      <c r="A555" t="s">
        <v>6581</v>
      </c>
      <c r="B555" s="1">
        <v>554</v>
      </c>
      <c r="C555" t="s">
        <v>8254</v>
      </c>
      <c r="D555" t="s">
        <v>6605</v>
      </c>
      <c r="E555" t="s">
        <v>8255</v>
      </c>
      <c r="F555" t="s">
        <v>8256</v>
      </c>
      <c r="G555" t="s">
        <v>6586</v>
      </c>
    </row>
    <row r="556" spans="1:7">
      <c r="A556" t="s">
        <v>6581</v>
      </c>
      <c r="B556" s="1">
        <v>555</v>
      </c>
      <c r="C556" t="s">
        <v>8257</v>
      </c>
      <c r="D556" t="s">
        <v>6734</v>
      </c>
      <c r="E556" t="s">
        <v>8258</v>
      </c>
      <c r="F556" t="s">
        <v>8259</v>
      </c>
      <c r="G556" t="s">
        <v>6586</v>
      </c>
    </row>
    <row r="557" spans="1:7">
      <c r="A557" t="s">
        <v>6581</v>
      </c>
      <c r="B557" s="1">
        <v>556</v>
      </c>
      <c r="C557" t="s">
        <v>8260</v>
      </c>
      <c r="D557" t="s">
        <v>6771</v>
      </c>
      <c r="E557" t="s">
        <v>8261</v>
      </c>
      <c r="F557" t="s">
        <v>8262</v>
      </c>
      <c r="G557" t="s">
        <v>6586</v>
      </c>
    </row>
    <row r="558" spans="1:7">
      <c r="A558" t="s">
        <v>6581</v>
      </c>
      <c r="B558" s="1">
        <v>557</v>
      </c>
      <c r="C558" t="s">
        <v>8263</v>
      </c>
      <c r="D558" t="s">
        <v>6654</v>
      </c>
      <c r="E558" t="s">
        <v>8264</v>
      </c>
      <c r="F558" t="s">
        <v>8265</v>
      </c>
      <c r="G558" t="s">
        <v>6586</v>
      </c>
    </row>
    <row r="559" spans="1:7">
      <c r="A559" t="s">
        <v>6581</v>
      </c>
      <c r="B559" s="1">
        <v>558</v>
      </c>
      <c r="C559" t="s">
        <v>8266</v>
      </c>
      <c r="D559" t="s">
        <v>6654</v>
      </c>
      <c r="E559" t="s">
        <v>8267</v>
      </c>
      <c r="F559" t="s">
        <v>8268</v>
      </c>
      <c r="G559" t="s">
        <v>6586</v>
      </c>
    </row>
    <row r="560" spans="1:7">
      <c r="A560" t="s">
        <v>6581</v>
      </c>
      <c r="B560" s="1">
        <v>559</v>
      </c>
      <c r="C560" t="s">
        <v>8269</v>
      </c>
      <c r="D560" t="s">
        <v>6609</v>
      </c>
      <c r="E560" t="s">
        <v>8270</v>
      </c>
      <c r="F560" t="s">
        <v>8271</v>
      </c>
      <c r="G560" t="s">
        <v>6586</v>
      </c>
    </row>
    <row r="561" spans="1:7">
      <c r="A561" t="s">
        <v>6581</v>
      </c>
      <c r="B561" s="1">
        <v>560</v>
      </c>
      <c r="C561" t="s">
        <v>8272</v>
      </c>
      <c r="D561" t="s">
        <v>6609</v>
      </c>
      <c r="E561" t="s">
        <v>8273</v>
      </c>
      <c r="F561" t="s">
        <v>8274</v>
      </c>
      <c r="G561" t="s">
        <v>6586</v>
      </c>
    </row>
    <row r="562" spans="1:7">
      <c r="A562" t="s">
        <v>6581</v>
      </c>
      <c r="B562" s="1">
        <v>561</v>
      </c>
      <c r="C562" t="s">
        <v>8275</v>
      </c>
      <c r="D562" t="s">
        <v>6771</v>
      </c>
      <c r="E562" t="s">
        <v>8276</v>
      </c>
      <c r="F562" t="s">
        <v>8277</v>
      </c>
      <c r="G562" t="s">
        <v>6586</v>
      </c>
    </row>
    <row r="563" spans="1:7">
      <c r="A563" t="s">
        <v>6581</v>
      </c>
      <c r="B563" s="1">
        <v>562</v>
      </c>
      <c r="C563" t="s">
        <v>8278</v>
      </c>
      <c r="D563" t="s">
        <v>6771</v>
      </c>
      <c r="E563" t="s">
        <v>8279</v>
      </c>
      <c r="F563" t="s">
        <v>8280</v>
      </c>
      <c r="G563" t="s">
        <v>6586</v>
      </c>
    </row>
    <row r="564" spans="1:7">
      <c r="A564" t="s">
        <v>6581</v>
      </c>
      <c r="B564" s="1">
        <v>563</v>
      </c>
      <c r="C564" t="s">
        <v>8281</v>
      </c>
      <c r="D564" t="s">
        <v>6771</v>
      </c>
      <c r="E564" t="s">
        <v>8282</v>
      </c>
      <c r="F564" t="s">
        <v>8283</v>
      </c>
      <c r="G564" t="s">
        <v>6586</v>
      </c>
    </row>
    <row r="565" spans="1:7">
      <c r="A565" t="s">
        <v>6581</v>
      </c>
      <c r="B565" s="1">
        <v>564</v>
      </c>
      <c r="C565" t="s">
        <v>8284</v>
      </c>
      <c r="D565" t="s">
        <v>6705</v>
      </c>
      <c r="E565" t="s">
        <v>8285</v>
      </c>
      <c r="F565" t="s">
        <v>8286</v>
      </c>
      <c r="G565" t="s">
        <v>6586</v>
      </c>
    </row>
    <row r="566" spans="1:7">
      <c r="A566" t="s">
        <v>6581</v>
      </c>
      <c r="B566" s="1">
        <v>565</v>
      </c>
      <c r="C566" t="s">
        <v>8287</v>
      </c>
      <c r="D566" t="s">
        <v>6705</v>
      </c>
      <c r="E566" t="s">
        <v>8288</v>
      </c>
      <c r="F566" t="s">
        <v>8289</v>
      </c>
      <c r="G566" t="s">
        <v>6586</v>
      </c>
    </row>
    <row r="567" spans="1:7">
      <c r="A567" t="s">
        <v>6581</v>
      </c>
      <c r="B567" s="1">
        <v>566</v>
      </c>
      <c r="C567" t="s">
        <v>8290</v>
      </c>
      <c r="D567" t="s">
        <v>6771</v>
      </c>
      <c r="E567" t="s">
        <v>8291</v>
      </c>
      <c r="F567" t="s">
        <v>8292</v>
      </c>
      <c r="G567" t="s">
        <v>6586</v>
      </c>
    </row>
    <row r="568" spans="1:7">
      <c r="A568" t="s">
        <v>6581</v>
      </c>
      <c r="B568" s="1">
        <v>567</v>
      </c>
      <c r="C568" t="s">
        <v>8293</v>
      </c>
      <c r="D568" t="s">
        <v>6771</v>
      </c>
      <c r="E568" t="s">
        <v>8294</v>
      </c>
      <c r="F568" t="s">
        <v>8295</v>
      </c>
      <c r="G568" t="s">
        <v>6586</v>
      </c>
    </row>
    <row r="569" spans="1:7">
      <c r="A569" t="s">
        <v>6581</v>
      </c>
      <c r="B569" s="1">
        <v>568</v>
      </c>
      <c r="C569" t="s">
        <v>8296</v>
      </c>
      <c r="D569" t="s">
        <v>6605</v>
      </c>
      <c r="E569" t="s">
        <v>8297</v>
      </c>
      <c r="F569" t="s">
        <v>8298</v>
      </c>
      <c r="G569" t="s">
        <v>6586</v>
      </c>
    </row>
    <row r="570" spans="1:7">
      <c r="A570" t="s">
        <v>6581</v>
      </c>
      <c r="B570" s="1">
        <v>569</v>
      </c>
      <c r="C570" t="s">
        <v>8299</v>
      </c>
      <c r="D570" t="s">
        <v>6598</v>
      </c>
      <c r="E570" t="s">
        <v>8300</v>
      </c>
      <c r="F570" t="s">
        <v>8301</v>
      </c>
      <c r="G570" t="s">
        <v>6586</v>
      </c>
    </row>
    <row r="571" spans="1:7">
      <c r="A571" t="s">
        <v>6581</v>
      </c>
      <c r="B571" s="1">
        <v>570</v>
      </c>
      <c r="C571" t="s">
        <v>8302</v>
      </c>
      <c r="D571" t="s">
        <v>6605</v>
      </c>
      <c r="E571" t="s">
        <v>8303</v>
      </c>
      <c r="F571" t="s">
        <v>8304</v>
      </c>
      <c r="G571" t="s">
        <v>6586</v>
      </c>
    </row>
    <row r="572" spans="1:7">
      <c r="A572" t="s">
        <v>6581</v>
      </c>
      <c r="B572" s="1">
        <v>571</v>
      </c>
      <c r="C572" t="s">
        <v>8305</v>
      </c>
      <c r="D572" t="s">
        <v>6734</v>
      </c>
      <c r="E572" t="s">
        <v>8306</v>
      </c>
      <c r="F572" t="s">
        <v>8307</v>
      </c>
      <c r="G572" t="s">
        <v>6586</v>
      </c>
    </row>
    <row r="573" spans="1:7">
      <c r="A573" t="s">
        <v>6581</v>
      </c>
      <c r="B573" s="1">
        <v>572</v>
      </c>
      <c r="C573" t="s">
        <v>8308</v>
      </c>
      <c r="D573" t="s">
        <v>6734</v>
      </c>
      <c r="E573" t="s">
        <v>8309</v>
      </c>
      <c r="F573" t="s">
        <v>8310</v>
      </c>
      <c r="G573" t="s">
        <v>6586</v>
      </c>
    </row>
    <row r="574" spans="1:7">
      <c r="A574" t="s">
        <v>6581</v>
      </c>
      <c r="B574" s="1">
        <v>573</v>
      </c>
      <c r="C574" t="s">
        <v>8311</v>
      </c>
      <c r="D574" t="s">
        <v>6771</v>
      </c>
      <c r="E574" t="s">
        <v>8312</v>
      </c>
      <c r="F574" t="s">
        <v>8313</v>
      </c>
      <c r="G574" t="s">
        <v>6586</v>
      </c>
    </row>
    <row r="575" spans="1:7">
      <c r="A575" t="s">
        <v>6581</v>
      </c>
      <c r="B575" s="1">
        <v>574</v>
      </c>
      <c r="C575" t="s">
        <v>8314</v>
      </c>
      <c r="D575" t="s">
        <v>6734</v>
      </c>
      <c r="E575" t="s">
        <v>8315</v>
      </c>
      <c r="F575" t="s">
        <v>8316</v>
      </c>
      <c r="G575" t="s">
        <v>6586</v>
      </c>
    </row>
    <row r="576" spans="1:7">
      <c r="A576" t="s">
        <v>6581</v>
      </c>
      <c r="B576" s="1">
        <v>575</v>
      </c>
      <c r="C576" t="s">
        <v>8317</v>
      </c>
      <c r="D576" t="s">
        <v>6695</v>
      </c>
      <c r="E576" t="s">
        <v>8318</v>
      </c>
      <c r="F576" t="s">
        <v>8319</v>
      </c>
      <c r="G576" t="s">
        <v>6586</v>
      </c>
    </row>
    <row r="577" spans="1:7">
      <c r="A577" t="s">
        <v>6581</v>
      </c>
      <c r="B577" s="1">
        <v>576</v>
      </c>
      <c r="C577" t="s">
        <v>8320</v>
      </c>
      <c r="D577" t="s">
        <v>6654</v>
      </c>
      <c r="E577" t="s">
        <v>8321</v>
      </c>
      <c r="F577" t="s">
        <v>8322</v>
      </c>
      <c r="G577" t="s">
        <v>6586</v>
      </c>
    </row>
    <row r="578" spans="1:7">
      <c r="A578" t="s">
        <v>6581</v>
      </c>
      <c r="B578" s="1">
        <v>577</v>
      </c>
      <c r="C578" t="s">
        <v>8323</v>
      </c>
      <c r="D578" t="s">
        <v>6654</v>
      </c>
      <c r="E578" t="s">
        <v>8324</v>
      </c>
      <c r="F578" t="s">
        <v>8325</v>
      </c>
      <c r="G578" t="s">
        <v>6586</v>
      </c>
    </row>
    <row r="579" spans="1:7">
      <c r="A579" t="s">
        <v>6581</v>
      </c>
      <c r="B579" s="1">
        <v>578</v>
      </c>
      <c r="C579" t="s">
        <v>8326</v>
      </c>
      <c r="D579" t="s">
        <v>6695</v>
      </c>
      <c r="E579" t="s">
        <v>8327</v>
      </c>
      <c r="F579" t="s">
        <v>8328</v>
      </c>
      <c r="G579" t="s">
        <v>6586</v>
      </c>
    </row>
    <row r="580" spans="1:7">
      <c r="A580" t="s">
        <v>6581</v>
      </c>
      <c r="B580" s="1">
        <v>579</v>
      </c>
      <c r="C580" t="s">
        <v>8329</v>
      </c>
      <c r="D580" t="s">
        <v>6695</v>
      </c>
      <c r="E580" t="s">
        <v>8330</v>
      </c>
      <c r="F580" t="s">
        <v>8331</v>
      </c>
      <c r="G580" t="s">
        <v>6586</v>
      </c>
    </row>
    <row r="581" spans="1:7">
      <c r="A581" t="s">
        <v>6581</v>
      </c>
      <c r="B581" s="1">
        <v>580</v>
      </c>
      <c r="C581" t="s">
        <v>8332</v>
      </c>
      <c r="D581" t="s">
        <v>6695</v>
      </c>
      <c r="E581" t="s">
        <v>8333</v>
      </c>
      <c r="F581" t="s">
        <v>8334</v>
      </c>
      <c r="G581" t="s">
        <v>6586</v>
      </c>
    </row>
    <row r="582" spans="1:7">
      <c r="A582" t="s">
        <v>6581</v>
      </c>
      <c r="B582" s="1">
        <v>581</v>
      </c>
      <c r="C582" t="s">
        <v>8335</v>
      </c>
      <c r="D582" t="s">
        <v>6695</v>
      </c>
      <c r="E582" t="s">
        <v>8336</v>
      </c>
      <c r="F582" t="s">
        <v>8337</v>
      </c>
      <c r="G582" t="s">
        <v>6586</v>
      </c>
    </row>
    <row r="583" spans="1:7">
      <c r="A583" t="s">
        <v>6581</v>
      </c>
      <c r="B583" s="1">
        <v>582</v>
      </c>
      <c r="C583" t="s">
        <v>8338</v>
      </c>
      <c r="D583" t="s">
        <v>6605</v>
      </c>
      <c r="E583" t="s">
        <v>8339</v>
      </c>
      <c r="F583" t="s">
        <v>8340</v>
      </c>
      <c r="G583" t="s">
        <v>6586</v>
      </c>
    </row>
    <row r="584" spans="1:7">
      <c r="A584" t="s">
        <v>6581</v>
      </c>
      <c r="B584" s="1">
        <v>583</v>
      </c>
      <c r="C584" t="s">
        <v>8341</v>
      </c>
      <c r="D584" t="s">
        <v>6695</v>
      </c>
      <c r="E584" t="s">
        <v>8342</v>
      </c>
      <c r="F584" t="s">
        <v>8343</v>
      </c>
      <c r="G584" t="s">
        <v>6586</v>
      </c>
    </row>
    <row r="585" spans="1:7">
      <c r="A585" t="s">
        <v>6581</v>
      </c>
      <c r="B585" s="1">
        <v>584</v>
      </c>
      <c r="C585" t="s">
        <v>8344</v>
      </c>
      <c r="D585" t="s">
        <v>6734</v>
      </c>
      <c r="E585" t="s">
        <v>8345</v>
      </c>
      <c r="F585" t="s">
        <v>8346</v>
      </c>
      <c r="G585" t="s">
        <v>6586</v>
      </c>
    </row>
    <row r="586" spans="1:7">
      <c r="A586" t="s">
        <v>6581</v>
      </c>
      <c r="B586" s="1">
        <v>585</v>
      </c>
      <c r="C586" t="s">
        <v>8347</v>
      </c>
      <c r="D586" t="s">
        <v>6734</v>
      </c>
      <c r="E586" t="s">
        <v>8348</v>
      </c>
      <c r="F586" t="s">
        <v>8349</v>
      </c>
      <c r="G586" t="s">
        <v>6586</v>
      </c>
    </row>
    <row r="587" spans="1:7">
      <c r="A587" t="s">
        <v>6581</v>
      </c>
      <c r="B587" s="1">
        <v>586</v>
      </c>
      <c r="C587" t="s">
        <v>8350</v>
      </c>
      <c r="D587" t="s">
        <v>6695</v>
      </c>
      <c r="E587" t="s">
        <v>8351</v>
      </c>
      <c r="F587" t="s">
        <v>8352</v>
      </c>
      <c r="G587" t="s">
        <v>6586</v>
      </c>
    </row>
    <row r="588" spans="1:7">
      <c r="A588" t="s">
        <v>6581</v>
      </c>
      <c r="B588" s="1">
        <v>587</v>
      </c>
      <c r="C588" t="s">
        <v>8353</v>
      </c>
      <c r="D588" t="s">
        <v>6695</v>
      </c>
      <c r="E588" t="s">
        <v>8354</v>
      </c>
      <c r="F588" t="s">
        <v>8355</v>
      </c>
      <c r="G588" t="s">
        <v>6586</v>
      </c>
    </row>
    <row r="589" spans="1:7">
      <c r="A589" t="s">
        <v>6581</v>
      </c>
      <c r="B589" s="1">
        <v>588</v>
      </c>
      <c r="C589" t="s">
        <v>8356</v>
      </c>
      <c r="D589" t="s">
        <v>6654</v>
      </c>
      <c r="E589" t="s">
        <v>8357</v>
      </c>
      <c r="F589" t="s">
        <v>8358</v>
      </c>
      <c r="G589" t="s">
        <v>6586</v>
      </c>
    </row>
    <row r="590" spans="1:7">
      <c r="A590" t="s">
        <v>6581</v>
      </c>
      <c r="B590" s="1">
        <v>589</v>
      </c>
      <c r="C590" t="s">
        <v>8359</v>
      </c>
      <c r="D590" t="s">
        <v>6654</v>
      </c>
      <c r="E590" t="s">
        <v>8360</v>
      </c>
      <c r="F590" t="s">
        <v>8361</v>
      </c>
      <c r="G590" t="s">
        <v>6586</v>
      </c>
    </row>
    <row r="591" spans="1:7">
      <c r="A591" t="s">
        <v>6581</v>
      </c>
      <c r="B591" s="1">
        <v>590</v>
      </c>
      <c r="C591" t="s">
        <v>8362</v>
      </c>
      <c r="D591" t="s">
        <v>6654</v>
      </c>
      <c r="E591" t="s">
        <v>8363</v>
      </c>
      <c r="F591" t="s">
        <v>8364</v>
      </c>
      <c r="G591" t="s">
        <v>6586</v>
      </c>
    </row>
    <row r="592" spans="1:7">
      <c r="A592" t="s">
        <v>6581</v>
      </c>
      <c r="B592" s="1">
        <v>591</v>
      </c>
      <c r="C592" t="s">
        <v>8365</v>
      </c>
      <c r="D592" t="s">
        <v>6654</v>
      </c>
      <c r="E592" t="s">
        <v>8366</v>
      </c>
      <c r="F592" t="s">
        <v>8367</v>
      </c>
      <c r="G592" t="s">
        <v>6586</v>
      </c>
    </row>
    <row r="593" spans="1:7">
      <c r="A593" t="s">
        <v>6581</v>
      </c>
      <c r="B593" s="1">
        <v>592</v>
      </c>
      <c r="C593" t="s">
        <v>8368</v>
      </c>
      <c r="D593" t="s">
        <v>6734</v>
      </c>
      <c r="E593" t="s">
        <v>8369</v>
      </c>
      <c r="F593" t="s">
        <v>8370</v>
      </c>
      <c r="G593" t="s">
        <v>6586</v>
      </c>
    </row>
    <row r="594" spans="1:7">
      <c r="A594" t="s">
        <v>6581</v>
      </c>
      <c r="B594" s="1">
        <v>593</v>
      </c>
      <c r="C594" t="s">
        <v>8371</v>
      </c>
      <c r="D594" t="s">
        <v>6705</v>
      </c>
      <c r="E594" t="s">
        <v>8372</v>
      </c>
      <c r="F594" t="s">
        <v>8373</v>
      </c>
      <c r="G594" t="s">
        <v>6586</v>
      </c>
    </row>
    <row r="595" spans="1:7">
      <c r="A595" t="s">
        <v>6581</v>
      </c>
      <c r="B595" s="1">
        <v>594</v>
      </c>
      <c r="C595" t="s">
        <v>6746</v>
      </c>
      <c r="D595" t="s">
        <v>6771</v>
      </c>
      <c r="E595" t="s">
        <v>8374</v>
      </c>
      <c r="F595" t="s">
        <v>8375</v>
      </c>
      <c r="G595" t="s">
        <v>6586</v>
      </c>
    </row>
    <row r="596" spans="1:7">
      <c r="A596" t="s">
        <v>6581</v>
      </c>
      <c r="B596" s="1">
        <v>595</v>
      </c>
      <c r="C596" t="s">
        <v>8376</v>
      </c>
      <c r="D596" t="s">
        <v>6695</v>
      </c>
      <c r="E596" t="s">
        <v>8377</v>
      </c>
      <c r="F596" t="s">
        <v>8378</v>
      </c>
      <c r="G596" t="s">
        <v>6586</v>
      </c>
    </row>
    <row r="597" spans="1:7">
      <c r="A597" t="s">
        <v>6581</v>
      </c>
      <c r="B597" s="1">
        <v>596</v>
      </c>
      <c r="C597" t="s">
        <v>8379</v>
      </c>
      <c r="D597" t="s">
        <v>6695</v>
      </c>
      <c r="E597" t="s">
        <v>8380</v>
      </c>
      <c r="F597" t="s">
        <v>8381</v>
      </c>
      <c r="G597" t="s">
        <v>6586</v>
      </c>
    </row>
    <row r="598" spans="1:7">
      <c r="A598" t="s">
        <v>6581</v>
      </c>
      <c r="B598" s="1">
        <v>597</v>
      </c>
      <c r="C598" t="s">
        <v>8382</v>
      </c>
      <c r="D598" t="s">
        <v>6771</v>
      </c>
      <c r="E598" t="s">
        <v>8383</v>
      </c>
      <c r="F598" t="s">
        <v>8384</v>
      </c>
      <c r="G598" t="s">
        <v>6586</v>
      </c>
    </row>
    <row r="599" spans="1:7">
      <c r="A599" t="s">
        <v>6581</v>
      </c>
      <c r="B599" s="1">
        <v>598</v>
      </c>
      <c r="C599" t="s">
        <v>8385</v>
      </c>
      <c r="D599" t="s">
        <v>6695</v>
      </c>
      <c r="E599" t="s">
        <v>8386</v>
      </c>
      <c r="F599" t="s">
        <v>8387</v>
      </c>
      <c r="G599" t="s">
        <v>6586</v>
      </c>
    </row>
    <row r="600" spans="1:7">
      <c r="A600" t="s">
        <v>6581</v>
      </c>
      <c r="B600" s="1">
        <v>599</v>
      </c>
      <c r="C600" t="s">
        <v>8388</v>
      </c>
      <c r="D600" t="s">
        <v>6734</v>
      </c>
      <c r="E600" t="s">
        <v>8389</v>
      </c>
      <c r="F600" t="s">
        <v>8390</v>
      </c>
      <c r="G600" t="s">
        <v>6586</v>
      </c>
    </row>
    <row r="601" spans="1:7">
      <c r="A601" t="s">
        <v>6581</v>
      </c>
      <c r="B601" s="1">
        <v>600</v>
      </c>
      <c r="C601" t="s">
        <v>8391</v>
      </c>
      <c r="D601" t="s">
        <v>6771</v>
      </c>
      <c r="E601" t="s">
        <v>8392</v>
      </c>
      <c r="F601" t="s">
        <v>8393</v>
      </c>
      <c r="G601" t="s">
        <v>6586</v>
      </c>
    </row>
    <row r="602" spans="1:7">
      <c r="A602" t="s">
        <v>6581</v>
      </c>
      <c r="B602" s="1">
        <v>601</v>
      </c>
      <c r="C602" t="s">
        <v>8394</v>
      </c>
      <c r="D602" t="s">
        <v>6605</v>
      </c>
      <c r="E602" t="s">
        <v>8395</v>
      </c>
      <c r="F602" t="s">
        <v>8396</v>
      </c>
      <c r="G602" t="s">
        <v>6586</v>
      </c>
    </row>
    <row r="603" spans="1:7">
      <c r="A603" t="s">
        <v>6581</v>
      </c>
      <c r="B603" s="1">
        <v>602</v>
      </c>
      <c r="C603" t="s">
        <v>8397</v>
      </c>
      <c r="D603" t="s">
        <v>6605</v>
      </c>
      <c r="E603" t="s">
        <v>8398</v>
      </c>
      <c r="F603" t="s">
        <v>8399</v>
      </c>
      <c r="G603" t="s">
        <v>6586</v>
      </c>
    </row>
    <row r="604" spans="1:7">
      <c r="A604" t="s">
        <v>6581</v>
      </c>
      <c r="B604" s="1">
        <v>603</v>
      </c>
      <c r="C604" t="s">
        <v>8400</v>
      </c>
      <c r="D604" t="s">
        <v>6771</v>
      </c>
      <c r="E604" t="s">
        <v>8401</v>
      </c>
      <c r="F604" t="s">
        <v>8402</v>
      </c>
      <c r="G604" t="s">
        <v>6586</v>
      </c>
    </row>
    <row r="605" spans="1:7">
      <c r="A605" t="s">
        <v>6581</v>
      </c>
      <c r="B605" s="1">
        <v>604</v>
      </c>
      <c r="C605" t="s">
        <v>8403</v>
      </c>
      <c r="D605" t="s">
        <v>6771</v>
      </c>
      <c r="E605" t="s">
        <v>8404</v>
      </c>
      <c r="F605" t="s">
        <v>8405</v>
      </c>
      <c r="G605" t="s">
        <v>6586</v>
      </c>
    </row>
    <row r="606" spans="1:7">
      <c r="A606" t="s">
        <v>6581</v>
      </c>
      <c r="B606" s="1">
        <v>605</v>
      </c>
      <c r="C606" t="s">
        <v>8406</v>
      </c>
      <c r="D606" t="s">
        <v>6654</v>
      </c>
      <c r="E606" t="s">
        <v>8407</v>
      </c>
      <c r="F606" t="s">
        <v>8408</v>
      </c>
      <c r="G606" t="s">
        <v>6586</v>
      </c>
    </row>
    <row r="607" spans="1:7">
      <c r="A607" t="s">
        <v>6581</v>
      </c>
      <c r="B607" s="1">
        <v>606</v>
      </c>
      <c r="C607" t="s">
        <v>8409</v>
      </c>
      <c r="D607" t="s">
        <v>6605</v>
      </c>
      <c r="E607" t="s">
        <v>8410</v>
      </c>
      <c r="F607" t="s">
        <v>8411</v>
      </c>
      <c r="G607" t="s">
        <v>6586</v>
      </c>
    </row>
    <row r="608" spans="1:7">
      <c r="A608" t="s">
        <v>6581</v>
      </c>
      <c r="B608" s="1">
        <v>607</v>
      </c>
      <c r="C608" t="s">
        <v>8412</v>
      </c>
      <c r="D608" t="s">
        <v>6771</v>
      </c>
      <c r="E608" t="s">
        <v>8413</v>
      </c>
      <c r="F608" t="s">
        <v>8414</v>
      </c>
      <c r="G608" t="s">
        <v>6586</v>
      </c>
    </row>
    <row r="609" spans="1:7">
      <c r="A609" t="s">
        <v>6581</v>
      </c>
      <c r="B609" s="1">
        <v>608</v>
      </c>
      <c r="C609" t="s">
        <v>8415</v>
      </c>
      <c r="D609" t="s">
        <v>6654</v>
      </c>
      <c r="E609" t="s">
        <v>8416</v>
      </c>
      <c r="F609" t="s">
        <v>8417</v>
      </c>
      <c r="G609" t="s">
        <v>6586</v>
      </c>
    </row>
    <row r="610" spans="1:7">
      <c r="A610" t="s">
        <v>6581</v>
      </c>
      <c r="B610" s="1">
        <v>609</v>
      </c>
      <c r="C610" t="s">
        <v>8418</v>
      </c>
      <c r="D610" t="s">
        <v>6734</v>
      </c>
      <c r="E610" t="s">
        <v>8419</v>
      </c>
      <c r="F610" t="s">
        <v>8420</v>
      </c>
      <c r="G610" t="s">
        <v>6586</v>
      </c>
    </row>
    <row r="611" spans="1:7">
      <c r="A611" t="s">
        <v>6581</v>
      </c>
      <c r="B611" s="1">
        <v>610</v>
      </c>
      <c r="C611" t="s">
        <v>8421</v>
      </c>
      <c r="D611" t="s">
        <v>6734</v>
      </c>
      <c r="E611" t="s">
        <v>8422</v>
      </c>
      <c r="F611" t="s">
        <v>8423</v>
      </c>
      <c r="G611" t="s">
        <v>6586</v>
      </c>
    </row>
    <row r="612" spans="1:7">
      <c r="A612" t="s">
        <v>6581</v>
      </c>
      <c r="B612" s="1">
        <v>611</v>
      </c>
      <c r="C612" t="s">
        <v>8424</v>
      </c>
      <c r="D612" t="s">
        <v>6654</v>
      </c>
      <c r="E612" t="s">
        <v>8425</v>
      </c>
      <c r="F612" t="s">
        <v>8426</v>
      </c>
      <c r="G612" t="s">
        <v>6586</v>
      </c>
    </row>
    <row r="613" spans="1:7">
      <c r="A613" t="s">
        <v>6581</v>
      </c>
      <c r="B613" s="1">
        <v>612</v>
      </c>
      <c r="C613" t="s">
        <v>8427</v>
      </c>
      <c r="D613" t="s">
        <v>6654</v>
      </c>
      <c r="E613" t="s">
        <v>8428</v>
      </c>
      <c r="F613" t="s">
        <v>8429</v>
      </c>
      <c r="G613" t="s">
        <v>6586</v>
      </c>
    </row>
    <row r="614" spans="1:7">
      <c r="A614" t="s">
        <v>6581</v>
      </c>
      <c r="B614" s="1">
        <v>613</v>
      </c>
      <c r="C614" t="s">
        <v>8430</v>
      </c>
      <c r="D614" t="s">
        <v>6734</v>
      </c>
      <c r="E614" t="s">
        <v>8431</v>
      </c>
      <c r="F614" t="s">
        <v>8432</v>
      </c>
      <c r="G614" t="s">
        <v>6586</v>
      </c>
    </row>
    <row r="615" spans="1:7">
      <c r="A615" t="s">
        <v>6581</v>
      </c>
      <c r="B615" s="1">
        <v>614</v>
      </c>
      <c r="C615" t="s">
        <v>8433</v>
      </c>
      <c r="D615" t="s">
        <v>6771</v>
      </c>
      <c r="E615" t="s">
        <v>8434</v>
      </c>
      <c r="F615" t="s">
        <v>8435</v>
      </c>
      <c r="G615" t="s">
        <v>6586</v>
      </c>
    </row>
    <row r="616" spans="1:7">
      <c r="A616" t="s">
        <v>6581</v>
      </c>
      <c r="B616" s="1">
        <v>615</v>
      </c>
      <c r="C616" t="s">
        <v>8436</v>
      </c>
      <c r="D616" t="s">
        <v>6734</v>
      </c>
      <c r="E616" t="s">
        <v>8437</v>
      </c>
      <c r="F616" t="s">
        <v>8438</v>
      </c>
      <c r="G616" t="s">
        <v>6586</v>
      </c>
    </row>
    <row r="617" spans="1:7">
      <c r="A617" t="s">
        <v>6581</v>
      </c>
      <c r="B617" s="1">
        <v>616</v>
      </c>
      <c r="C617" t="s">
        <v>8439</v>
      </c>
      <c r="D617" t="s">
        <v>6734</v>
      </c>
      <c r="E617" t="s">
        <v>8440</v>
      </c>
      <c r="F617" t="s">
        <v>8441</v>
      </c>
      <c r="G617" t="s">
        <v>6586</v>
      </c>
    </row>
    <row r="618" spans="1:7">
      <c r="A618" t="s">
        <v>6581</v>
      </c>
      <c r="B618" s="1">
        <v>617</v>
      </c>
      <c r="C618" t="s">
        <v>8442</v>
      </c>
      <c r="D618" t="s">
        <v>6771</v>
      </c>
      <c r="E618" t="s">
        <v>8443</v>
      </c>
      <c r="F618" t="s">
        <v>8444</v>
      </c>
      <c r="G618" t="s">
        <v>6586</v>
      </c>
    </row>
    <row r="619" spans="1:7">
      <c r="A619" t="s">
        <v>6581</v>
      </c>
      <c r="B619" s="1">
        <v>618</v>
      </c>
      <c r="C619" t="s">
        <v>8445</v>
      </c>
      <c r="D619" t="s">
        <v>6695</v>
      </c>
      <c r="E619" t="s">
        <v>8446</v>
      </c>
      <c r="F619" t="s">
        <v>8447</v>
      </c>
      <c r="G619" t="s">
        <v>6586</v>
      </c>
    </row>
    <row r="620" spans="1:7">
      <c r="A620" t="s">
        <v>6581</v>
      </c>
      <c r="B620" s="1">
        <v>619</v>
      </c>
      <c r="C620" t="s">
        <v>8448</v>
      </c>
      <c r="D620" t="s">
        <v>6734</v>
      </c>
      <c r="E620" t="s">
        <v>8449</v>
      </c>
      <c r="F620" t="s">
        <v>8450</v>
      </c>
      <c r="G620" t="s">
        <v>6586</v>
      </c>
    </row>
    <row r="621" spans="1:7">
      <c r="A621" t="s">
        <v>6581</v>
      </c>
      <c r="B621" s="1">
        <v>620</v>
      </c>
      <c r="C621" t="s">
        <v>8451</v>
      </c>
      <c r="D621" t="s">
        <v>6734</v>
      </c>
      <c r="E621" t="s">
        <v>8452</v>
      </c>
      <c r="F621" t="s">
        <v>8453</v>
      </c>
      <c r="G621" t="s">
        <v>6586</v>
      </c>
    </row>
    <row r="622" spans="1:7">
      <c r="A622" t="s">
        <v>6581</v>
      </c>
      <c r="B622" s="1">
        <v>621</v>
      </c>
      <c r="C622" t="s">
        <v>8454</v>
      </c>
      <c r="D622" t="s">
        <v>6734</v>
      </c>
      <c r="E622" t="s">
        <v>8455</v>
      </c>
      <c r="F622" t="s">
        <v>8456</v>
      </c>
      <c r="G622" t="s">
        <v>6586</v>
      </c>
    </row>
    <row r="623" spans="1:7">
      <c r="A623" t="s">
        <v>6581</v>
      </c>
      <c r="B623" s="1">
        <v>622</v>
      </c>
      <c r="C623" t="s">
        <v>8457</v>
      </c>
      <c r="D623" t="s">
        <v>6734</v>
      </c>
      <c r="E623" t="s">
        <v>8458</v>
      </c>
      <c r="F623" t="s">
        <v>8459</v>
      </c>
      <c r="G623" t="s">
        <v>6586</v>
      </c>
    </row>
    <row r="624" spans="1:7">
      <c r="A624" t="s">
        <v>6581</v>
      </c>
      <c r="B624" s="1">
        <v>623</v>
      </c>
      <c r="C624" t="s">
        <v>8460</v>
      </c>
      <c r="D624" t="s">
        <v>6734</v>
      </c>
      <c r="E624" t="s">
        <v>8461</v>
      </c>
      <c r="F624" t="s">
        <v>8462</v>
      </c>
      <c r="G624" t="s">
        <v>6586</v>
      </c>
    </row>
    <row r="625" spans="1:7">
      <c r="A625" t="s">
        <v>6581</v>
      </c>
      <c r="B625" s="1">
        <v>624</v>
      </c>
      <c r="C625" t="s">
        <v>8463</v>
      </c>
      <c r="D625" t="s">
        <v>6771</v>
      </c>
      <c r="E625" t="s">
        <v>8464</v>
      </c>
      <c r="F625" t="s">
        <v>8465</v>
      </c>
      <c r="G625" t="s">
        <v>6586</v>
      </c>
    </row>
    <row r="626" spans="1:7">
      <c r="A626" t="s">
        <v>6581</v>
      </c>
      <c r="B626" s="1">
        <v>625</v>
      </c>
      <c r="C626" t="s">
        <v>8466</v>
      </c>
      <c r="D626" t="s">
        <v>6771</v>
      </c>
      <c r="E626" t="s">
        <v>8467</v>
      </c>
      <c r="F626" t="s">
        <v>8468</v>
      </c>
      <c r="G626" t="s">
        <v>6586</v>
      </c>
    </row>
    <row r="627" spans="1:7">
      <c r="A627" t="s">
        <v>6581</v>
      </c>
      <c r="B627" s="1">
        <v>626</v>
      </c>
      <c r="C627" t="s">
        <v>8469</v>
      </c>
      <c r="D627" t="s">
        <v>6771</v>
      </c>
      <c r="E627" t="s">
        <v>8470</v>
      </c>
      <c r="F627" t="s">
        <v>8471</v>
      </c>
      <c r="G627" t="s">
        <v>6586</v>
      </c>
    </row>
    <row r="628" spans="1:7">
      <c r="A628" t="s">
        <v>6581</v>
      </c>
      <c r="B628" s="1">
        <v>627</v>
      </c>
      <c r="C628" t="s">
        <v>8472</v>
      </c>
      <c r="D628" t="s">
        <v>6734</v>
      </c>
      <c r="E628" t="s">
        <v>8473</v>
      </c>
      <c r="F628" t="s">
        <v>8474</v>
      </c>
      <c r="G628" t="s">
        <v>6586</v>
      </c>
    </row>
    <row r="629" spans="1:7">
      <c r="A629" t="s">
        <v>6581</v>
      </c>
      <c r="B629" s="1">
        <v>628</v>
      </c>
      <c r="C629" t="s">
        <v>8475</v>
      </c>
      <c r="D629" t="s">
        <v>6734</v>
      </c>
      <c r="E629" t="s">
        <v>8476</v>
      </c>
      <c r="F629" t="s">
        <v>8477</v>
      </c>
      <c r="G629" t="s">
        <v>6586</v>
      </c>
    </row>
    <row r="630" spans="1:7">
      <c r="A630" t="s">
        <v>6581</v>
      </c>
      <c r="B630" s="1">
        <v>629</v>
      </c>
      <c r="C630" t="s">
        <v>8478</v>
      </c>
      <c r="D630" t="s">
        <v>6771</v>
      </c>
      <c r="E630" t="s">
        <v>8479</v>
      </c>
      <c r="F630" t="s">
        <v>8480</v>
      </c>
      <c r="G630" t="s">
        <v>6586</v>
      </c>
    </row>
    <row r="631" spans="1:7">
      <c r="A631" t="s">
        <v>6581</v>
      </c>
      <c r="B631" s="1">
        <v>630</v>
      </c>
      <c r="C631" t="s">
        <v>8481</v>
      </c>
      <c r="D631" t="s">
        <v>6734</v>
      </c>
      <c r="E631" t="s">
        <v>8482</v>
      </c>
      <c r="F631" t="s">
        <v>8483</v>
      </c>
      <c r="G631" t="s">
        <v>6586</v>
      </c>
    </row>
    <row r="632" spans="1:7">
      <c r="A632" t="s">
        <v>6581</v>
      </c>
      <c r="B632" s="1">
        <v>631</v>
      </c>
      <c r="C632" t="s">
        <v>8484</v>
      </c>
      <c r="D632" t="s">
        <v>6734</v>
      </c>
      <c r="E632" t="s">
        <v>8485</v>
      </c>
      <c r="F632" t="s">
        <v>8486</v>
      </c>
      <c r="G632" t="s">
        <v>6586</v>
      </c>
    </row>
    <row r="633" spans="1:7">
      <c r="A633" t="s">
        <v>6581</v>
      </c>
      <c r="B633" s="1">
        <v>632</v>
      </c>
      <c r="C633" t="s">
        <v>8487</v>
      </c>
      <c r="D633" t="s">
        <v>6734</v>
      </c>
      <c r="E633" t="s">
        <v>8488</v>
      </c>
      <c r="F633" t="s">
        <v>8489</v>
      </c>
      <c r="G633" t="s">
        <v>6586</v>
      </c>
    </row>
    <row r="634" spans="1:7">
      <c r="A634" t="s">
        <v>6581</v>
      </c>
      <c r="B634" s="1">
        <v>633</v>
      </c>
      <c r="C634" t="s">
        <v>8490</v>
      </c>
      <c r="D634" t="s">
        <v>6771</v>
      </c>
      <c r="E634" t="s">
        <v>8491</v>
      </c>
      <c r="F634" t="s">
        <v>8492</v>
      </c>
      <c r="G634" t="s">
        <v>6586</v>
      </c>
    </row>
    <row r="635" spans="1:7">
      <c r="A635" t="s">
        <v>6581</v>
      </c>
      <c r="B635" s="1">
        <v>634</v>
      </c>
      <c r="C635" t="s">
        <v>8493</v>
      </c>
      <c r="D635" t="s">
        <v>6734</v>
      </c>
      <c r="E635" t="s">
        <v>8494</v>
      </c>
      <c r="F635" t="s">
        <v>8495</v>
      </c>
      <c r="G635" t="s">
        <v>6586</v>
      </c>
    </row>
    <row r="636" spans="1:7">
      <c r="A636" t="s">
        <v>6581</v>
      </c>
      <c r="B636" s="1">
        <v>635</v>
      </c>
      <c r="C636" t="s">
        <v>8496</v>
      </c>
      <c r="D636" t="s">
        <v>6705</v>
      </c>
      <c r="E636" t="s">
        <v>8497</v>
      </c>
      <c r="F636" t="s">
        <v>8498</v>
      </c>
      <c r="G636" t="s">
        <v>6586</v>
      </c>
    </row>
    <row r="637" spans="1:7">
      <c r="A637" t="s">
        <v>6581</v>
      </c>
      <c r="B637" s="1">
        <v>636</v>
      </c>
      <c r="C637" t="s">
        <v>8499</v>
      </c>
      <c r="D637" t="s">
        <v>6734</v>
      </c>
      <c r="E637" t="s">
        <v>8500</v>
      </c>
      <c r="F637" t="s">
        <v>8501</v>
      </c>
      <c r="G637" t="s">
        <v>6586</v>
      </c>
    </row>
    <row r="638" spans="1:7">
      <c r="A638" t="s">
        <v>6581</v>
      </c>
      <c r="B638" s="1">
        <v>637</v>
      </c>
      <c r="C638" t="s">
        <v>8502</v>
      </c>
      <c r="D638" t="s">
        <v>6654</v>
      </c>
      <c r="E638" t="s">
        <v>8503</v>
      </c>
      <c r="F638" t="s">
        <v>8504</v>
      </c>
      <c r="G638" t="s">
        <v>6586</v>
      </c>
    </row>
    <row r="639" spans="1:7">
      <c r="A639" t="s">
        <v>6581</v>
      </c>
      <c r="B639" s="1">
        <v>638</v>
      </c>
      <c r="C639" t="s">
        <v>8505</v>
      </c>
      <c r="D639" t="s">
        <v>6609</v>
      </c>
      <c r="E639" t="s">
        <v>8506</v>
      </c>
      <c r="F639" t="s">
        <v>8507</v>
      </c>
      <c r="G639" t="s">
        <v>6586</v>
      </c>
    </row>
    <row r="640" spans="1:7">
      <c r="A640" t="s">
        <v>6581</v>
      </c>
      <c r="B640" s="1">
        <v>639</v>
      </c>
      <c r="C640" t="s">
        <v>8508</v>
      </c>
      <c r="D640" t="s">
        <v>6734</v>
      </c>
      <c r="E640" t="s">
        <v>8509</v>
      </c>
      <c r="F640" t="s">
        <v>8510</v>
      </c>
      <c r="G640" t="s">
        <v>6586</v>
      </c>
    </row>
    <row r="641" spans="1:7">
      <c r="A641" t="s">
        <v>6581</v>
      </c>
      <c r="B641" s="1">
        <v>640</v>
      </c>
      <c r="C641" t="s">
        <v>8511</v>
      </c>
      <c r="D641" t="s">
        <v>6605</v>
      </c>
      <c r="E641" t="s">
        <v>8512</v>
      </c>
      <c r="F641" t="s">
        <v>8513</v>
      </c>
      <c r="G641" t="s">
        <v>6586</v>
      </c>
    </row>
    <row r="642" spans="1:7">
      <c r="A642" t="s">
        <v>6581</v>
      </c>
      <c r="B642" s="1">
        <v>641</v>
      </c>
      <c r="C642" t="s">
        <v>8514</v>
      </c>
      <c r="D642" t="s">
        <v>6598</v>
      </c>
      <c r="E642" t="s">
        <v>8515</v>
      </c>
      <c r="F642" t="s">
        <v>8516</v>
      </c>
      <c r="G642" t="s">
        <v>6586</v>
      </c>
    </row>
    <row r="643" spans="1:7">
      <c r="A643" t="s">
        <v>6581</v>
      </c>
      <c r="B643" s="1">
        <v>642</v>
      </c>
      <c r="C643" t="s">
        <v>8517</v>
      </c>
      <c r="D643" t="s">
        <v>6605</v>
      </c>
      <c r="E643" t="s">
        <v>8518</v>
      </c>
      <c r="F643" t="s">
        <v>8519</v>
      </c>
      <c r="G643" t="s">
        <v>6586</v>
      </c>
    </row>
    <row r="644" spans="1:7">
      <c r="A644" t="s">
        <v>6581</v>
      </c>
      <c r="B644" s="1">
        <v>643</v>
      </c>
      <c r="C644" t="s">
        <v>8520</v>
      </c>
      <c r="D644" t="s">
        <v>6598</v>
      </c>
      <c r="E644" t="s">
        <v>8521</v>
      </c>
      <c r="F644" t="s">
        <v>8522</v>
      </c>
      <c r="G644" t="s">
        <v>6586</v>
      </c>
    </row>
    <row r="645" spans="1:7">
      <c r="A645" t="s">
        <v>6581</v>
      </c>
      <c r="B645" s="1">
        <v>644</v>
      </c>
      <c r="C645" t="s">
        <v>8523</v>
      </c>
      <c r="D645" t="s">
        <v>6609</v>
      </c>
      <c r="E645" t="s">
        <v>8524</v>
      </c>
      <c r="F645" t="s">
        <v>8525</v>
      </c>
      <c r="G645" t="s">
        <v>6586</v>
      </c>
    </row>
    <row r="646" spans="1:7">
      <c r="A646" t="s">
        <v>6581</v>
      </c>
      <c r="B646" s="1">
        <v>645</v>
      </c>
      <c r="C646" t="s">
        <v>8526</v>
      </c>
      <c r="D646" t="s">
        <v>6705</v>
      </c>
      <c r="E646" t="s">
        <v>8527</v>
      </c>
      <c r="F646" t="s">
        <v>8528</v>
      </c>
      <c r="G646" t="s">
        <v>6586</v>
      </c>
    </row>
    <row r="647" spans="1:7">
      <c r="A647" t="s">
        <v>6581</v>
      </c>
      <c r="B647" s="1">
        <v>646</v>
      </c>
      <c r="C647" t="s">
        <v>8529</v>
      </c>
      <c r="D647" t="s">
        <v>6705</v>
      </c>
      <c r="E647" t="s">
        <v>8530</v>
      </c>
      <c r="F647" t="s">
        <v>8531</v>
      </c>
      <c r="G647" t="s">
        <v>6586</v>
      </c>
    </row>
    <row r="648" spans="1:7">
      <c r="A648" t="s">
        <v>6581</v>
      </c>
      <c r="B648" s="1">
        <v>647</v>
      </c>
      <c r="C648" t="s">
        <v>8532</v>
      </c>
      <c r="D648" t="s">
        <v>6734</v>
      </c>
      <c r="E648" t="s">
        <v>8533</v>
      </c>
      <c r="F648" t="s">
        <v>8534</v>
      </c>
      <c r="G648" t="s">
        <v>6586</v>
      </c>
    </row>
    <row r="649" spans="1:7">
      <c r="A649" t="s">
        <v>6581</v>
      </c>
      <c r="B649" s="1">
        <v>648</v>
      </c>
      <c r="C649" t="s">
        <v>8535</v>
      </c>
      <c r="D649" t="s">
        <v>6598</v>
      </c>
      <c r="E649" t="s">
        <v>8536</v>
      </c>
      <c r="F649" t="s">
        <v>8537</v>
      </c>
      <c r="G649" t="s">
        <v>6586</v>
      </c>
    </row>
    <row r="650" spans="1:7">
      <c r="A650" t="s">
        <v>6581</v>
      </c>
      <c r="B650" s="1">
        <v>649</v>
      </c>
      <c r="C650" t="s">
        <v>8538</v>
      </c>
      <c r="D650" t="s">
        <v>6598</v>
      </c>
      <c r="E650" t="s">
        <v>8539</v>
      </c>
      <c r="F650" t="s">
        <v>8540</v>
      </c>
      <c r="G650" t="s">
        <v>6586</v>
      </c>
    </row>
    <row r="651" spans="1:7">
      <c r="A651" t="s">
        <v>6581</v>
      </c>
      <c r="B651" s="1">
        <v>650</v>
      </c>
      <c r="C651" t="s">
        <v>8541</v>
      </c>
      <c r="D651" t="s">
        <v>6609</v>
      </c>
      <c r="E651" t="s">
        <v>8542</v>
      </c>
      <c r="F651" t="s">
        <v>8543</v>
      </c>
      <c r="G651" t="s">
        <v>6586</v>
      </c>
    </row>
    <row r="652" spans="1:7">
      <c r="A652" t="s">
        <v>6581</v>
      </c>
      <c r="B652" s="1">
        <v>651</v>
      </c>
      <c r="C652" t="s">
        <v>8544</v>
      </c>
      <c r="D652" t="s">
        <v>6598</v>
      </c>
      <c r="E652" t="s">
        <v>8545</v>
      </c>
      <c r="F652" t="s">
        <v>8546</v>
      </c>
      <c r="G652" t="s">
        <v>6586</v>
      </c>
    </row>
    <row r="653" spans="1:7">
      <c r="A653" t="s">
        <v>6581</v>
      </c>
      <c r="B653" s="1">
        <v>652</v>
      </c>
      <c r="C653" t="s">
        <v>8547</v>
      </c>
      <c r="D653" t="s">
        <v>6667</v>
      </c>
      <c r="E653" t="s">
        <v>8548</v>
      </c>
      <c r="F653" t="s">
        <v>8549</v>
      </c>
      <c r="G653" t="s">
        <v>6586</v>
      </c>
    </row>
    <row r="654" spans="1:7">
      <c r="A654" t="s">
        <v>6581</v>
      </c>
      <c r="B654" s="1">
        <v>653</v>
      </c>
      <c r="C654" t="s">
        <v>8550</v>
      </c>
      <c r="D654" t="s">
        <v>6609</v>
      </c>
      <c r="E654" t="s">
        <v>8551</v>
      </c>
      <c r="F654" t="s">
        <v>8552</v>
      </c>
      <c r="G654" t="s">
        <v>6586</v>
      </c>
    </row>
    <row r="655" spans="1:7">
      <c r="A655" t="s">
        <v>6581</v>
      </c>
      <c r="B655" s="1">
        <v>654</v>
      </c>
      <c r="C655" t="s">
        <v>8553</v>
      </c>
      <c r="D655" t="s">
        <v>6605</v>
      </c>
      <c r="E655" t="s">
        <v>8554</v>
      </c>
      <c r="F655" t="s">
        <v>8555</v>
      </c>
      <c r="G655" t="s">
        <v>6586</v>
      </c>
    </row>
    <row r="656" spans="1:7">
      <c r="A656" t="s">
        <v>6581</v>
      </c>
      <c r="B656" s="1">
        <v>655</v>
      </c>
      <c r="C656" t="s">
        <v>8556</v>
      </c>
      <c r="D656" t="s">
        <v>6598</v>
      </c>
      <c r="E656" t="s">
        <v>8557</v>
      </c>
      <c r="F656" t="s">
        <v>8558</v>
      </c>
      <c r="G656" t="s">
        <v>6586</v>
      </c>
    </row>
    <row r="657" spans="1:7">
      <c r="A657" t="s">
        <v>6581</v>
      </c>
      <c r="B657" s="1">
        <v>656</v>
      </c>
      <c r="C657" t="s">
        <v>8559</v>
      </c>
      <c r="D657" t="s">
        <v>6598</v>
      </c>
      <c r="E657" t="s">
        <v>8560</v>
      </c>
      <c r="F657" t="s">
        <v>8561</v>
      </c>
      <c r="G657" t="s">
        <v>6586</v>
      </c>
    </row>
    <row r="658" spans="1:7">
      <c r="A658" t="s">
        <v>6581</v>
      </c>
      <c r="B658" s="1">
        <v>657</v>
      </c>
      <c r="C658" t="s">
        <v>8562</v>
      </c>
      <c r="D658" t="s">
        <v>6598</v>
      </c>
      <c r="E658" t="s">
        <v>8563</v>
      </c>
      <c r="F658" t="s">
        <v>8564</v>
      </c>
      <c r="G658" t="s">
        <v>6586</v>
      </c>
    </row>
    <row r="659" spans="1:7">
      <c r="A659" t="s">
        <v>6581</v>
      </c>
      <c r="B659" s="1">
        <v>658</v>
      </c>
      <c r="C659" t="s">
        <v>8565</v>
      </c>
      <c r="D659" t="s">
        <v>6598</v>
      </c>
      <c r="E659" t="s">
        <v>8566</v>
      </c>
      <c r="F659" t="s">
        <v>8567</v>
      </c>
      <c r="G659" t="s">
        <v>6586</v>
      </c>
    </row>
    <row r="660" spans="1:7">
      <c r="A660" t="s">
        <v>6581</v>
      </c>
      <c r="B660" s="1">
        <v>659</v>
      </c>
      <c r="C660" t="s">
        <v>8568</v>
      </c>
      <c r="D660" t="s">
        <v>6695</v>
      </c>
      <c r="E660" t="s">
        <v>8569</v>
      </c>
      <c r="F660" t="s">
        <v>8570</v>
      </c>
      <c r="G660" t="s">
        <v>6586</v>
      </c>
    </row>
    <row r="661" spans="1:7">
      <c r="A661" t="s">
        <v>6581</v>
      </c>
      <c r="B661" s="1">
        <v>660</v>
      </c>
      <c r="C661" t="s">
        <v>8571</v>
      </c>
      <c r="D661" t="s">
        <v>6654</v>
      </c>
      <c r="E661" t="s">
        <v>8572</v>
      </c>
      <c r="F661" t="s">
        <v>8573</v>
      </c>
      <c r="G661" t="s">
        <v>6586</v>
      </c>
    </row>
    <row r="662" spans="1:7">
      <c r="A662" t="s">
        <v>6581</v>
      </c>
      <c r="B662" s="1">
        <v>661</v>
      </c>
      <c r="C662" t="s">
        <v>8574</v>
      </c>
      <c r="D662" t="s">
        <v>6734</v>
      </c>
      <c r="E662" t="s">
        <v>8575</v>
      </c>
      <c r="F662" t="s">
        <v>8576</v>
      </c>
      <c r="G662" t="s">
        <v>6586</v>
      </c>
    </row>
    <row r="663" spans="1:7">
      <c r="A663" t="s">
        <v>6581</v>
      </c>
      <c r="B663" s="1">
        <v>662</v>
      </c>
      <c r="C663" t="s">
        <v>8577</v>
      </c>
      <c r="D663" t="s">
        <v>6734</v>
      </c>
      <c r="E663" t="s">
        <v>8578</v>
      </c>
      <c r="F663" t="s">
        <v>8579</v>
      </c>
      <c r="G663" t="s">
        <v>6586</v>
      </c>
    </row>
    <row r="664" spans="1:7">
      <c r="A664" t="s">
        <v>6581</v>
      </c>
      <c r="B664" s="1">
        <v>663</v>
      </c>
      <c r="C664" t="s">
        <v>8580</v>
      </c>
      <c r="D664" t="s">
        <v>6771</v>
      </c>
      <c r="E664" t="s">
        <v>8581</v>
      </c>
      <c r="F664" t="s">
        <v>8582</v>
      </c>
      <c r="G664" t="s">
        <v>6586</v>
      </c>
    </row>
    <row r="665" spans="1:7">
      <c r="A665" t="s">
        <v>6581</v>
      </c>
      <c r="B665" s="1">
        <v>664</v>
      </c>
      <c r="C665" t="s">
        <v>8583</v>
      </c>
      <c r="D665" t="s">
        <v>6654</v>
      </c>
      <c r="E665" t="s">
        <v>8584</v>
      </c>
      <c r="F665" t="s">
        <v>8585</v>
      </c>
      <c r="G665" t="s">
        <v>6586</v>
      </c>
    </row>
    <row r="666" spans="1:7">
      <c r="A666" t="s">
        <v>6581</v>
      </c>
      <c r="B666" s="1">
        <v>665</v>
      </c>
      <c r="C666" t="s">
        <v>8586</v>
      </c>
      <c r="D666" t="s">
        <v>6654</v>
      </c>
      <c r="E666" t="s">
        <v>8587</v>
      </c>
      <c r="F666" t="s">
        <v>8588</v>
      </c>
      <c r="G666" t="s">
        <v>6586</v>
      </c>
    </row>
    <row r="667" spans="1:7">
      <c r="A667" t="s">
        <v>6581</v>
      </c>
      <c r="B667" s="1">
        <v>666</v>
      </c>
      <c r="C667" t="s">
        <v>8589</v>
      </c>
      <c r="D667" t="s">
        <v>6734</v>
      </c>
      <c r="E667" t="s">
        <v>8590</v>
      </c>
      <c r="F667" t="s">
        <v>8591</v>
      </c>
      <c r="G667" t="s">
        <v>6586</v>
      </c>
    </row>
    <row r="668" spans="1:7">
      <c r="A668" t="s">
        <v>6581</v>
      </c>
      <c r="B668" s="1">
        <v>667</v>
      </c>
      <c r="C668" t="s">
        <v>8592</v>
      </c>
      <c r="D668" t="s">
        <v>6705</v>
      </c>
      <c r="E668" t="s">
        <v>8593</v>
      </c>
      <c r="F668" t="s">
        <v>8594</v>
      </c>
      <c r="G668" t="s">
        <v>6586</v>
      </c>
    </row>
    <row r="669" spans="1:7">
      <c r="A669" t="s">
        <v>6581</v>
      </c>
      <c r="B669" s="1">
        <v>668</v>
      </c>
      <c r="C669" t="s">
        <v>8595</v>
      </c>
      <c r="D669" t="s">
        <v>6605</v>
      </c>
      <c r="E669" t="s">
        <v>8596</v>
      </c>
      <c r="F669" t="s">
        <v>8597</v>
      </c>
      <c r="G669" t="s">
        <v>6586</v>
      </c>
    </row>
    <row r="670" spans="1:7">
      <c r="A670" t="s">
        <v>6581</v>
      </c>
      <c r="B670" s="1">
        <v>669</v>
      </c>
      <c r="C670" t="s">
        <v>8598</v>
      </c>
      <c r="D670" t="s">
        <v>6605</v>
      </c>
      <c r="E670" t="s">
        <v>8599</v>
      </c>
      <c r="F670" t="s">
        <v>8600</v>
      </c>
      <c r="G670" t="s">
        <v>6586</v>
      </c>
    </row>
    <row r="671" spans="1:7">
      <c r="A671" t="s">
        <v>6581</v>
      </c>
      <c r="B671" s="1">
        <v>670</v>
      </c>
      <c r="C671" t="s">
        <v>8601</v>
      </c>
      <c r="D671" t="s">
        <v>6583</v>
      </c>
      <c r="E671" t="s">
        <v>8602</v>
      </c>
      <c r="F671" t="s">
        <v>8603</v>
      </c>
      <c r="G671" t="s">
        <v>6586</v>
      </c>
    </row>
    <row r="672" spans="1:7">
      <c r="A672" t="s">
        <v>6581</v>
      </c>
      <c r="B672" s="1">
        <v>671</v>
      </c>
      <c r="C672" t="s">
        <v>8604</v>
      </c>
      <c r="D672" t="s">
        <v>6734</v>
      </c>
      <c r="E672" t="s">
        <v>8605</v>
      </c>
      <c r="F672" t="s">
        <v>8606</v>
      </c>
      <c r="G672" t="s">
        <v>6586</v>
      </c>
    </row>
    <row r="673" spans="1:7">
      <c r="A673" t="s">
        <v>6581</v>
      </c>
      <c r="B673" s="1">
        <v>672</v>
      </c>
      <c r="C673" t="s">
        <v>8607</v>
      </c>
      <c r="D673" t="s">
        <v>6771</v>
      </c>
      <c r="E673" t="s">
        <v>8608</v>
      </c>
      <c r="F673" t="s">
        <v>8609</v>
      </c>
      <c r="G673" t="s">
        <v>6586</v>
      </c>
    </row>
    <row r="674" spans="1:7">
      <c r="A674" t="s">
        <v>6581</v>
      </c>
      <c r="B674" s="1">
        <v>673</v>
      </c>
      <c r="C674" t="s">
        <v>8610</v>
      </c>
      <c r="D674" t="s">
        <v>6734</v>
      </c>
      <c r="E674" t="s">
        <v>8611</v>
      </c>
      <c r="F674" t="s">
        <v>8612</v>
      </c>
      <c r="G674" t="s">
        <v>6586</v>
      </c>
    </row>
    <row r="675" spans="1:7">
      <c r="A675" t="s">
        <v>6581</v>
      </c>
      <c r="B675" s="1">
        <v>674</v>
      </c>
      <c r="C675" t="s">
        <v>8613</v>
      </c>
      <c r="D675" t="s">
        <v>6734</v>
      </c>
      <c r="E675" t="s">
        <v>8614</v>
      </c>
      <c r="F675" t="s">
        <v>8615</v>
      </c>
      <c r="G675" t="s">
        <v>6586</v>
      </c>
    </row>
    <row r="676" spans="1:7">
      <c r="A676" t="s">
        <v>6581</v>
      </c>
      <c r="B676" s="1">
        <v>675</v>
      </c>
      <c r="C676" t="s">
        <v>8616</v>
      </c>
      <c r="D676" t="s">
        <v>6771</v>
      </c>
      <c r="E676" t="s">
        <v>8617</v>
      </c>
      <c r="F676" t="s">
        <v>8618</v>
      </c>
      <c r="G676" t="s">
        <v>6586</v>
      </c>
    </row>
    <row r="677" spans="1:7">
      <c r="A677" t="s">
        <v>6581</v>
      </c>
      <c r="B677" s="1">
        <v>676</v>
      </c>
      <c r="C677" t="s">
        <v>8619</v>
      </c>
      <c r="D677" t="s">
        <v>6771</v>
      </c>
      <c r="E677" t="s">
        <v>8620</v>
      </c>
      <c r="F677" t="s">
        <v>8621</v>
      </c>
      <c r="G677" t="s">
        <v>6586</v>
      </c>
    </row>
    <row r="678" spans="1:7">
      <c r="A678" t="s">
        <v>6581</v>
      </c>
      <c r="B678" s="1">
        <v>677</v>
      </c>
      <c r="C678" t="s">
        <v>8622</v>
      </c>
      <c r="D678" t="s">
        <v>6605</v>
      </c>
      <c r="E678" t="s">
        <v>8623</v>
      </c>
      <c r="F678" t="s">
        <v>8624</v>
      </c>
      <c r="G678" t="s">
        <v>6586</v>
      </c>
    </row>
    <row r="679" spans="1:7">
      <c r="A679" t="s">
        <v>6581</v>
      </c>
      <c r="B679" s="1">
        <v>678</v>
      </c>
      <c r="C679" t="s">
        <v>8625</v>
      </c>
      <c r="D679" t="s">
        <v>6771</v>
      </c>
      <c r="E679" t="s">
        <v>8626</v>
      </c>
      <c r="F679" t="s">
        <v>8627</v>
      </c>
      <c r="G679" t="s">
        <v>6586</v>
      </c>
    </row>
    <row r="680" spans="1:7">
      <c r="A680" t="s">
        <v>6581</v>
      </c>
      <c r="B680" s="1">
        <v>679</v>
      </c>
      <c r="C680" t="s">
        <v>8628</v>
      </c>
      <c r="D680" t="s">
        <v>6771</v>
      </c>
      <c r="E680" t="s">
        <v>8629</v>
      </c>
      <c r="F680" t="s">
        <v>8630</v>
      </c>
      <c r="G680" t="s">
        <v>6586</v>
      </c>
    </row>
    <row r="681" spans="1:7">
      <c r="A681" t="s">
        <v>6581</v>
      </c>
      <c r="B681" s="1">
        <v>680</v>
      </c>
      <c r="C681" t="s">
        <v>8631</v>
      </c>
      <c r="D681" t="s">
        <v>6771</v>
      </c>
      <c r="E681" t="s">
        <v>8632</v>
      </c>
      <c r="F681" t="s">
        <v>8633</v>
      </c>
      <c r="G681" t="s">
        <v>6586</v>
      </c>
    </row>
    <row r="682" spans="1:7">
      <c r="A682" t="s">
        <v>6581</v>
      </c>
      <c r="B682" s="1">
        <v>681</v>
      </c>
      <c r="C682" t="s">
        <v>8634</v>
      </c>
      <c r="D682" t="s">
        <v>6734</v>
      </c>
      <c r="E682" t="s">
        <v>8635</v>
      </c>
      <c r="F682" t="s">
        <v>8636</v>
      </c>
      <c r="G682" t="s">
        <v>6586</v>
      </c>
    </row>
    <row r="683" spans="1:7">
      <c r="A683" t="s">
        <v>6581</v>
      </c>
      <c r="B683" s="1">
        <v>682</v>
      </c>
      <c r="C683" t="s">
        <v>8637</v>
      </c>
      <c r="D683" t="s">
        <v>8638</v>
      </c>
      <c r="E683" t="s">
        <v>8639</v>
      </c>
      <c r="F683" t="s">
        <v>8640</v>
      </c>
      <c r="G683" t="s">
        <v>6586</v>
      </c>
    </row>
    <row r="684" spans="1:7">
      <c r="A684" t="s">
        <v>6581</v>
      </c>
      <c r="B684" s="1">
        <v>683</v>
      </c>
      <c r="C684" t="s">
        <v>8641</v>
      </c>
      <c r="D684" t="s">
        <v>6605</v>
      </c>
      <c r="E684" t="s">
        <v>8642</v>
      </c>
      <c r="F684" t="s">
        <v>8643</v>
      </c>
      <c r="G684" t="s">
        <v>6586</v>
      </c>
    </row>
    <row r="685" spans="1:7">
      <c r="A685" t="s">
        <v>6581</v>
      </c>
      <c r="B685" s="1">
        <v>684</v>
      </c>
      <c r="C685" t="s">
        <v>8644</v>
      </c>
      <c r="D685" t="s">
        <v>6734</v>
      </c>
      <c r="E685" t="s">
        <v>8645</v>
      </c>
      <c r="F685" t="s">
        <v>8646</v>
      </c>
      <c r="G685" t="s">
        <v>6586</v>
      </c>
    </row>
    <row r="686" spans="1:7">
      <c r="A686" t="s">
        <v>6581</v>
      </c>
      <c r="B686" s="1">
        <v>685</v>
      </c>
      <c r="C686" t="s">
        <v>8647</v>
      </c>
      <c r="D686" t="s">
        <v>6667</v>
      </c>
      <c r="E686" t="s">
        <v>8648</v>
      </c>
      <c r="F686" t="s">
        <v>8649</v>
      </c>
      <c r="G686" t="s">
        <v>6586</v>
      </c>
    </row>
    <row r="687" spans="1:7">
      <c r="A687" t="s">
        <v>6581</v>
      </c>
      <c r="B687" s="1">
        <v>686</v>
      </c>
      <c r="C687" t="s">
        <v>8650</v>
      </c>
      <c r="D687" t="s">
        <v>6734</v>
      </c>
      <c r="E687" t="s">
        <v>8651</v>
      </c>
      <c r="F687" t="s">
        <v>8652</v>
      </c>
      <c r="G687" t="s">
        <v>6586</v>
      </c>
    </row>
    <row r="688" spans="1:7">
      <c r="A688" t="s">
        <v>6581</v>
      </c>
      <c r="B688" s="1">
        <v>687</v>
      </c>
      <c r="C688" t="s">
        <v>8653</v>
      </c>
      <c r="D688" t="s">
        <v>6771</v>
      </c>
      <c r="E688" t="s">
        <v>8654</v>
      </c>
      <c r="F688" t="s">
        <v>8655</v>
      </c>
      <c r="G688" t="s">
        <v>6586</v>
      </c>
    </row>
    <row r="689" spans="1:7">
      <c r="A689" t="s">
        <v>6581</v>
      </c>
      <c r="B689" s="1">
        <v>688</v>
      </c>
      <c r="C689" t="s">
        <v>8656</v>
      </c>
      <c r="D689" t="s">
        <v>6771</v>
      </c>
      <c r="E689" t="s">
        <v>8657</v>
      </c>
      <c r="F689" t="s">
        <v>8658</v>
      </c>
      <c r="G689" t="s">
        <v>6586</v>
      </c>
    </row>
    <row r="690" spans="1:7">
      <c r="A690" t="s">
        <v>6581</v>
      </c>
      <c r="B690" s="1">
        <v>689</v>
      </c>
      <c r="C690" t="s">
        <v>8659</v>
      </c>
      <c r="D690" t="s">
        <v>6771</v>
      </c>
      <c r="E690" t="s">
        <v>8660</v>
      </c>
      <c r="F690" t="s">
        <v>8661</v>
      </c>
      <c r="G690" t="s">
        <v>6586</v>
      </c>
    </row>
    <row r="691" spans="1:7">
      <c r="A691" t="s">
        <v>6581</v>
      </c>
      <c r="B691" s="1">
        <v>690</v>
      </c>
      <c r="C691" t="s">
        <v>8662</v>
      </c>
      <c r="D691" t="s">
        <v>6605</v>
      </c>
      <c r="E691" t="s">
        <v>8663</v>
      </c>
      <c r="F691" t="s">
        <v>8664</v>
      </c>
      <c r="G691" t="s">
        <v>6586</v>
      </c>
    </row>
    <row r="692" spans="1:7">
      <c r="A692" t="s">
        <v>6581</v>
      </c>
      <c r="B692" s="1">
        <v>691</v>
      </c>
      <c r="C692" t="s">
        <v>8665</v>
      </c>
      <c r="D692" t="s">
        <v>6771</v>
      </c>
      <c r="E692" t="s">
        <v>8666</v>
      </c>
      <c r="F692" t="s">
        <v>8667</v>
      </c>
      <c r="G692" t="s">
        <v>6586</v>
      </c>
    </row>
    <row r="693" spans="1:7">
      <c r="A693" t="s">
        <v>6581</v>
      </c>
      <c r="B693" s="1">
        <v>692</v>
      </c>
      <c r="C693" t="s">
        <v>8668</v>
      </c>
      <c r="D693" t="s">
        <v>6771</v>
      </c>
      <c r="E693" t="s">
        <v>8669</v>
      </c>
      <c r="F693" t="s">
        <v>8670</v>
      </c>
      <c r="G693" t="s">
        <v>6586</v>
      </c>
    </row>
    <row r="694" spans="1:7">
      <c r="A694" t="s">
        <v>6581</v>
      </c>
      <c r="B694" s="1">
        <v>693</v>
      </c>
      <c r="C694" t="s">
        <v>8671</v>
      </c>
      <c r="D694" t="s">
        <v>6771</v>
      </c>
      <c r="E694" t="s">
        <v>8672</v>
      </c>
      <c r="F694" t="s">
        <v>8673</v>
      </c>
      <c r="G694" t="s">
        <v>6586</v>
      </c>
    </row>
    <row r="695" spans="1:7">
      <c r="A695" t="s">
        <v>6581</v>
      </c>
      <c r="B695" s="1">
        <v>694</v>
      </c>
      <c r="C695" t="s">
        <v>8674</v>
      </c>
      <c r="D695" t="s">
        <v>6771</v>
      </c>
      <c r="E695" t="s">
        <v>8675</v>
      </c>
      <c r="F695" t="s">
        <v>8676</v>
      </c>
      <c r="G695" t="s">
        <v>6586</v>
      </c>
    </row>
    <row r="696" spans="1:7">
      <c r="A696" t="s">
        <v>6581</v>
      </c>
      <c r="B696" s="1">
        <v>695</v>
      </c>
      <c r="C696" t="s">
        <v>8677</v>
      </c>
      <c r="D696" t="s">
        <v>6771</v>
      </c>
      <c r="E696" t="s">
        <v>8678</v>
      </c>
      <c r="F696" t="s">
        <v>8679</v>
      </c>
      <c r="G696" t="s">
        <v>6586</v>
      </c>
    </row>
    <row r="697" spans="1:7">
      <c r="A697" t="s">
        <v>6581</v>
      </c>
      <c r="B697" s="1">
        <v>696</v>
      </c>
      <c r="C697" t="s">
        <v>8680</v>
      </c>
      <c r="D697" t="s">
        <v>6771</v>
      </c>
      <c r="E697" t="s">
        <v>8681</v>
      </c>
      <c r="F697" t="s">
        <v>8682</v>
      </c>
      <c r="G697" t="s">
        <v>6586</v>
      </c>
    </row>
    <row r="698" spans="1:7">
      <c r="A698" t="s">
        <v>6581</v>
      </c>
      <c r="B698" s="1">
        <v>697</v>
      </c>
      <c r="C698" t="s">
        <v>8683</v>
      </c>
      <c r="D698" t="s">
        <v>6734</v>
      </c>
      <c r="E698" t="s">
        <v>8684</v>
      </c>
      <c r="F698" t="s">
        <v>8685</v>
      </c>
      <c r="G698" t="s">
        <v>6586</v>
      </c>
    </row>
    <row r="699" spans="1:7">
      <c r="A699" t="s">
        <v>6581</v>
      </c>
      <c r="B699" s="1">
        <v>698</v>
      </c>
      <c r="C699" t="s">
        <v>8686</v>
      </c>
      <c r="D699" t="s">
        <v>6734</v>
      </c>
      <c r="E699" t="s">
        <v>8687</v>
      </c>
      <c r="F699" t="s">
        <v>8688</v>
      </c>
      <c r="G699" t="s">
        <v>6586</v>
      </c>
    </row>
    <row r="700" spans="1:7">
      <c r="A700" t="s">
        <v>6581</v>
      </c>
      <c r="B700" s="1">
        <v>699</v>
      </c>
      <c r="C700" t="s">
        <v>8689</v>
      </c>
      <c r="D700" t="s">
        <v>6734</v>
      </c>
      <c r="E700" t="s">
        <v>8690</v>
      </c>
      <c r="F700" t="s">
        <v>8691</v>
      </c>
      <c r="G700" t="s">
        <v>6586</v>
      </c>
    </row>
    <row r="701" spans="1:7">
      <c r="A701" t="s">
        <v>6581</v>
      </c>
      <c r="B701" s="1">
        <v>700</v>
      </c>
      <c r="C701" t="s">
        <v>8692</v>
      </c>
      <c r="D701" t="s">
        <v>6654</v>
      </c>
      <c r="E701" t="s">
        <v>8693</v>
      </c>
      <c r="F701" t="s">
        <v>8694</v>
      </c>
      <c r="G701" t="s">
        <v>6586</v>
      </c>
    </row>
    <row r="702" spans="1:7">
      <c r="A702" t="s">
        <v>6581</v>
      </c>
      <c r="B702" s="1">
        <v>701</v>
      </c>
      <c r="C702" t="s">
        <v>8695</v>
      </c>
      <c r="D702" t="s">
        <v>6734</v>
      </c>
      <c r="E702" t="s">
        <v>8696</v>
      </c>
      <c r="F702" t="s">
        <v>8697</v>
      </c>
      <c r="G702" t="s">
        <v>6586</v>
      </c>
    </row>
    <row r="703" spans="1:7">
      <c r="A703" t="s">
        <v>6581</v>
      </c>
      <c r="B703" s="1">
        <v>702</v>
      </c>
      <c r="C703" t="s">
        <v>8698</v>
      </c>
      <c r="D703" t="s">
        <v>6771</v>
      </c>
      <c r="E703" t="s">
        <v>8699</v>
      </c>
      <c r="F703" t="s">
        <v>8700</v>
      </c>
      <c r="G703" t="s">
        <v>6586</v>
      </c>
    </row>
    <row r="704" spans="1:7">
      <c r="A704" t="s">
        <v>6581</v>
      </c>
      <c r="B704" s="1">
        <v>703</v>
      </c>
      <c r="C704" t="s">
        <v>8701</v>
      </c>
      <c r="D704" t="s">
        <v>6771</v>
      </c>
      <c r="E704" t="s">
        <v>8702</v>
      </c>
      <c r="F704" t="s">
        <v>8703</v>
      </c>
      <c r="G704" t="s">
        <v>6586</v>
      </c>
    </row>
    <row r="705" spans="1:7">
      <c r="A705" t="s">
        <v>6581</v>
      </c>
      <c r="B705" s="1">
        <v>704</v>
      </c>
      <c r="C705" t="s">
        <v>8704</v>
      </c>
      <c r="D705" t="s">
        <v>6705</v>
      </c>
      <c r="E705" t="s">
        <v>8705</v>
      </c>
      <c r="F705" t="s">
        <v>8706</v>
      </c>
      <c r="G705" t="s">
        <v>6586</v>
      </c>
    </row>
    <row r="706" spans="1:7">
      <c r="A706" t="s">
        <v>6581</v>
      </c>
      <c r="B706" s="1">
        <v>705</v>
      </c>
      <c r="C706" t="s">
        <v>8707</v>
      </c>
      <c r="D706" t="s">
        <v>6605</v>
      </c>
      <c r="E706" t="s">
        <v>8708</v>
      </c>
      <c r="F706" t="s">
        <v>8709</v>
      </c>
      <c r="G706" t="s">
        <v>6586</v>
      </c>
    </row>
    <row r="707" spans="1:7">
      <c r="A707" t="s">
        <v>6581</v>
      </c>
      <c r="B707" s="1">
        <v>706</v>
      </c>
      <c r="C707" t="s">
        <v>8710</v>
      </c>
      <c r="D707" t="s">
        <v>6605</v>
      </c>
      <c r="E707" t="s">
        <v>8711</v>
      </c>
      <c r="F707" t="s">
        <v>8712</v>
      </c>
      <c r="G707" t="s">
        <v>6586</v>
      </c>
    </row>
    <row r="708" spans="1:7">
      <c r="A708" t="s">
        <v>6581</v>
      </c>
      <c r="B708" s="1">
        <v>707</v>
      </c>
      <c r="C708" t="s">
        <v>8713</v>
      </c>
      <c r="D708" t="s">
        <v>6771</v>
      </c>
      <c r="E708" t="s">
        <v>8714</v>
      </c>
      <c r="F708" t="s">
        <v>8715</v>
      </c>
      <c r="G708" t="s">
        <v>6586</v>
      </c>
    </row>
    <row r="709" spans="1:7">
      <c r="A709" t="s">
        <v>6581</v>
      </c>
      <c r="B709" s="1">
        <v>708</v>
      </c>
      <c r="C709" t="s">
        <v>8716</v>
      </c>
      <c r="D709" t="s">
        <v>6734</v>
      </c>
      <c r="E709" t="s">
        <v>8717</v>
      </c>
      <c r="F709" t="s">
        <v>8718</v>
      </c>
      <c r="G709" t="s">
        <v>6586</v>
      </c>
    </row>
    <row r="710" spans="1:7">
      <c r="A710" t="s">
        <v>6581</v>
      </c>
      <c r="B710" s="1">
        <v>709</v>
      </c>
      <c r="C710" t="s">
        <v>8719</v>
      </c>
      <c r="D710" t="s">
        <v>6705</v>
      </c>
      <c r="E710" t="s">
        <v>8720</v>
      </c>
      <c r="F710" t="s">
        <v>8721</v>
      </c>
      <c r="G710" t="s">
        <v>6586</v>
      </c>
    </row>
    <row r="711" spans="1:7">
      <c r="A711" t="s">
        <v>6581</v>
      </c>
      <c r="B711" s="1">
        <v>710</v>
      </c>
      <c r="C711" t="s">
        <v>8722</v>
      </c>
      <c r="D711" t="s">
        <v>6734</v>
      </c>
      <c r="E711" t="s">
        <v>8723</v>
      </c>
      <c r="F711" t="s">
        <v>8724</v>
      </c>
      <c r="G711" t="s">
        <v>6586</v>
      </c>
    </row>
    <row r="712" spans="1:7">
      <c r="A712" t="s">
        <v>6581</v>
      </c>
      <c r="B712" s="1">
        <v>711</v>
      </c>
      <c r="C712" t="s">
        <v>8725</v>
      </c>
      <c r="D712" t="s">
        <v>6605</v>
      </c>
      <c r="E712" t="s">
        <v>8726</v>
      </c>
      <c r="F712" t="s">
        <v>8727</v>
      </c>
      <c r="G712" t="s">
        <v>6586</v>
      </c>
    </row>
    <row r="713" spans="1:7">
      <c r="A713" t="s">
        <v>6581</v>
      </c>
      <c r="B713" s="1">
        <v>712</v>
      </c>
      <c r="C713" t="s">
        <v>8728</v>
      </c>
      <c r="D713" t="s">
        <v>6734</v>
      </c>
      <c r="E713" t="s">
        <v>8729</v>
      </c>
      <c r="F713" t="s">
        <v>8730</v>
      </c>
      <c r="G713" t="s">
        <v>6586</v>
      </c>
    </row>
    <row r="714" spans="1:7">
      <c r="A714" t="s">
        <v>6581</v>
      </c>
      <c r="B714" s="1">
        <v>713</v>
      </c>
      <c r="C714" t="s">
        <v>8731</v>
      </c>
      <c r="D714" t="s">
        <v>6734</v>
      </c>
      <c r="E714" t="s">
        <v>8732</v>
      </c>
      <c r="F714" t="s">
        <v>8733</v>
      </c>
      <c r="G714" t="s">
        <v>6586</v>
      </c>
    </row>
    <row r="715" spans="1:7">
      <c r="A715" t="s">
        <v>6581</v>
      </c>
      <c r="B715" s="1">
        <v>714</v>
      </c>
      <c r="C715" t="s">
        <v>8734</v>
      </c>
      <c r="D715" t="s">
        <v>6771</v>
      </c>
      <c r="E715" t="s">
        <v>8735</v>
      </c>
      <c r="F715" t="s">
        <v>8736</v>
      </c>
      <c r="G715" t="s">
        <v>6586</v>
      </c>
    </row>
    <row r="716" spans="1:7">
      <c r="A716" t="s">
        <v>6581</v>
      </c>
      <c r="B716" s="1">
        <v>715</v>
      </c>
      <c r="C716" t="s">
        <v>8737</v>
      </c>
      <c r="D716" t="s">
        <v>6609</v>
      </c>
      <c r="E716" t="s">
        <v>8738</v>
      </c>
      <c r="F716" t="s">
        <v>8739</v>
      </c>
      <c r="G716" t="s">
        <v>6586</v>
      </c>
    </row>
    <row r="717" spans="1:7">
      <c r="A717" t="s">
        <v>6581</v>
      </c>
      <c r="B717" s="1">
        <v>716</v>
      </c>
      <c r="C717" t="s">
        <v>8740</v>
      </c>
      <c r="D717" t="s">
        <v>6609</v>
      </c>
      <c r="E717" t="s">
        <v>8741</v>
      </c>
      <c r="F717" t="s">
        <v>8742</v>
      </c>
      <c r="G717" t="s">
        <v>6586</v>
      </c>
    </row>
    <row r="718" spans="1:7">
      <c r="A718" t="s">
        <v>6581</v>
      </c>
      <c r="B718" s="1">
        <v>717</v>
      </c>
      <c r="C718" t="s">
        <v>8743</v>
      </c>
      <c r="D718" t="s">
        <v>6609</v>
      </c>
      <c r="E718" t="s">
        <v>8744</v>
      </c>
      <c r="F718" t="s">
        <v>8745</v>
      </c>
      <c r="G718" t="s">
        <v>6586</v>
      </c>
    </row>
    <row r="719" spans="1:7">
      <c r="A719" t="s">
        <v>6581</v>
      </c>
      <c r="B719" s="1">
        <v>718</v>
      </c>
      <c r="C719" t="s">
        <v>8746</v>
      </c>
      <c r="D719" t="s">
        <v>6734</v>
      </c>
      <c r="E719" t="s">
        <v>8747</v>
      </c>
      <c r="F719" t="s">
        <v>8748</v>
      </c>
      <c r="G719" t="s">
        <v>6586</v>
      </c>
    </row>
    <row r="720" spans="1:7">
      <c r="A720" t="s">
        <v>6581</v>
      </c>
      <c r="B720" s="1">
        <v>719</v>
      </c>
      <c r="C720" t="s">
        <v>8749</v>
      </c>
      <c r="D720" t="s">
        <v>6609</v>
      </c>
      <c r="E720" t="s">
        <v>8750</v>
      </c>
      <c r="F720" t="s">
        <v>8751</v>
      </c>
      <c r="G720" t="s">
        <v>6586</v>
      </c>
    </row>
    <row r="721" spans="1:7">
      <c r="A721" t="s">
        <v>6581</v>
      </c>
      <c r="B721" s="1">
        <v>720</v>
      </c>
      <c r="C721" t="s">
        <v>8752</v>
      </c>
      <c r="D721" t="s">
        <v>6609</v>
      </c>
      <c r="E721" t="s">
        <v>8753</v>
      </c>
      <c r="F721" t="s">
        <v>8754</v>
      </c>
      <c r="G721" t="s">
        <v>6586</v>
      </c>
    </row>
    <row r="722" spans="1:7">
      <c r="A722" t="s">
        <v>6581</v>
      </c>
      <c r="B722" s="1">
        <v>721</v>
      </c>
      <c r="C722" t="s">
        <v>8755</v>
      </c>
      <c r="D722" t="s">
        <v>6609</v>
      </c>
      <c r="E722" t="s">
        <v>8756</v>
      </c>
      <c r="F722" t="s">
        <v>8757</v>
      </c>
      <c r="G722" t="s">
        <v>6586</v>
      </c>
    </row>
    <row r="723" spans="1:7">
      <c r="A723" t="s">
        <v>6581</v>
      </c>
      <c r="B723" s="1">
        <v>722</v>
      </c>
      <c r="C723" t="s">
        <v>8758</v>
      </c>
      <c r="D723" t="s">
        <v>6609</v>
      </c>
      <c r="E723" t="s">
        <v>8759</v>
      </c>
      <c r="F723" t="s">
        <v>8760</v>
      </c>
      <c r="G723" t="s">
        <v>6586</v>
      </c>
    </row>
    <row r="724" spans="1:7">
      <c r="A724" t="s">
        <v>6581</v>
      </c>
      <c r="B724" s="1">
        <v>723</v>
      </c>
      <c r="C724" t="s">
        <v>8761</v>
      </c>
      <c r="D724" t="s">
        <v>6609</v>
      </c>
      <c r="E724" t="s">
        <v>8762</v>
      </c>
      <c r="F724" t="s">
        <v>8763</v>
      </c>
      <c r="G724" t="s">
        <v>6586</v>
      </c>
    </row>
    <row r="725" spans="1:7">
      <c r="A725" t="s">
        <v>6581</v>
      </c>
      <c r="B725" s="1">
        <v>724</v>
      </c>
      <c r="C725" t="s">
        <v>8764</v>
      </c>
      <c r="D725" t="s">
        <v>6609</v>
      </c>
      <c r="E725" t="s">
        <v>8765</v>
      </c>
      <c r="F725" t="s">
        <v>8766</v>
      </c>
      <c r="G725" t="s">
        <v>6586</v>
      </c>
    </row>
    <row r="726" spans="1:7">
      <c r="A726" t="s">
        <v>6581</v>
      </c>
      <c r="B726" s="1">
        <v>725</v>
      </c>
      <c r="C726" t="s">
        <v>8767</v>
      </c>
      <c r="D726" t="s">
        <v>6609</v>
      </c>
      <c r="E726" t="s">
        <v>8768</v>
      </c>
      <c r="F726" t="s">
        <v>8769</v>
      </c>
      <c r="G726" t="s">
        <v>6586</v>
      </c>
    </row>
    <row r="727" spans="1:7">
      <c r="A727" t="s">
        <v>6581</v>
      </c>
      <c r="B727" s="1">
        <v>726</v>
      </c>
      <c r="C727" t="s">
        <v>8770</v>
      </c>
      <c r="D727" t="s">
        <v>6609</v>
      </c>
      <c r="E727" t="s">
        <v>8771</v>
      </c>
      <c r="F727" t="s">
        <v>8772</v>
      </c>
      <c r="G727" t="s">
        <v>6586</v>
      </c>
    </row>
    <row r="728" spans="1:7">
      <c r="A728" t="s">
        <v>6581</v>
      </c>
      <c r="B728" s="1">
        <v>727</v>
      </c>
      <c r="C728" t="s">
        <v>8773</v>
      </c>
      <c r="D728" t="s">
        <v>6654</v>
      </c>
      <c r="E728" t="s">
        <v>8774</v>
      </c>
      <c r="F728" t="s">
        <v>8775</v>
      </c>
      <c r="G728" t="s">
        <v>6586</v>
      </c>
    </row>
    <row r="729" spans="1:7">
      <c r="A729" t="s">
        <v>6581</v>
      </c>
      <c r="B729" s="1">
        <v>728</v>
      </c>
      <c r="C729" t="s">
        <v>8776</v>
      </c>
      <c r="D729" t="s">
        <v>6654</v>
      </c>
      <c r="E729" t="s">
        <v>8777</v>
      </c>
      <c r="F729" t="s">
        <v>8778</v>
      </c>
      <c r="G729" t="s">
        <v>6586</v>
      </c>
    </row>
    <row r="730" spans="1:7">
      <c r="A730" t="s">
        <v>6581</v>
      </c>
      <c r="B730" s="1">
        <v>729</v>
      </c>
      <c r="C730" t="s">
        <v>8779</v>
      </c>
      <c r="D730" t="s">
        <v>6695</v>
      </c>
      <c r="E730" t="s">
        <v>8780</v>
      </c>
      <c r="F730" t="s">
        <v>8781</v>
      </c>
      <c r="G730" t="s">
        <v>6586</v>
      </c>
    </row>
    <row r="731" spans="1:7">
      <c r="A731" t="s">
        <v>6581</v>
      </c>
      <c r="B731" s="1">
        <v>730</v>
      </c>
      <c r="C731" t="s">
        <v>8782</v>
      </c>
      <c r="D731" t="s">
        <v>6605</v>
      </c>
      <c r="E731" t="s">
        <v>8783</v>
      </c>
      <c r="F731" t="s">
        <v>8784</v>
      </c>
      <c r="G731" t="s">
        <v>6586</v>
      </c>
    </row>
    <row r="732" spans="1:7">
      <c r="A732" t="s">
        <v>6581</v>
      </c>
      <c r="B732" s="1">
        <v>731</v>
      </c>
      <c r="C732" t="s">
        <v>8785</v>
      </c>
      <c r="D732" t="s">
        <v>6605</v>
      </c>
      <c r="E732" t="s">
        <v>8786</v>
      </c>
      <c r="F732" t="s">
        <v>8787</v>
      </c>
      <c r="G732" t="s">
        <v>6586</v>
      </c>
    </row>
    <row r="733" spans="1:7">
      <c r="A733" t="s">
        <v>6581</v>
      </c>
      <c r="B733" s="1">
        <v>732</v>
      </c>
      <c r="C733" t="s">
        <v>8788</v>
      </c>
      <c r="D733" t="s">
        <v>6605</v>
      </c>
      <c r="E733" t="s">
        <v>8789</v>
      </c>
      <c r="F733" t="s">
        <v>8790</v>
      </c>
      <c r="G733" t="s">
        <v>6586</v>
      </c>
    </row>
    <row r="734" spans="1:7">
      <c r="A734" t="s">
        <v>6581</v>
      </c>
      <c r="B734" s="1">
        <v>733</v>
      </c>
      <c r="C734" t="s">
        <v>8791</v>
      </c>
      <c r="D734" t="s">
        <v>6609</v>
      </c>
      <c r="E734" t="s">
        <v>8792</v>
      </c>
      <c r="F734" t="s">
        <v>8793</v>
      </c>
      <c r="G734" t="s">
        <v>6586</v>
      </c>
    </row>
    <row r="735" spans="1:7">
      <c r="A735" t="s">
        <v>6581</v>
      </c>
      <c r="B735" s="1">
        <v>734</v>
      </c>
      <c r="C735" t="s">
        <v>8794</v>
      </c>
      <c r="D735" t="s">
        <v>6609</v>
      </c>
      <c r="E735" t="s">
        <v>8795</v>
      </c>
      <c r="F735" t="s">
        <v>8796</v>
      </c>
      <c r="G735" t="s">
        <v>6586</v>
      </c>
    </row>
    <row r="736" spans="1:7">
      <c r="A736" t="s">
        <v>6581</v>
      </c>
      <c r="B736" s="1">
        <v>735</v>
      </c>
      <c r="C736" t="s">
        <v>8797</v>
      </c>
      <c r="D736" t="s">
        <v>6609</v>
      </c>
      <c r="E736" t="s">
        <v>8798</v>
      </c>
      <c r="F736" t="s">
        <v>8799</v>
      </c>
      <c r="G736" t="s">
        <v>6586</v>
      </c>
    </row>
    <row r="737" spans="1:7">
      <c r="A737" t="s">
        <v>6581</v>
      </c>
      <c r="B737" s="1">
        <v>736</v>
      </c>
      <c r="C737" t="s">
        <v>8800</v>
      </c>
      <c r="D737" t="s">
        <v>6609</v>
      </c>
      <c r="E737" t="s">
        <v>8801</v>
      </c>
      <c r="F737" t="s">
        <v>8802</v>
      </c>
      <c r="G737" t="s">
        <v>6586</v>
      </c>
    </row>
    <row r="738" spans="1:7">
      <c r="A738" t="s">
        <v>6581</v>
      </c>
      <c r="B738" s="1">
        <v>737</v>
      </c>
      <c r="C738" t="s">
        <v>8803</v>
      </c>
      <c r="D738" t="s">
        <v>6609</v>
      </c>
      <c r="E738" t="s">
        <v>8804</v>
      </c>
      <c r="F738" t="s">
        <v>8805</v>
      </c>
      <c r="G738" t="s">
        <v>6586</v>
      </c>
    </row>
    <row r="739" spans="1:7">
      <c r="A739" t="s">
        <v>6581</v>
      </c>
      <c r="B739" s="1">
        <v>738</v>
      </c>
      <c r="C739" t="s">
        <v>8806</v>
      </c>
      <c r="D739" t="s">
        <v>6654</v>
      </c>
      <c r="E739" t="s">
        <v>8807</v>
      </c>
      <c r="F739" t="s">
        <v>8808</v>
      </c>
      <c r="G739" t="s">
        <v>6586</v>
      </c>
    </row>
    <row r="740" spans="1:7">
      <c r="A740" t="s">
        <v>6581</v>
      </c>
      <c r="B740" s="1">
        <v>739</v>
      </c>
      <c r="C740" t="s">
        <v>8809</v>
      </c>
      <c r="D740" t="s">
        <v>6734</v>
      </c>
      <c r="E740" t="s">
        <v>7142</v>
      </c>
      <c r="F740" t="s">
        <v>8810</v>
      </c>
      <c r="G740" t="s">
        <v>6586</v>
      </c>
    </row>
    <row r="741" spans="1:7">
      <c r="A741" t="s">
        <v>6581</v>
      </c>
      <c r="B741" s="1">
        <v>740</v>
      </c>
      <c r="C741" t="s">
        <v>8811</v>
      </c>
      <c r="D741" t="s">
        <v>6734</v>
      </c>
      <c r="E741" t="s">
        <v>8812</v>
      </c>
      <c r="F741" t="s">
        <v>8813</v>
      </c>
      <c r="G741" t="s">
        <v>6586</v>
      </c>
    </row>
    <row r="742" spans="1:7">
      <c r="A742" t="s">
        <v>6581</v>
      </c>
      <c r="B742" s="1">
        <v>741</v>
      </c>
      <c r="C742" t="s">
        <v>8814</v>
      </c>
      <c r="D742" t="s">
        <v>6771</v>
      </c>
      <c r="E742" t="s">
        <v>8815</v>
      </c>
      <c r="F742" t="s">
        <v>8703</v>
      </c>
      <c r="G742" t="s">
        <v>6586</v>
      </c>
    </row>
    <row r="743" spans="1:7">
      <c r="A743" t="s">
        <v>6581</v>
      </c>
      <c r="B743" s="1">
        <v>742</v>
      </c>
      <c r="C743" t="s">
        <v>8816</v>
      </c>
      <c r="D743" t="s">
        <v>6771</v>
      </c>
      <c r="E743" t="s">
        <v>8817</v>
      </c>
      <c r="F743" t="s">
        <v>8818</v>
      </c>
      <c r="G743" t="s">
        <v>6586</v>
      </c>
    </row>
    <row r="744" spans="1:7">
      <c r="A744" t="s">
        <v>6581</v>
      </c>
      <c r="B744" s="1">
        <v>743</v>
      </c>
      <c r="C744" t="s">
        <v>8819</v>
      </c>
      <c r="D744" t="s">
        <v>6734</v>
      </c>
      <c r="E744" t="s">
        <v>8820</v>
      </c>
      <c r="F744" t="s">
        <v>8821</v>
      </c>
      <c r="G744" t="s">
        <v>6586</v>
      </c>
    </row>
    <row r="745" spans="1:7">
      <c r="A745" t="s">
        <v>6581</v>
      </c>
      <c r="B745" s="1">
        <v>744</v>
      </c>
      <c r="C745" t="s">
        <v>8822</v>
      </c>
      <c r="D745" t="s">
        <v>6734</v>
      </c>
      <c r="E745" t="s">
        <v>8823</v>
      </c>
      <c r="F745" t="s">
        <v>8824</v>
      </c>
      <c r="G745" t="s">
        <v>6586</v>
      </c>
    </row>
    <row r="746" spans="1:7">
      <c r="A746" t="s">
        <v>6581</v>
      </c>
      <c r="B746" s="1">
        <v>745</v>
      </c>
      <c r="C746" t="s">
        <v>8825</v>
      </c>
      <c r="D746" t="s">
        <v>6734</v>
      </c>
      <c r="E746" t="s">
        <v>8826</v>
      </c>
      <c r="F746" t="s">
        <v>8827</v>
      </c>
      <c r="G746" t="s">
        <v>6586</v>
      </c>
    </row>
    <row r="747" spans="1:7">
      <c r="A747" t="s">
        <v>6581</v>
      </c>
      <c r="B747" s="1">
        <v>746</v>
      </c>
      <c r="C747" t="s">
        <v>8828</v>
      </c>
      <c r="D747" t="s">
        <v>6734</v>
      </c>
      <c r="E747" t="s">
        <v>8829</v>
      </c>
      <c r="F747" t="s">
        <v>8830</v>
      </c>
      <c r="G747" t="s">
        <v>6586</v>
      </c>
    </row>
    <row r="748" spans="1:7">
      <c r="A748" t="s">
        <v>6581</v>
      </c>
      <c r="B748" s="1">
        <v>747</v>
      </c>
      <c r="C748" t="s">
        <v>8831</v>
      </c>
      <c r="D748" t="s">
        <v>6771</v>
      </c>
      <c r="E748" t="s">
        <v>8832</v>
      </c>
      <c r="F748" t="s">
        <v>8833</v>
      </c>
      <c r="G748" t="s">
        <v>6586</v>
      </c>
    </row>
    <row r="749" spans="1:7">
      <c r="A749" t="s">
        <v>6581</v>
      </c>
      <c r="B749" s="1">
        <v>748</v>
      </c>
      <c r="C749" t="s">
        <v>8834</v>
      </c>
      <c r="D749" t="s">
        <v>6734</v>
      </c>
      <c r="E749" t="s">
        <v>8835</v>
      </c>
      <c r="F749" t="s">
        <v>8836</v>
      </c>
      <c r="G749" t="s">
        <v>6586</v>
      </c>
    </row>
    <row r="750" spans="1:7">
      <c r="A750" t="s">
        <v>6581</v>
      </c>
      <c r="B750" s="1">
        <v>749</v>
      </c>
      <c r="C750" t="s">
        <v>8837</v>
      </c>
      <c r="D750" t="s">
        <v>6771</v>
      </c>
      <c r="E750" t="s">
        <v>8838</v>
      </c>
      <c r="F750" t="s">
        <v>8839</v>
      </c>
      <c r="G750" t="s">
        <v>6586</v>
      </c>
    </row>
    <row r="751" spans="1:7">
      <c r="A751" t="s">
        <v>6581</v>
      </c>
      <c r="B751" s="1">
        <v>750</v>
      </c>
      <c r="C751" t="s">
        <v>8840</v>
      </c>
      <c r="D751" t="s">
        <v>6695</v>
      </c>
      <c r="E751" t="s">
        <v>8841</v>
      </c>
      <c r="F751" t="s">
        <v>8842</v>
      </c>
      <c r="G751" t="s">
        <v>6586</v>
      </c>
    </row>
    <row r="752" spans="1:7">
      <c r="A752" t="s">
        <v>6581</v>
      </c>
      <c r="B752" s="1">
        <v>751</v>
      </c>
      <c r="C752" t="s">
        <v>8843</v>
      </c>
      <c r="D752" t="s">
        <v>6695</v>
      </c>
      <c r="E752" t="s">
        <v>8844</v>
      </c>
      <c r="F752" t="s">
        <v>8845</v>
      </c>
      <c r="G752" t="s">
        <v>6586</v>
      </c>
    </row>
    <row r="753" spans="1:7">
      <c r="A753" t="s">
        <v>6581</v>
      </c>
      <c r="B753" s="1">
        <v>752</v>
      </c>
      <c r="C753" t="s">
        <v>8846</v>
      </c>
      <c r="D753" t="s">
        <v>6734</v>
      </c>
      <c r="E753" t="s">
        <v>8847</v>
      </c>
      <c r="F753" t="s">
        <v>8848</v>
      </c>
      <c r="G753" t="s">
        <v>6586</v>
      </c>
    </row>
    <row r="754" spans="1:7">
      <c r="A754" t="s">
        <v>6581</v>
      </c>
      <c r="B754" s="1">
        <v>753</v>
      </c>
      <c r="C754" t="s">
        <v>8849</v>
      </c>
      <c r="D754" t="s">
        <v>6734</v>
      </c>
      <c r="E754" t="s">
        <v>8850</v>
      </c>
      <c r="F754" t="s">
        <v>8851</v>
      </c>
      <c r="G754" t="s">
        <v>6586</v>
      </c>
    </row>
    <row r="755" spans="1:7">
      <c r="A755" t="s">
        <v>6581</v>
      </c>
      <c r="B755" s="1">
        <v>754</v>
      </c>
      <c r="C755" t="s">
        <v>8852</v>
      </c>
      <c r="D755" t="s">
        <v>6734</v>
      </c>
      <c r="E755" t="s">
        <v>8853</v>
      </c>
      <c r="F755" t="s">
        <v>8854</v>
      </c>
      <c r="G755" t="s">
        <v>6586</v>
      </c>
    </row>
    <row r="756" spans="1:7">
      <c r="A756" t="s">
        <v>6581</v>
      </c>
      <c r="B756" s="1">
        <v>755</v>
      </c>
      <c r="C756" t="s">
        <v>6969</v>
      </c>
      <c r="D756" t="s">
        <v>6734</v>
      </c>
      <c r="E756" t="s">
        <v>8855</v>
      </c>
      <c r="F756" t="s">
        <v>8856</v>
      </c>
      <c r="G756" t="s">
        <v>6586</v>
      </c>
    </row>
    <row r="757" spans="1:7">
      <c r="A757" t="s">
        <v>6581</v>
      </c>
      <c r="B757" s="1">
        <v>756</v>
      </c>
      <c r="C757" t="s">
        <v>8857</v>
      </c>
      <c r="D757" t="s">
        <v>6771</v>
      </c>
      <c r="E757" t="s">
        <v>8858</v>
      </c>
      <c r="F757" t="s">
        <v>8700</v>
      </c>
      <c r="G757" t="s">
        <v>6586</v>
      </c>
    </row>
    <row r="758" spans="1:7">
      <c r="A758" t="s">
        <v>6581</v>
      </c>
      <c r="B758" s="1">
        <v>757</v>
      </c>
      <c r="C758" t="s">
        <v>8859</v>
      </c>
      <c r="D758" t="s">
        <v>6654</v>
      </c>
      <c r="E758" t="s">
        <v>8860</v>
      </c>
      <c r="F758" t="s">
        <v>8861</v>
      </c>
      <c r="G758" t="s">
        <v>6586</v>
      </c>
    </row>
    <row r="759" spans="1:7">
      <c r="A759" t="s">
        <v>6581</v>
      </c>
      <c r="B759" s="1">
        <v>758</v>
      </c>
      <c r="C759" t="s">
        <v>8862</v>
      </c>
      <c r="D759" t="s">
        <v>6598</v>
      </c>
      <c r="E759" t="s">
        <v>8863</v>
      </c>
      <c r="F759" t="s">
        <v>8864</v>
      </c>
      <c r="G759" t="s">
        <v>6586</v>
      </c>
    </row>
    <row r="760" spans="1:7">
      <c r="A760" t="s">
        <v>6581</v>
      </c>
      <c r="B760" s="1">
        <v>759</v>
      </c>
      <c r="C760" t="s">
        <v>8865</v>
      </c>
      <c r="D760" t="s">
        <v>6605</v>
      </c>
      <c r="E760" t="s">
        <v>8866</v>
      </c>
      <c r="F760" t="s">
        <v>8867</v>
      </c>
      <c r="G760" t="s">
        <v>6586</v>
      </c>
    </row>
    <row r="761" spans="1:7">
      <c r="A761" t="s">
        <v>6581</v>
      </c>
      <c r="B761" s="1">
        <v>760</v>
      </c>
      <c r="C761" t="s">
        <v>8868</v>
      </c>
      <c r="D761" t="s">
        <v>6654</v>
      </c>
      <c r="E761" t="s">
        <v>8869</v>
      </c>
      <c r="F761" t="s">
        <v>8870</v>
      </c>
      <c r="G761" t="s">
        <v>6586</v>
      </c>
    </row>
    <row r="762" spans="1:7">
      <c r="A762" t="s">
        <v>6581</v>
      </c>
      <c r="B762" s="1">
        <v>761</v>
      </c>
      <c r="C762" t="s">
        <v>8871</v>
      </c>
      <c r="D762" t="s">
        <v>6695</v>
      </c>
      <c r="E762" t="s">
        <v>8872</v>
      </c>
      <c r="F762" t="s">
        <v>8873</v>
      </c>
      <c r="G762" t="s">
        <v>6586</v>
      </c>
    </row>
    <row r="763" spans="1:7">
      <c r="A763" t="s">
        <v>6581</v>
      </c>
      <c r="B763" s="1">
        <v>762</v>
      </c>
      <c r="C763" t="s">
        <v>8874</v>
      </c>
      <c r="D763" t="s">
        <v>6598</v>
      </c>
      <c r="E763" t="s">
        <v>8875</v>
      </c>
      <c r="F763" t="s">
        <v>8876</v>
      </c>
      <c r="G763" t="s">
        <v>6586</v>
      </c>
    </row>
    <row r="764" spans="1:7">
      <c r="A764" t="s">
        <v>6581</v>
      </c>
      <c r="B764" s="1">
        <v>763</v>
      </c>
      <c r="C764" t="s">
        <v>8877</v>
      </c>
      <c r="D764" t="s">
        <v>6609</v>
      </c>
      <c r="E764" t="s">
        <v>8878</v>
      </c>
      <c r="F764" t="s">
        <v>8879</v>
      </c>
      <c r="G764" t="s">
        <v>6586</v>
      </c>
    </row>
    <row r="765" spans="1:7">
      <c r="A765" t="s">
        <v>6581</v>
      </c>
      <c r="B765" s="1">
        <v>764</v>
      </c>
      <c r="C765" t="s">
        <v>8880</v>
      </c>
      <c r="D765" t="s">
        <v>6771</v>
      </c>
      <c r="E765" t="s">
        <v>8881</v>
      </c>
      <c r="F765" t="s">
        <v>8882</v>
      </c>
      <c r="G765" t="s">
        <v>6586</v>
      </c>
    </row>
    <row r="766" spans="1:7">
      <c r="A766" t="s">
        <v>6581</v>
      </c>
      <c r="B766" s="1">
        <v>765</v>
      </c>
      <c r="C766" t="s">
        <v>8883</v>
      </c>
      <c r="D766" t="s">
        <v>6771</v>
      </c>
      <c r="E766" t="s">
        <v>8884</v>
      </c>
      <c r="F766" t="s">
        <v>8885</v>
      </c>
      <c r="G766" t="s">
        <v>6586</v>
      </c>
    </row>
    <row r="767" spans="1:7">
      <c r="A767" t="s">
        <v>6581</v>
      </c>
      <c r="B767" s="1">
        <v>766</v>
      </c>
      <c r="C767" t="s">
        <v>8886</v>
      </c>
      <c r="D767" t="s">
        <v>6771</v>
      </c>
      <c r="E767" t="s">
        <v>8887</v>
      </c>
      <c r="F767" t="s">
        <v>8888</v>
      </c>
      <c r="G767" t="s">
        <v>6586</v>
      </c>
    </row>
    <row r="768" spans="1:7">
      <c r="A768" t="s">
        <v>6581</v>
      </c>
      <c r="B768" s="1">
        <v>767</v>
      </c>
      <c r="C768" t="s">
        <v>8889</v>
      </c>
      <c r="D768" t="s">
        <v>6605</v>
      </c>
      <c r="E768" t="s">
        <v>8890</v>
      </c>
      <c r="F768" t="s">
        <v>8891</v>
      </c>
      <c r="G768" t="s">
        <v>6586</v>
      </c>
    </row>
    <row r="769" spans="1:7">
      <c r="A769" t="s">
        <v>6581</v>
      </c>
      <c r="B769" s="1">
        <v>768</v>
      </c>
      <c r="C769" t="s">
        <v>8892</v>
      </c>
      <c r="D769" t="s">
        <v>6734</v>
      </c>
      <c r="E769" t="s">
        <v>8893</v>
      </c>
      <c r="F769" t="s">
        <v>8894</v>
      </c>
      <c r="G769" t="s">
        <v>6586</v>
      </c>
    </row>
    <row r="770" spans="1:7">
      <c r="A770" t="s">
        <v>6581</v>
      </c>
      <c r="B770" s="1">
        <v>769</v>
      </c>
      <c r="C770" t="s">
        <v>8895</v>
      </c>
      <c r="D770" t="s">
        <v>6695</v>
      </c>
      <c r="E770" t="s">
        <v>8896</v>
      </c>
      <c r="F770" t="s">
        <v>8897</v>
      </c>
      <c r="G770" t="s">
        <v>6586</v>
      </c>
    </row>
    <row r="771" spans="1:7">
      <c r="A771" t="s">
        <v>6581</v>
      </c>
      <c r="B771" s="1">
        <v>770</v>
      </c>
      <c r="C771" t="s">
        <v>8898</v>
      </c>
      <c r="D771" t="s">
        <v>6771</v>
      </c>
      <c r="E771" t="s">
        <v>8899</v>
      </c>
      <c r="F771" t="s">
        <v>8900</v>
      </c>
      <c r="G771" t="s">
        <v>6586</v>
      </c>
    </row>
    <row r="772" spans="1:7">
      <c r="A772" t="s">
        <v>6581</v>
      </c>
      <c r="B772" s="1">
        <v>771</v>
      </c>
      <c r="C772" t="s">
        <v>8901</v>
      </c>
      <c r="D772" t="s">
        <v>6771</v>
      </c>
      <c r="E772" t="s">
        <v>8902</v>
      </c>
      <c r="F772" t="s">
        <v>8903</v>
      </c>
      <c r="G772" t="s">
        <v>6586</v>
      </c>
    </row>
    <row r="773" spans="1:7">
      <c r="A773" t="s">
        <v>6581</v>
      </c>
      <c r="B773" s="1">
        <v>772</v>
      </c>
      <c r="C773" t="s">
        <v>8904</v>
      </c>
      <c r="D773" t="s">
        <v>6647</v>
      </c>
      <c r="E773" t="s">
        <v>8905</v>
      </c>
      <c r="F773" t="s">
        <v>8906</v>
      </c>
      <c r="G773" t="s">
        <v>6586</v>
      </c>
    </row>
    <row r="774" spans="1:7">
      <c r="A774" t="s">
        <v>6581</v>
      </c>
      <c r="B774" s="1">
        <v>773</v>
      </c>
      <c r="C774" t="s">
        <v>8907</v>
      </c>
      <c r="D774" t="s">
        <v>6647</v>
      </c>
      <c r="E774" t="s">
        <v>8908</v>
      </c>
      <c r="F774" t="s">
        <v>8909</v>
      </c>
      <c r="G774" t="s">
        <v>6586</v>
      </c>
    </row>
    <row r="775" spans="1:7">
      <c r="A775" t="s">
        <v>6581</v>
      </c>
      <c r="B775" s="1">
        <v>774</v>
      </c>
      <c r="C775" t="s">
        <v>8910</v>
      </c>
      <c r="D775" t="s">
        <v>6734</v>
      </c>
      <c r="E775" t="s">
        <v>8911</v>
      </c>
      <c r="F775" t="s">
        <v>8912</v>
      </c>
      <c r="G775" t="s">
        <v>6586</v>
      </c>
    </row>
    <row r="776" spans="1:7">
      <c r="A776" t="s">
        <v>6581</v>
      </c>
      <c r="B776" s="1">
        <v>775</v>
      </c>
      <c r="C776" t="s">
        <v>8913</v>
      </c>
      <c r="D776" t="s">
        <v>6734</v>
      </c>
      <c r="E776" t="s">
        <v>8914</v>
      </c>
      <c r="F776" t="s">
        <v>8915</v>
      </c>
      <c r="G776" t="s">
        <v>6586</v>
      </c>
    </row>
    <row r="777" spans="1:7">
      <c r="A777" t="s">
        <v>6581</v>
      </c>
      <c r="B777" s="1">
        <v>776</v>
      </c>
      <c r="C777" t="s">
        <v>8916</v>
      </c>
      <c r="D777" t="s">
        <v>6771</v>
      </c>
      <c r="E777" t="s">
        <v>8917</v>
      </c>
      <c r="F777" t="s">
        <v>8918</v>
      </c>
      <c r="G777" t="s">
        <v>6586</v>
      </c>
    </row>
    <row r="778" spans="1:7">
      <c r="A778" t="s">
        <v>6581</v>
      </c>
      <c r="B778" s="1">
        <v>777</v>
      </c>
      <c r="C778" t="s">
        <v>8919</v>
      </c>
      <c r="D778" t="s">
        <v>6771</v>
      </c>
      <c r="E778" t="s">
        <v>8920</v>
      </c>
      <c r="F778" t="s">
        <v>8921</v>
      </c>
      <c r="G778" t="s">
        <v>6586</v>
      </c>
    </row>
    <row r="779" spans="1:7">
      <c r="A779" t="s">
        <v>6581</v>
      </c>
      <c r="B779" s="1">
        <v>778</v>
      </c>
      <c r="C779" t="s">
        <v>8922</v>
      </c>
      <c r="D779" t="s">
        <v>6771</v>
      </c>
      <c r="E779" t="s">
        <v>8923</v>
      </c>
      <c r="F779" t="s">
        <v>8924</v>
      </c>
      <c r="G779" t="s">
        <v>6586</v>
      </c>
    </row>
    <row r="780" spans="1:7">
      <c r="A780" t="s">
        <v>6581</v>
      </c>
      <c r="B780" s="1">
        <v>779</v>
      </c>
      <c r="C780" t="s">
        <v>8925</v>
      </c>
      <c r="D780" t="s">
        <v>6771</v>
      </c>
      <c r="E780" t="s">
        <v>8926</v>
      </c>
      <c r="F780" t="s">
        <v>8927</v>
      </c>
      <c r="G780" t="s">
        <v>6586</v>
      </c>
    </row>
    <row r="781" spans="1:7">
      <c r="A781" t="s">
        <v>6581</v>
      </c>
      <c r="B781" s="1">
        <v>780</v>
      </c>
      <c r="C781" t="s">
        <v>8928</v>
      </c>
      <c r="D781" t="s">
        <v>6734</v>
      </c>
      <c r="E781" t="s">
        <v>8929</v>
      </c>
      <c r="F781" t="s">
        <v>8930</v>
      </c>
      <c r="G781" t="s">
        <v>6586</v>
      </c>
    </row>
    <row r="782" spans="1:7">
      <c r="A782" t="s">
        <v>6581</v>
      </c>
      <c r="B782" s="1">
        <v>781</v>
      </c>
      <c r="C782" t="s">
        <v>8931</v>
      </c>
      <c r="D782" t="s">
        <v>6734</v>
      </c>
      <c r="E782" t="s">
        <v>8932</v>
      </c>
      <c r="F782" t="s">
        <v>8933</v>
      </c>
      <c r="G782" t="s">
        <v>6586</v>
      </c>
    </row>
    <row r="783" spans="1:7">
      <c r="A783" t="s">
        <v>6581</v>
      </c>
      <c r="B783" s="1">
        <v>782</v>
      </c>
      <c r="C783" t="s">
        <v>8934</v>
      </c>
      <c r="D783" t="s">
        <v>6771</v>
      </c>
      <c r="E783" t="s">
        <v>8935</v>
      </c>
      <c r="F783" t="s">
        <v>8936</v>
      </c>
      <c r="G783" t="s">
        <v>6586</v>
      </c>
    </row>
    <row r="784" spans="1:7">
      <c r="A784" t="s">
        <v>6581</v>
      </c>
      <c r="B784" s="1">
        <v>783</v>
      </c>
      <c r="C784" t="s">
        <v>8937</v>
      </c>
      <c r="D784" t="s">
        <v>6734</v>
      </c>
      <c r="E784" t="s">
        <v>8938</v>
      </c>
      <c r="F784" t="s">
        <v>8939</v>
      </c>
      <c r="G784" t="s">
        <v>6586</v>
      </c>
    </row>
    <row r="785" spans="1:7">
      <c r="A785" t="s">
        <v>6581</v>
      </c>
      <c r="B785" s="1">
        <v>784</v>
      </c>
      <c r="C785" t="s">
        <v>8940</v>
      </c>
      <c r="D785" t="s">
        <v>6771</v>
      </c>
      <c r="E785" t="s">
        <v>8941</v>
      </c>
      <c r="F785" t="s">
        <v>8942</v>
      </c>
      <c r="G785" t="s">
        <v>6586</v>
      </c>
    </row>
    <row r="786" spans="1:7">
      <c r="A786" t="s">
        <v>6581</v>
      </c>
      <c r="B786" s="1">
        <v>785</v>
      </c>
      <c r="C786" t="s">
        <v>8943</v>
      </c>
      <c r="D786" t="s">
        <v>6598</v>
      </c>
      <c r="E786" t="s">
        <v>8944</v>
      </c>
      <c r="F786" t="s">
        <v>8945</v>
      </c>
      <c r="G786" t="s">
        <v>6586</v>
      </c>
    </row>
    <row r="787" spans="1:7">
      <c r="A787" t="s">
        <v>6581</v>
      </c>
      <c r="B787" s="1">
        <v>786</v>
      </c>
      <c r="C787" t="s">
        <v>8946</v>
      </c>
      <c r="D787" t="s">
        <v>6771</v>
      </c>
      <c r="E787" t="s">
        <v>8947</v>
      </c>
      <c r="F787" t="s">
        <v>8948</v>
      </c>
      <c r="G787" t="s">
        <v>6586</v>
      </c>
    </row>
    <row r="788" spans="1:7">
      <c r="A788" t="s">
        <v>6581</v>
      </c>
      <c r="B788" s="1">
        <v>787</v>
      </c>
      <c r="C788" t="s">
        <v>8949</v>
      </c>
      <c r="D788" t="s">
        <v>6654</v>
      </c>
      <c r="E788" t="s">
        <v>8950</v>
      </c>
      <c r="F788" t="s">
        <v>8951</v>
      </c>
      <c r="G788" t="s">
        <v>6586</v>
      </c>
    </row>
    <row r="789" spans="1:7">
      <c r="A789" t="s">
        <v>6581</v>
      </c>
      <c r="B789" s="1">
        <v>788</v>
      </c>
      <c r="C789" t="s">
        <v>8952</v>
      </c>
      <c r="D789" t="s">
        <v>6654</v>
      </c>
      <c r="E789" t="s">
        <v>8953</v>
      </c>
      <c r="F789" t="s">
        <v>8954</v>
      </c>
      <c r="G789" t="s">
        <v>6586</v>
      </c>
    </row>
    <row r="790" spans="1:7">
      <c r="A790" t="s">
        <v>6581</v>
      </c>
      <c r="B790" s="1">
        <v>789</v>
      </c>
      <c r="C790" t="s">
        <v>8955</v>
      </c>
      <c r="D790" t="s">
        <v>6654</v>
      </c>
      <c r="E790" t="s">
        <v>8956</v>
      </c>
      <c r="F790" t="s">
        <v>8957</v>
      </c>
      <c r="G790" t="s">
        <v>6586</v>
      </c>
    </row>
    <row r="791" spans="1:7">
      <c r="A791" t="s">
        <v>6581</v>
      </c>
      <c r="B791" s="1">
        <v>790</v>
      </c>
      <c r="C791" t="s">
        <v>8958</v>
      </c>
      <c r="D791" t="s">
        <v>6654</v>
      </c>
      <c r="E791" t="s">
        <v>8959</v>
      </c>
      <c r="F791" t="s">
        <v>8960</v>
      </c>
      <c r="G791" t="s">
        <v>6586</v>
      </c>
    </row>
    <row r="792" spans="1:7">
      <c r="A792" t="s">
        <v>6581</v>
      </c>
      <c r="B792" s="1">
        <v>791</v>
      </c>
      <c r="C792" t="s">
        <v>8961</v>
      </c>
      <c r="D792" t="s">
        <v>6654</v>
      </c>
      <c r="E792" t="s">
        <v>8962</v>
      </c>
      <c r="F792" t="s">
        <v>8963</v>
      </c>
      <c r="G792" t="s">
        <v>6586</v>
      </c>
    </row>
    <row r="793" spans="1:7">
      <c r="A793" t="s">
        <v>6581</v>
      </c>
      <c r="B793" s="1">
        <v>792</v>
      </c>
      <c r="C793" t="s">
        <v>8964</v>
      </c>
      <c r="D793" t="s">
        <v>6654</v>
      </c>
      <c r="E793" t="s">
        <v>8965</v>
      </c>
      <c r="F793" t="s">
        <v>8966</v>
      </c>
      <c r="G793" t="s">
        <v>6586</v>
      </c>
    </row>
    <row r="794" spans="1:7">
      <c r="A794" t="s">
        <v>6581</v>
      </c>
      <c r="B794" s="1">
        <v>793</v>
      </c>
      <c r="C794" t="s">
        <v>8967</v>
      </c>
      <c r="D794" t="s">
        <v>6654</v>
      </c>
      <c r="E794" t="s">
        <v>8968</v>
      </c>
      <c r="F794" t="s">
        <v>8969</v>
      </c>
      <c r="G794" t="s">
        <v>6586</v>
      </c>
    </row>
    <row r="795" spans="1:7">
      <c r="A795" t="s">
        <v>6581</v>
      </c>
      <c r="B795" s="1">
        <v>794</v>
      </c>
      <c r="C795" t="s">
        <v>8970</v>
      </c>
      <c r="D795" t="s">
        <v>6654</v>
      </c>
      <c r="E795" t="s">
        <v>8971</v>
      </c>
      <c r="F795" t="s">
        <v>8972</v>
      </c>
      <c r="G795" t="s">
        <v>6586</v>
      </c>
    </row>
    <row r="796" spans="1:7">
      <c r="A796" t="s">
        <v>6581</v>
      </c>
      <c r="B796" s="1">
        <v>795</v>
      </c>
      <c r="C796" t="s">
        <v>8973</v>
      </c>
      <c r="D796" t="s">
        <v>6654</v>
      </c>
      <c r="E796" t="s">
        <v>8974</v>
      </c>
      <c r="F796" t="s">
        <v>8975</v>
      </c>
      <c r="G796" t="s">
        <v>6586</v>
      </c>
    </row>
    <row r="797" spans="1:7">
      <c r="A797" t="s">
        <v>6581</v>
      </c>
      <c r="B797" s="1">
        <v>796</v>
      </c>
      <c r="C797" t="s">
        <v>8976</v>
      </c>
      <c r="D797" t="s">
        <v>6654</v>
      </c>
      <c r="E797" t="s">
        <v>8977</v>
      </c>
      <c r="F797" t="s">
        <v>8978</v>
      </c>
      <c r="G797" t="s">
        <v>6586</v>
      </c>
    </row>
    <row r="798" spans="1:7">
      <c r="A798" t="s">
        <v>6581</v>
      </c>
      <c r="B798" s="1">
        <v>797</v>
      </c>
      <c r="C798" t="s">
        <v>8979</v>
      </c>
      <c r="D798" t="s">
        <v>6654</v>
      </c>
      <c r="E798" t="s">
        <v>8980</v>
      </c>
      <c r="F798" t="s">
        <v>8981</v>
      </c>
      <c r="G798" t="s">
        <v>6586</v>
      </c>
    </row>
    <row r="799" spans="1:7">
      <c r="A799" t="s">
        <v>6581</v>
      </c>
      <c r="B799" s="1">
        <v>798</v>
      </c>
      <c r="C799" t="s">
        <v>8982</v>
      </c>
      <c r="D799" t="s">
        <v>6654</v>
      </c>
      <c r="E799" t="s">
        <v>8983</v>
      </c>
      <c r="F799" t="s">
        <v>8984</v>
      </c>
      <c r="G799" t="s">
        <v>6586</v>
      </c>
    </row>
    <row r="800" spans="1:7">
      <c r="A800" t="s">
        <v>6581</v>
      </c>
      <c r="B800" s="1">
        <v>799</v>
      </c>
      <c r="C800" t="s">
        <v>8985</v>
      </c>
      <c r="D800" t="s">
        <v>6654</v>
      </c>
      <c r="E800" t="s">
        <v>8986</v>
      </c>
      <c r="F800" t="s">
        <v>8981</v>
      </c>
      <c r="G800" t="s">
        <v>6586</v>
      </c>
    </row>
    <row r="801" spans="1:7">
      <c r="A801" t="s">
        <v>6581</v>
      </c>
      <c r="B801" s="1">
        <v>800</v>
      </c>
      <c r="C801" t="s">
        <v>8987</v>
      </c>
      <c r="D801" t="s">
        <v>6654</v>
      </c>
      <c r="E801" t="s">
        <v>8988</v>
      </c>
      <c r="F801" t="s">
        <v>8989</v>
      </c>
      <c r="G801" t="s">
        <v>6586</v>
      </c>
    </row>
    <row r="802" spans="1:7">
      <c r="A802" t="s">
        <v>6581</v>
      </c>
      <c r="B802" s="1">
        <v>801</v>
      </c>
      <c r="C802" t="s">
        <v>8990</v>
      </c>
      <c r="D802" t="s">
        <v>6654</v>
      </c>
      <c r="E802" t="s">
        <v>8991</v>
      </c>
      <c r="F802" t="s">
        <v>8992</v>
      </c>
      <c r="G802" t="s">
        <v>6586</v>
      </c>
    </row>
    <row r="803" spans="1:7">
      <c r="A803" t="s">
        <v>6581</v>
      </c>
      <c r="B803" s="1">
        <v>802</v>
      </c>
      <c r="C803" t="s">
        <v>8993</v>
      </c>
      <c r="D803" t="s">
        <v>6654</v>
      </c>
      <c r="E803" t="s">
        <v>8994</v>
      </c>
      <c r="F803" t="s">
        <v>8995</v>
      </c>
      <c r="G803" t="s">
        <v>6586</v>
      </c>
    </row>
    <row r="804" spans="1:7">
      <c r="A804" t="s">
        <v>6581</v>
      </c>
      <c r="B804" s="1">
        <v>803</v>
      </c>
      <c r="C804" t="s">
        <v>8996</v>
      </c>
      <c r="D804" t="s">
        <v>6654</v>
      </c>
      <c r="E804" t="s">
        <v>8997</v>
      </c>
      <c r="F804" t="s">
        <v>8998</v>
      </c>
      <c r="G804" t="s">
        <v>6586</v>
      </c>
    </row>
    <row r="805" spans="1:7">
      <c r="A805" t="s">
        <v>6581</v>
      </c>
      <c r="B805" s="1">
        <v>804</v>
      </c>
      <c r="C805" t="s">
        <v>8999</v>
      </c>
      <c r="D805" t="s">
        <v>6598</v>
      </c>
      <c r="E805" t="s">
        <v>9000</v>
      </c>
      <c r="F805" t="s">
        <v>9001</v>
      </c>
      <c r="G805" t="s">
        <v>6586</v>
      </c>
    </row>
    <row r="806" spans="1:7">
      <c r="A806" t="s">
        <v>6581</v>
      </c>
      <c r="B806" s="1">
        <v>805</v>
      </c>
      <c r="C806" t="s">
        <v>9002</v>
      </c>
      <c r="D806" t="s">
        <v>6654</v>
      </c>
      <c r="E806" t="s">
        <v>9003</v>
      </c>
      <c r="F806" t="s">
        <v>9004</v>
      </c>
      <c r="G806" t="s">
        <v>6586</v>
      </c>
    </row>
    <row r="807" spans="1:7">
      <c r="A807" t="s">
        <v>6581</v>
      </c>
      <c r="B807" s="1">
        <v>806</v>
      </c>
      <c r="C807" t="s">
        <v>9005</v>
      </c>
      <c r="D807" t="s">
        <v>6654</v>
      </c>
      <c r="E807" t="s">
        <v>9006</v>
      </c>
      <c r="F807" t="s">
        <v>9007</v>
      </c>
      <c r="G807" t="s">
        <v>6586</v>
      </c>
    </row>
    <row r="808" spans="1:7">
      <c r="A808" t="s">
        <v>6581</v>
      </c>
      <c r="B808" s="1">
        <v>807</v>
      </c>
      <c r="C808" t="s">
        <v>9008</v>
      </c>
      <c r="D808" t="s">
        <v>6654</v>
      </c>
      <c r="E808" t="s">
        <v>9009</v>
      </c>
      <c r="F808" t="s">
        <v>9010</v>
      </c>
      <c r="G808" t="s">
        <v>6586</v>
      </c>
    </row>
    <row r="809" spans="1:7">
      <c r="A809" t="s">
        <v>6581</v>
      </c>
      <c r="B809" s="1">
        <v>808</v>
      </c>
      <c r="C809" t="s">
        <v>9011</v>
      </c>
      <c r="D809" t="s">
        <v>6654</v>
      </c>
      <c r="E809" t="s">
        <v>9012</v>
      </c>
      <c r="F809" t="s">
        <v>9013</v>
      </c>
      <c r="G809" t="s">
        <v>6586</v>
      </c>
    </row>
    <row r="810" spans="1:7">
      <c r="A810" t="s">
        <v>6581</v>
      </c>
      <c r="B810" s="1">
        <v>809</v>
      </c>
      <c r="C810" t="s">
        <v>9014</v>
      </c>
      <c r="D810" t="s">
        <v>6654</v>
      </c>
      <c r="E810" t="s">
        <v>9015</v>
      </c>
      <c r="F810" t="s">
        <v>9016</v>
      </c>
      <c r="G810" t="s">
        <v>6586</v>
      </c>
    </row>
    <row r="811" spans="1:7">
      <c r="A811" t="s">
        <v>6581</v>
      </c>
      <c r="B811" s="1">
        <v>810</v>
      </c>
      <c r="C811" t="s">
        <v>9017</v>
      </c>
      <c r="D811" t="s">
        <v>6598</v>
      </c>
      <c r="E811" t="s">
        <v>9018</v>
      </c>
      <c r="F811" t="s">
        <v>9019</v>
      </c>
      <c r="G811" t="s">
        <v>6586</v>
      </c>
    </row>
    <row r="812" spans="1:7">
      <c r="A812" t="s">
        <v>6581</v>
      </c>
      <c r="B812" s="1">
        <v>811</v>
      </c>
      <c r="C812" t="s">
        <v>9020</v>
      </c>
      <c r="D812" t="s">
        <v>6598</v>
      </c>
      <c r="E812" t="s">
        <v>9021</v>
      </c>
      <c r="F812" t="s">
        <v>9022</v>
      </c>
      <c r="G812" t="s">
        <v>6586</v>
      </c>
    </row>
    <row r="813" spans="1:7">
      <c r="A813" t="s">
        <v>6581</v>
      </c>
      <c r="B813" s="1">
        <v>812</v>
      </c>
      <c r="C813" t="s">
        <v>9023</v>
      </c>
      <c r="D813" t="s">
        <v>6734</v>
      </c>
      <c r="E813" t="s">
        <v>9024</v>
      </c>
      <c r="F813" t="s">
        <v>9025</v>
      </c>
      <c r="G813" t="s">
        <v>6586</v>
      </c>
    </row>
    <row r="814" spans="1:7">
      <c r="A814" t="s">
        <v>6581</v>
      </c>
      <c r="B814" s="1">
        <v>813</v>
      </c>
      <c r="C814" t="s">
        <v>9026</v>
      </c>
      <c r="D814" t="s">
        <v>6609</v>
      </c>
      <c r="E814" t="s">
        <v>9027</v>
      </c>
      <c r="F814" t="s">
        <v>9028</v>
      </c>
      <c r="G814" t="s">
        <v>6586</v>
      </c>
    </row>
    <row r="815" spans="1:7">
      <c r="A815" t="s">
        <v>6581</v>
      </c>
      <c r="B815" s="1">
        <v>814</v>
      </c>
      <c r="C815" t="s">
        <v>9029</v>
      </c>
      <c r="D815" t="s">
        <v>6654</v>
      </c>
      <c r="E815" t="s">
        <v>9030</v>
      </c>
      <c r="F815" t="s">
        <v>9031</v>
      </c>
      <c r="G815" t="s">
        <v>6586</v>
      </c>
    </row>
    <row r="816" spans="1:7">
      <c r="A816" t="s">
        <v>6581</v>
      </c>
      <c r="B816" s="1">
        <v>815</v>
      </c>
      <c r="C816" t="s">
        <v>9032</v>
      </c>
      <c r="D816" t="s">
        <v>6654</v>
      </c>
      <c r="E816" t="s">
        <v>9033</v>
      </c>
      <c r="F816" t="s">
        <v>9034</v>
      </c>
      <c r="G816" t="s">
        <v>6586</v>
      </c>
    </row>
    <row r="817" spans="1:7">
      <c r="A817" t="s">
        <v>6581</v>
      </c>
      <c r="B817" s="1">
        <v>816</v>
      </c>
      <c r="C817" t="s">
        <v>9035</v>
      </c>
      <c r="D817" t="s">
        <v>6605</v>
      </c>
      <c r="E817" t="s">
        <v>9036</v>
      </c>
      <c r="F817" t="s">
        <v>9037</v>
      </c>
      <c r="G817" t="s">
        <v>6586</v>
      </c>
    </row>
    <row r="818" spans="1:7">
      <c r="A818" t="s">
        <v>6581</v>
      </c>
      <c r="B818" s="1">
        <v>817</v>
      </c>
      <c r="C818" t="s">
        <v>9038</v>
      </c>
      <c r="D818" t="s">
        <v>6598</v>
      </c>
      <c r="E818" t="s">
        <v>9039</v>
      </c>
      <c r="F818" t="s">
        <v>9040</v>
      </c>
      <c r="G818" t="s">
        <v>6586</v>
      </c>
    </row>
    <row r="819" spans="1:7">
      <c r="A819" t="s">
        <v>6581</v>
      </c>
      <c r="B819" s="1">
        <v>818</v>
      </c>
      <c r="C819" t="s">
        <v>9041</v>
      </c>
      <c r="D819" t="s">
        <v>6609</v>
      </c>
      <c r="E819" t="s">
        <v>9042</v>
      </c>
      <c r="F819" t="s">
        <v>9043</v>
      </c>
      <c r="G819" t="s">
        <v>6586</v>
      </c>
    </row>
    <row r="820" spans="1:7">
      <c r="A820" t="s">
        <v>6581</v>
      </c>
      <c r="B820" s="1">
        <v>819</v>
      </c>
      <c r="C820" t="s">
        <v>9044</v>
      </c>
      <c r="D820" t="s">
        <v>6609</v>
      </c>
      <c r="E820" t="s">
        <v>9045</v>
      </c>
      <c r="F820" t="s">
        <v>9046</v>
      </c>
      <c r="G820" t="s">
        <v>6586</v>
      </c>
    </row>
    <row r="821" spans="1:7">
      <c r="A821" t="s">
        <v>6581</v>
      </c>
      <c r="B821" s="1">
        <v>820</v>
      </c>
      <c r="C821" t="s">
        <v>9047</v>
      </c>
      <c r="D821" t="s">
        <v>6609</v>
      </c>
      <c r="E821" t="s">
        <v>9048</v>
      </c>
      <c r="F821" t="s">
        <v>9049</v>
      </c>
      <c r="G821" t="s">
        <v>6586</v>
      </c>
    </row>
    <row r="822" spans="1:7">
      <c r="A822" t="s">
        <v>6581</v>
      </c>
      <c r="B822" s="1">
        <v>821</v>
      </c>
      <c r="C822" t="s">
        <v>9050</v>
      </c>
      <c r="D822" t="s">
        <v>6609</v>
      </c>
      <c r="E822" t="s">
        <v>9051</v>
      </c>
      <c r="F822" t="s">
        <v>9052</v>
      </c>
      <c r="G822" t="s">
        <v>6586</v>
      </c>
    </row>
    <row r="823" spans="1:7">
      <c r="A823" t="s">
        <v>6581</v>
      </c>
      <c r="B823" s="1">
        <v>822</v>
      </c>
      <c r="C823" t="s">
        <v>9053</v>
      </c>
      <c r="D823" t="s">
        <v>6609</v>
      </c>
      <c r="E823" t="s">
        <v>9054</v>
      </c>
      <c r="F823" t="s">
        <v>9055</v>
      </c>
      <c r="G823" t="s">
        <v>6586</v>
      </c>
    </row>
    <row r="824" spans="1:7">
      <c r="A824" t="s">
        <v>6581</v>
      </c>
      <c r="B824" s="1">
        <v>823</v>
      </c>
      <c r="C824" t="s">
        <v>9056</v>
      </c>
      <c r="D824" t="s">
        <v>6609</v>
      </c>
      <c r="E824" t="s">
        <v>9057</v>
      </c>
      <c r="F824" t="s">
        <v>9058</v>
      </c>
      <c r="G824" t="s">
        <v>6586</v>
      </c>
    </row>
    <row r="825" spans="1:7">
      <c r="A825" t="s">
        <v>6581</v>
      </c>
      <c r="B825" s="1">
        <v>824</v>
      </c>
      <c r="C825" t="s">
        <v>9059</v>
      </c>
      <c r="D825" t="s">
        <v>6598</v>
      </c>
      <c r="E825" t="s">
        <v>9060</v>
      </c>
      <c r="F825" t="s">
        <v>9061</v>
      </c>
      <c r="G825" t="s">
        <v>6586</v>
      </c>
    </row>
    <row r="826" spans="1:7">
      <c r="A826" t="s">
        <v>6581</v>
      </c>
      <c r="B826" s="1">
        <v>825</v>
      </c>
      <c r="C826" t="s">
        <v>9062</v>
      </c>
      <c r="D826" t="s">
        <v>6594</v>
      </c>
      <c r="E826" t="s">
        <v>9063</v>
      </c>
      <c r="F826" t="s">
        <v>9064</v>
      </c>
      <c r="G826" t="s">
        <v>6586</v>
      </c>
    </row>
    <row r="827" spans="1:7">
      <c r="A827" t="s">
        <v>6581</v>
      </c>
      <c r="B827" s="1">
        <v>826</v>
      </c>
      <c r="C827" t="s">
        <v>9065</v>
      </c>
      <c r="D827" t="s">
        <v>6598</v>
      </c>
      <c r="E827" t="s">
        <v>9066</v>
      </c>
      <c r="F827" t="s">
        <v>9067</v>
      </c>
      <c r="G827" t="s">
        <v>6586</v>
      </c>
    </row>
    <row r="828" spans="1:7">
      <c r="A828" t="s">
        <v>6581</v>
      </c>
      <c r="B828" s="1">
        <v>827</v>
      </c>
      <c r="C828" t="s">
        <v>9068</v>
      </c>
      <c r="D828" t="s">
        <v>6654</v>
      </c>
      <c r="E828" t="s">
        <v>9069</v>
      </c>
      <c r="F828" t="s">
        <v>9070</v>
      </c>
      <c r="G828" t="s">
        <v>6586</v>
      </c>
    </row>
    <row r="829" spans="1:7">
      <c r="A829" t="s">
        <v>6581</v>
      </c>
      <c r="B829" s="1">
        <v>828</v>
      </c>
      <c r="C829" t="s">
        <v>9071</v>
      </c>
      <c r="D829" t="s">
        <v>6654</v>
      </c>
      <c r="E829" t="s">
        <v>9072</v>
      </c>
      <c r="F829" t="s">
        <v>9073</v>
      </c>
      <c r="G829" t="s">
        <v>6586</v>
      </c>
    </row>
    <row r="830" spans="1:7">
      <c r="A830" t="s">
        <v>6581</v>
      </c>
      <c r="B830" s="1">
        <v>829</v>
      </c>
      <c r="C830" t="s">
        <v>9074</v>
      </c>
      <c r="D830" t="s">
        <v>6605</v>
      </c>
      <c r="E830" t="s">
        <v>9075</v>
      </c>
      <c r="F830" t="s">
        <v>9076</v>
      </c>
      <c r="G830" t="s">
        <v>6586</v>
      </c>
    </row>
    <row r="831" spans="1:7">
      <c r="A831" t="s">
        <v>6581</v>
      </c>
      <c r="B831" s="1">
        <v>830</v>
      </c>
      <c r="C831" t="s">
        <v>9077</v>
      </c>
      <c r="D831" t="s">
        <v>6605</v>
      </c>
      <c r="E831" t="s">
        <v>7046</v>
      </c>
      <c r="F831" t="s">
        <v>9078</v>
      </c>
      <c r="G831" t="s">
        <v>6586</v>
      </c>
    </row>
    <row r="832" spans="1:7">
      <c r="A832" t="s">
        <v>6581</v>
      </c>
      <c r="B832" s="1">
        <v>831</v>
      </c>
      <c r="C832" t="s">
        <v>9079</v>
      </c>
      <c r="D832" t="s">
        <v>6605</v>
      </c>
      <c r="E832" t="s">
        <v>9080</v>
      </c>
      <c r="F832" t="s">
        <v>9081</v>
      </c>
      <c r="G832" t="s">
        <v>6586</v>
      </c>
    </row>
    <row r="833" spans="1:7">
      <c r="A833" t="s">
        <v>6581</v>
      </c>
      <c r="B833" s="1">
        <v>832</v>
      </c>
      <c r="C833" t="s">
        <v>9082</v>
      </c>
      <c r="D833" t="s">
        <v>6605</v>
      </c>
      <c r="E833" t="s">
        <v>9083</v>
      </c>
      <c r="F833" t="s">
        <v>9084</v>
      </c>
      <c r="G833" t="s">
        <v>6586</v>
      </c>
    </row>
    <row r="834" spans="1:7">
      <c r="A834" t="s">
        <v>6581</v>
      </c>
      <c r="B834" s="1">
        <v>833</v>
      </c>
      <c r="C834" t="s">
        <v>9085</v>
      </c>
      <c r="D834" t="s">
        <v>6605</v>
      </c>
      <c r="E834" t="s">
        <v>9086</v>
      </c>
      <c r="F834" t="s">
        <v>9087</v>
      </c>
      <c r="G834" t="s">
        <v>6586</v>
      </c>
    </row>
    <row r="835" spans="1:7">
      <c r="A835" t="s">
        <v>6581</v>
      </c>
      <c r="B835" s="1">
        <v>834</v>
      </c>
      <c r="C835" t="s">
        <v>9088</v>
      </c>
      <c r="D835" t="s">
        <v>6695</v>
      </c>
      <c r="E835" t="s">
        <v>9089</v>
      </c>
      <c r="F835" t="s">
        <v>9090</v>
      </c>
      <c r="G835" t="s">
        <v>6586</v>
      </c>
    </row>
    <row r="836" spans="1:7">
      <c r="A836" t="s">
        <v>6581</v>
      </c>
      <c r="B836" s="1">
        <v>835</v>
      </c>
      <c r="C836" t="s">
        <v>9091</v>
      </c>
      <c r="D836" t="s">
        <v>6605</v>
      </c>
      <c r="E836" t="s">
        <v>9092</v>
      </c>
      <c r="F836" t="s">
        <v>9093</v>
      </c>
      <c r="G836" t="s">
        <v>6586</v>
      </c>
    </row>
    <row r="837" spans="1:7">
      <c r="A837" t="s">
        <v>6581</v>
      </c>
      <c r="B837" s="1">
        <v>836</v>
      </c>
      <c r="C837" t="s">
        <v>9094</v>
      </c>
      <c r="D837" t="s">
        <v>6598</v>
      </c>
      <c r="E837" t="s">
        <v>9095</v>
      </c>
      <c r="F837" t="s">
        <v>9096</v>
      </c>
      <c r="G837" t="s">
        <v>6586</v>
      </c>
    </row>
    <row r="838" spans="1:7">
      <c r="A838" t="s">
        <v>6581</v>
      </c>
      <c r="B838" s="1">
        <v>837</v>
      </c>
      <c r="C838" t="s">
        <v>9097</v>
      </c>
      <c r="D838" t="s">
        <v>6705</v>
      </c>
      <c r="E838" t="s">
        <v>9098</v>
      </c>
      <c r="F838" t="s">
        <v>9099</v>
      </c>
      <c r="G838" t="s">
        <v>6586</v>
      </c>
    </row>
    <row r="839" spans="1:7">
      <c r="A839" t="s">
        <v>6581</v>
      </c>
      <c r="B839" s="1">
        <v>838</v>
      </c>
      <c r="C839" t="s">
        <v>9100</v>
      </c>
      <c r="D839" t="s">
        <v>6654</v>
      </c>
      <c r="E839" t="s">
        <v>9101</v>
      </c>
      <c r="F839" t="s">
        <v>9102</v>
      </c>
      <c r="G839" t="s">
        <v>6586</v>
      </c>
    </row>
    <row r="840" spans="1:7">
      <c r="A840" t="s">
        <v>6581</v>
      </c>
      <c r="B840" s="1">
        <v>839</v>
      </c>
      <c r="C840" t="s">
        <v>9103</v>
      </c>
      <c r="D840" t="s">
        <v>6605</v>
      </c>
      <c r="E840" t="s">
        <v>9104</v>
      </c>
      <c r="F840" t="s">
        <v>9105</v>
      </c>
      <c r="G840" t="s">
        <v>6586</v>
      </c>
    </row>
    <row r="841" spans="1:7">
      <c r="A841" t="s">
        <v>6581</v>
      </c>
      <c r="B841" s="1">
        <v>840</v>
      </c>
      <c r="C841" t="s">
        <v>9106</v>
      </c>
      <c r="D841" t="s">
        <v>6705</v>
      </c>
      <c r="E841" t="s">
        <v>9107</v>
      </c>
      <c r="F841" t="s">
        <v>9108</v>
      </c>
      <c r="G841" t="s">
        <v>6586</v>
      </c>
    </row>
    <row r="842" spans="1:7">
      <c r="A842" t="s">
        <v>6581</v>
      </c>
      <c r="B842" s="1">
        <v>841</v>
      </c>
      <c r="C842" t="s">
        <v>9109</v>
      </c>
      <c r="D842" t="s">
        <v>6705</v>
      </c>
      <c r="E842" t="s">
        <v>9110</v>
      </c>
      <c r="F842" t="s">
        <v>9111</v>
      </c>
      <c r="G842" t="s">
        <v>6586</v>
      </c>
    </row>
    <row r="843" spans="1:7">
      <c r="A843" t="s">
        <v>6581</v>
      </c>
      <c r="B843" s="1">
        <v>842</v>
      </c>
      <c r="C843" t="s">
        <v>9112</v>
      </c>
      <c r="D843" t="s">
        <v>6605</v>
      </c>
      <c r="E843" t="s">
        <v>9113</v>
      </c>
      <c r="F843" t="s">
        <v>9114</v>
      </c>
      <c r="G843" t="s">
        <v>6586</v>
      </c>
    </row>
    <row r="844" spans="1:7">
      <c r="A844" t="s">
        <v>6581</v>
      </c>
      <c r="B844" s="1">
        <v>843</v>
      </c>
      <c r="C844" t="s">
        <v>7644</v>
      </c>
      <c r="D844" t="s">
        <v>6605</v>
      </c>
      <c r="E844" t="s">
        <v>9115</v>
      </c>
      <c r="F844" t="s">
        <v>9116</v>
      </c>
      <c r="G844" t="s">
        <v>6586</v>
      </c>
    </row>
    <row r="845" spans="1:7">
      <c r="A845" t="s">
        <v>6581</v>
      </c>
      <c r="B845" s="1">
        <v>844</v>
      </c>
      <c r="C845" t="s">
        <v>9117</v>
      </c>
      <c r="D845" t="s">
        <v>6605</v>
      </c>
      <c r="E845" t="s">
        <v>9118</v>
      </c>
      <c r="F845" t="s">
        <v>9119</v>
      </c>
      <c r="G845" t="s">
        <v>6586</v>
      </c>
    </row>
    <row r="846" spans="1:7">
      <c r="A846" t="s">
        <v>6581</v>
      </c>
      <c r="B846" s="1">
        <v>845</v>
      </c>
      <c r="C846" t="s">
        <v>9120</v>
      </c>
      <c r="D846" t="s">
        <v>6705</v>
      </c>
      <c r="E846" t="s">
        <v>9121</v>
      </c>
      <c r="F846" t="s">
        <v>9122</v>
      </c>
      <c r="G846" t="s">
        <v>6586</v>
      </c>
    </row>
    <row r="847" spans="1:7">
      <c r="A847" t="s">
        <v>6581</v>
      </c>
      <c r="B847" s="1">
        <v>846</v>
      </c>
      <c r="C847" t="s">
        <v>9123</v>
      </c>
      <c r="D847" t="s">
        <v>6705</v>
      </c>
      <c r="E847" t="s">
        <v>9124</v>
      </c>
      <c r="F847" t="s">
        <v>9125</v>
      </c>
      <c r="G847" t="s">
        <v>6586</v>
      </c>
    </row>
    <row r="848" spans="1:7">
      <c r="A848" t="s">
        <v>6581</v>
      </c>
      <c r="B848" s="1">
        <v>847</v>
      </c>
      <c r="C848" t="s">
        <v>9126</v>
      </c>
      <c r="D848" t="s">
        <v>6705</v>
      </c>
      <c r="E848" t="s">
        <v>9127</v>
      </c>
      <c r="F848" t="s">
        <v>9128</v>
      </c>
      <c r="G848" t="s">
        <v>6586</v>
      </c>
    </row>
    <row r="849" spans="1:7">
      <c r="A849" t="s">
        <v>6581</v>
      </c>
      <c r="B849" s="1">
        <v>848</v>
      </c>
      <c r="C849" t="s">
        <v>9129</v>
      </c>
      <c r="D849" t="s">
        <v>6705</v>
      </c>
      <c r="E849" t="s">
        <v>9130</v>
      </c>
      <c r="F849" t="s">
        <v>9131</v>
      </c>
      <c r="G849" t="s">
        <v>6586</v>
      </c>
    </row>
    <row r="850" spans="1:7">
      <c r="A850" t="s">
        <v>6581</v>
      </c>
      <c r="B850" s="1">
        <v>849</v>
      </c>
      <c r="C850" t="s">
        <v>9132</v>
      </c>
      <c r="D850" t="s">
        <v>6598</v>
      </c>
      <c r="E850" t="s">
        <v>9133</v>
      </c>
      <c r="F850" t="s">
        <v>9134</v>
      </c>
      <c r="G850" t="s">
        <v>6586</v>
      </c>
    </row>
    <row r="851" spans="1:7">
      <c r="A851" t="s">
        <v>6581</v>
      </c>
      <c r="B851" s="1">
        <v>850</v>
      </c>
      <c r="C851" t="s">
        <v>9135</v>
      </c>
      <c r="D851" t="s">
        <v>6598</v>
      </c>
      <c r="E851" t="s">
        <v>9136</v>
      </c>
      <c r="F851" t="s">
        <v>9137</v>
      </c>
      <c r="G851" t="s">
        <v>6586</v>
      </c>
    </row>
    <row r="852" spans="1:7">
      <c r="A852" t="s">
        <v>6581</v>
      </c>
      <c r="B852" s="1">
        <v>851</v>
      </c>
      <c r="C852" t="s">
        <v>9138</v>
      </c>
      <c r="D852" t="s">
        <v>8638</v>
      </c>
      <c r="E852" t="s">
        <v>9139</v>
      </c>
      <c r="F852" t="s">
        <v>9140</v>
      </c>
      <c r="G852" t="s">
        <v>6586</v>
      </c>
    </row>
    <row r="853" spans="1:7">
      <c r="A853" t="s">
        <v>6581</v>
      </c>
      <c r="B853" s="1">
        <v>852</v>
      </c>
      <c r="C853" t="s">
        <v>9141</v>
      </c>
      <c r="D853" t="s">
        <v>6609</v>
      </c>
      <c r="E853" t="s">
        <v>9142</v>
      </c>
      <c r="F853" t="s">
        <v>9143</v>
      </c>
      <c r="G853" t="s">
        <v>6586</v>
      </c>
    </row>
    <row r="854" spans="1:7">
      <c r="A854" t="s">
        <v>6581</v>
      </c>
      <c r="B854" s="1">
        <v>853</v>
      </c>
      <c r="C854" t="s">
        <v>9144</v>
      </c>
      <c r="D854" t="s">
        <v>6609</v>
      </c>
      <c r="E854" t="s">
        <v>9145</v>
      </c>
      <c r="F854" t="s">
        <v>9146</v>
      </c>
      <c r="G854" t="s">
        <v>6586</v>
      </c>
    </row>
    <row r="855" spans="1:7">
      <c r="A855" t="s">
        <v>6581</v>
      </c>
      <c r="B855" s="1">
        <v>854</v>
      </c>
      <c r="C855" t="s">
        <v>9147</v>
      </c>
      <c r="D855" t="s">
        <v>6605</v>
      </c>
      <c r="E855" t="s">
        <v>9148</v>
      </c>
      <c r="F855" t="s">
        <v>9149</v>
      </c>
      <c r="G855" t="s">
        <v>6586</v>
      </c>
    </row>
    <row r="856" spans="1:7">
      <c r="A856" t="s">
        <v>6581</v>
      </c>
      <c r="B856" s="1">
        <v>855</v>
      </c>
      <c r="C856" t="s">
        <v>9150</v>
      </c>
      <c r="D856" t="s">
        <v>6609</v>
      </c>
      <c r="E856" t="s">
        <v>9151</v>
      </c>
      <c r="F856" t="s">
        <v>9152</v>
      </c>
      <c r="G856" t="s">
        <v>6586</v>
      </c>
    </row>
    <row r="857" spans="1:7">
      <c r="A857" t="s">
        <v>6581</v>
      </c>
      <c r="B857" s="1">
        <v>856</v>
      </c>
      <c r="C857" t="s">
        <v>9153</v>
      </c>
      <c r="D857" t="s">
        <v>6605</v>
      </c>
      <c r="E857" t="s">
        <v>9154</v>
      </c>
      <c r="F857" t="s">
        <v>9155</v>
      </c>
      <c r="G857" t="s">
        <v>6586</v>
      </c>
    </row>
    <row r="858" spans="1:7">
      <c r="A858" t="s">
        <v>6581</v>
      </c>
      <c r="B858" s="1">
        <v>857</v>
      </c>
      <c r="C858" t="s">
        <v>9156</v>
      </c>
      <c r="D858" t="s">
        <v>6609</v>
      </c>
      <c r="E858" t="s">
        <v>9157</v>
      </c>
      <c r="F858" t="s">
        <v>9158</v>
      </c>
      <c r="G858" t="s">
        <v>6586</v>
      </c>
    </row>
    <row r="859" spans="1:7">
      <c r="A859" t="s">
        <v>6581</v>
      </c>
      <c r="B859" s="1">
        <v>858</v>
      </c>
      <c r="C859" t="s">
        <v>9159</v>
      </c>
      <c r="D859" t="s">
        <v>6605</v>
      </c>
      <c r="E859" t="s">
        <v>9160</v>
      </c>
      <c r="F859" t="s">
        <v>9161</v>
      </c>
      <c r="G859" t="s">
        <v>6586</v>
      </c>
    </row>
    <row r="860" spans="1:7">
      <c r="A860" t="s">
        <v>6581</v>
      </c>
      <c r="B860" s="1">
        <v>859</v>
      </c>
      <c r="C860" t="s">
        <v>9162</v>
      </c>
      <c r="D860" t="s">
        <v>6705</v>
      </c>
      <c r="E860" t="s">
        <v>9163</v>
      </c>
      <c r="F860" t="s">
        <v>9164</v>
      </c>
      <c r="G860" t="s">
        <v>6586</v>
      </c>
    </row>
    <row r="861" spans="1:7">
      <c r="A861" t="s">
        <v>6581</v>
      </c>
      <c r="B861" s="1">
        <v>860</v>
      </c>
      <c r="C861" t="s">
        <v>9165</v>
      </c>
      <c r="D861" t="s">
        <v>6705</v>
      </c>
      <c r="E861" t="s">
        <v>9166</v>
      </c>
      <c r="F861" t="s">
        <v>9167</v>
      </c>
      <c r="G861" t="s">
        <v>6586</v>
      </c>
    </row>
    <row r="862" spans="1:7">
      <c r="A862" t="s">
        <v>6581</v>
      </c>
      <c r="B862" s="1">
        <v>861</v>
      </c>
      <c r="C862" t="s">
        <v>9168</v>
      </c>
      <c r="D862" t="s">
        <v>6605</v>
      </c>
      <c r="E862" t="s">
        <v>9169</v>
      </c>
      <c r="F862" t="s">
        <v>9170</v>
      </c>
      <c r="G862" t="s">
        <v>6586</v>
      </c>
    </row>
    <row r="863" spans="1:7">
      <c r="A863" t="s">
        <v>6581</v>
      </c>
      <c r="B863" s="1">
        <v>862</v>
      </c>
      <c r="C863" t="s">
        <v>9171</v>
      </c>
      <c r="D863" t="s">
        <v>6605</v>
      </c>
      <c r="E863" t="s">
        <v>9172</v>
      </c>
      <c r="F863" t="s">
        <v>9173</v>
      </c>
      <c r="G863" t="s">
        <v>6586</v>
      </c>
    </row>
    <row r="864" spans="1:7">
      <c r="A864" t="s">
        <v>6581</v>
      </c>
      <c r="B864" s="1">
        <v>863</v>
      </c>
      <c r="C864" t="s">
        <v>9174</v>
      </c>
      <c r="D864" t="s">
        <v>6605</v>
      </c>
      <c r="E864" t="s">
        <v>9175</v>
      </c>
      <c r="F864" t="s">
        <v>9176</v>
      </c>
      <c r="G864" t="s">
        <v>6586</v>
      </c>
    </row>
    <row r="865" spans="1:7">
      <c r="A865" t="s">
        <v>6581</v>
      </c>
      <c r="B865" s="1">
        <v>864</v>
      </c>
      <c r="C865" t="s">
        <v>9177</v>
      </c>
      <c r="D865" t="s">
        <v>6609</v>
      </c>
      <c r="E865" t="s">
        <v>9178</v>
      </c>
      <c r="F865" t="s">
        <v>9179</v>
      </c>
      <c r="G865" t="s">
        <v>6586</v>
      </c>
    </row>
    <row r="866" spans="1:7">
      <c r="A866" t="s">
        <v>6581</v>
      </c>
      <c r="B866" s="1">
        <v>865</v>
      </c>
      <c r="C866" t="s">
        <v>9180</v>
      </c>
      <c r="D866" t="s">
        <v>6609</v>
      </c>
      <c r="E866" t="s">
        <v>9181</v>
      </c>
      <c r="F866" t="s">
        <v>9182</v>
      </c>
      <c r="G866" t="s">
        <v>6586</v>
      </c>
    </row>
    <row r="867" spans="1:7">
      <c r="A867" t="s">
        <v>6581</v>
      </c>
      <c r="B867" s="1">
        <v>866</v>
      </c>
      <c r="C867" t="s">
        <v>9183</v>
      </c>
      <c r="D867" t="s">
        <v>6609</v>
      </c>
      <c r="E867" t="s">
        <v>9184</v>
      </c>
      <c r="F867" t="s">
        <v>9185</v>
      </c>
      <c r="G867" t="s">
        <v>6586</v>
      </c>
    </row>
    <row r="868" spans="1:7">
      <c r="A868" t="s">
        <v>6581</v>
      </c>
      <c r="B868" s="1">
        <v>867</v>
      </c>
      <c r="C868" t="s">
        <v>9186</v>
      </c>
      <c r="D868" t="s">
        <v>6605</v>
      </c>
      <c r="E868" t="s">
        <v>9187</v>
      </c>
      <c r="F868" t="s">
        <v>9188</v>
      </c>
      <c r="G868" t="s">
        <v>6586</v>
      </c>
    </row>
    <row r="869" spans="1:7">
      <c r="A869" t="s">
        <v>6581</v>
      </c>
      <c r="B869" s="1">
        <v>868</v>
      </c>
      <c r="C869" t="s">
        <v>9189</v>
      </c>
      <c r="D869" t="s">
        <v>6598</v>
      </c>
      <c r="E869" t="s">
        <v>9190</v>
      </c>
      <c r="F869" t="s">
        <v>9191</v>
      </c>
      <c r="G869" t="s">
        <v>6586</v>
      </c>
    </row>
    <row r="870" spans="1:7">
      <c r="A870" t="s">
        <v>6581</v>
      </c>
      <c r="B870" s="1">
        <v>869</v>
      </c>
      <c r="C870" t="s">
        <v>9192</v>
      </c>
      <c r="D870" t="s">
        <v>6605</v>
      </c>
      <c r="E870" t="s">
        <v>9193</v>
      </c>
      <c r="F870" t="s">
        <v>9194</v>
      </c>
      <c r="G870" t="s">
        <v>6586</v>
      </c>
    </row>
    <row r="871" spans="1:7">
      <c r="A871" t="s">
        <v>6581</v>
      </c>
      <c r="B871" s="1">
        <v>870</v>
      </c>
      <c r="C871" t="s">
        <v>9195</v>
      </c>
      <c r="D871" t="s">
        <v>6605</v>
      </c>
      <c r="E871" t="s">
        <v>9196</v>
      </c>
      <c r="F871" t="s">
        <v>9197</v>
      </c>
      <c r="G871" t="s">
        <v>6586</v>
      </c>
    </row>
    <row r="872" spans="1:7">
      <c r="A872" t="s">
        <v>6581</v>
      </c>
      <c r="B872" s="1">
        <v>871</v>
      </c>
      <c r="C872" t="s">
        <v>9198</v>
      </c>
      <c r="D872" t="s">
        <v>6771</v>
      </c>
      <c r="E872" t="s">
        <v>9199</v>
      </c>
      <c r="F872" t="s">
        <v>9200</v>
      </c>
      <c r="G872" t="s">
        <v>6586</v>
      </c>
    </row>
    <row r="873" spans="1:7">
      <c r="A873" t="s">
        <v>6581</v>
      </c>
      <c r="B873" s="1">
        <v>872</v>
      </c>
      <c r="C873" t="s">
        <v>9201</v>
      </c>
      <c r="D873" t="s">
        <v>6605</v>
      </c>
      <c r="E873" t="s">
        <v>9202</v>
      </c>
      <c r="F873" t="s">
        <v>9203</v>
      </c>
      <c r="G873" t="s">
        <v>6586</v>
      </c>
    </row>
    <row r="874" spans="1:7">
      <c r="A874" t="s">
        <v>6581</v>
      </c>
      <c r="B874" s="1">
        <v>873</v>
      </c>
      <c r="C874" t="s">
        <v>9204</v>
      </c>
      <c r="D874" t="s">
        <v>6605</v>
      </c>
      <c r="E874" t="s">
        <v>9205</v>
      </c>
      <c r="F874" t="s">
        <v>9206</v>
      </c>
      <c r="G874" t="s">
        <v>6586</v>
      </c>
    </row>
    <row r="875" spans="1:7">
      <c r="A875" t="s">
        <v>6581</v>
      </c>
      <c r="B875" s="1">
        <v>874</v>
      </c>
      <c r="C875" t="s">
        <v>9207</v>
      </c>
      <c r="D875" t="s">
        <v>6605</v>
      </c>
      <c r="E875" t="s">
        <v>9208</v>
      </c>
      <c r="F875" t="s">
        <v>9209</v>
      </c>
      <c r="G875" t="s">
        <v>6586</v>
      </c>
    </row>
    <row r="876" spans="1:7">
      <c r="A876" t="s">
        <v>6581</v>
      </c>
      <c r="B876" s="1">
        <v>875</v>
      </c>
      <c r="C876" t="s">
        <v>9210</v>
      </c>
      <c r="D876" t="s">
        <v>6605</v>
      </c>
      <c r="E876" t="s">
        <v>9211</v>
      </c>
      <c r="F876" t="s">
        <v>9212</v>
      </c>
      <c r="G876" t="s">
        <v>6586</v>
      </c>
    </row>
    <row r="877" spans="1:7">
      <c r="A877" t="s">
        <v>6581</v>
      </c>
      <c r="B877" s="1">
        <v>876</v>
      </c>
      <c r="C877" t="s">
        <v>9213</v>
      </c>
      <c r="D877" t="s">
        <v>8638</v>
      </c>
      <c r="E877" t="s">
        <v>9214</v>
      </c>
      <c r="F877" t="s">
        <v>9215</v>
      </c>
      <c r="G877" t="s">
        <v>6586</v>
      </c>
    </row>
    <row r="878" spans="1:7">
      <c r="A878" t="s">
        <v>6581</v>
      </c>
      <c r="B878" s="1">
        <v>877</v>
      </c>
      <c r="C878" t="s">
        <v>9216</v>
      </c>
      <c r="D878" t="s">
        <v>6654</v>
      </c>
      <c r="E878" t="s">
        <v>9217</v>
      </c>
      <c r="F878" t="s">
        <v>9218</v>
      </c>
      <c r="G878" t="s">
        <v>6586</v>
      </c>
    </row>
    <row r="879" spans="1:7">
      <c r="A879" t="s">
        <v>6581</v>
      </c>
      <c r="B879" s="1">
        <v>878</v>
      </c>
      <c r="C879" t="s">
        <v>9219</v>
      </c>
      <c r="D879" t="s">
        <v>6654</v>
      </c>
      <c r="E879" t="s">
        <v>9220</v>
      </c>
      <c r="F879" t="s">
        <v>9221</v>
      </c>
      <c r="G879" t="s">
        <v>6586</v>
      </c>
    </row>
    <row r="880" spans="1:7">
      <c r="A880" t="s">
        <v>6581</v>
      </c>
      <c r="B880" s="1">
        <v>879</v>
      </c>
      <c r="C880" t="s">
        <v>9222</v>
      </c>
      <c r="D880" t="s">
        <v>6734</v>
      </c>
      <c r="E880" t="s">
        <v>9223</v>
      </c>
      <c r="F880" t="s">
        <v>9224</v>
      </c>
      <c r="G880" t="s">
        <v>6586</v>
      </c>
    </row>
    <row r="881" spans="1:7">
      <c r="A881" t="s">
        <v>6581</v>
      </c>
      <c r="B881" s="1">
        <v>880</v>
      </c>
      <c r="C881" t="s">
        <v>9225</v>
      </c>
      <c r="D881" t="s">
        <v>6654</v>
      </c>
      <c r="E881" t="s">
        <v>9226</v>
      </c>
      <c r="F881" t="s">
        <v>9227</v>
      </c>
      <c r="G881" t="s">
        <v>6586</v>
      </c>
    </row>
    <row r="882" spans="1:7">
      <c r="A882" t="s">
        <v>6581</v>
      </c>
      <c r="B882" s="1">
        <v>881</v>
      </c>
      <c r="C882" t="s">
        <v>9228</v>
      </c>
      <c r="D882" t="s">
        <v>6734</v>
      </c>
      <c r="E882" t="s">
        <v>9229</v>
      </c>
      <c r="F882" t="s">
        <v>9230</v>
      </c>
      <c r="G882" t="s">
        <v>6586</v>
      </c>
    </row>
    <row r="883" spans="1:7">
      <c r="A883" t="s">
        <v>6581</v>
      </c>
      <c r="B883" s="1">
        <v>882</v>
      </c>
      <c r="C883" t="s">
        <v>9231</v>
      </c>
      <c r="D883" t="s">
        <v>6705</v>
      </c>
      <c r="E883" t="s">
        <v>9232</v>
      </c>
      <c r="F883" t="s">
        <v>9233</v>
      </c>
      <c r="G883" t="s">
        <v>6586</v>
      </c>
    </row>
    <row r="884" spans="1:7">
      <c r="A884" t="s">
        <v>6581</v>
      </c>
      <c r="B884" s="1">
        <v>883</v>
      </c>
      <c r="C884" t="s">
        <v>9234</v>
      </c>
      <c r="D884" t="s">
        <v>6771</v>
      </c>
      <c r="E884" t="s">
        <v>9235</v>
      </c>
      <c r="F884" t="s">
        <v>9236</v>
      </c>
      <c r="G884" t="s">
        <v>6586</v>
      </c>
    </row>
    <row r="885" spans="1:7">
      <c r="A885" t="s">
        <v>6581</v>
      </c>
      <c r="B885" s="1">
        <v>884</v>
      </c>
      <c r="C885" t="s">
        <v>9237</v>
      </c>
      <c r="D885" t="s">
        <v>6771</v>
      </c>
      <c r="E885" t="s">
        <v>9238</v>
      </c>
      <c r="F885" t="s">
        <v>9239</v>
      </c>
      <c r="G885" t="s">
        <v>6586</v>
      </c>
    </row>
    <row r="886" spans="1:7">
      <c r="A886" t="s">
        <v>6581</v>
      </c>
      <c r="B886" s="1">
        <v>885</v>
      </c>
      <c r="C886" t="s">
        <v>9240</v>
      </c>
      <c r="D886" t="s">
        <v>6705</v>
      </c>
      <c r="E886" t="s">
        <v>9241</v>
      </c>
      <c r="F886" t="s">
        <v>9242</v>
      </c>
      <c r="G886" t="s">
        <v>6586</v>
      </c>
    </row>
    <row r="887" spans="1:7">
      <c r="A887" t="s">
        <v>6581</v>
      </c>
      <c r="B887" s="1">
        <v>886</v>
      </c>
      <c r="C887" t="s">
        <v>9243</v>
      </c>
      <c r="D887" t="s">
        <v>6705</v>
      </c>
      <c r="E887" t="s">
        <v>9244</v>
      </c>
      <c r="F887" t="s">
        <v>9245</v>
      </c>
      <c r="G887" t="s">
        <v>6586</v>
      </c>
    </row>
    <row r="888" spans="1:7">
      <c r="A888" t="s">
        <v>6581</v>
      </c>
      <c r="B888" s="1">
        <v>887</v>
      </c>
      <c r="C888" t="s">
        <v>9246</v>
      </c>
      <c r="D888" t="s">
        <v>6705</v>
      </c>
      <c r="E888" t="s">
        <v>9247</v>
      </c>
      <c r="F888" t="s">
        <v>9248</v>
      </c>
      <c r="G888" t="s">
        <v>6586</v>
      </c>
    </row>
    <row r="889" spans="1:7">
      <c r="A889" t="s">
        <v>6581</v>
      </c>
      <c r="B889" s="1">
        <v>888</v>
      </c>
      <c r="C889" t="s">
        <v>9249</v>
      </c>
      <c r="D889" t="s">
        <v>6609</v>
      </c>
      <c r="E889" t="s">
        <v>9250</v>
      </c>
      <c r="F889" t="s">
        <v>9251</v>
      </c>
      <c r="G889" t="s">
        <v>6586</v>
      </c>
    </row>
    <row r="890" spans="1:7">
      <c r="A890" t="s">
        <v>6581</v>
      </c>
      <c r="B890" s="1">
        <v>889</v>
      </c>
      <c r="C890" t="s">
        <v>8740</v>
      </c>
      <c r="D890" t="s">
        <v>6609</v>
      </c>
      <c r="E890" t="s">
        <v>9252</v>
      </c>
      <c r="F890" t="s">
        <v>9253</v>
      </c>
      <c r="G890" t="s">
        <v>6586</v>
      </c>
    </row>
    <row r="891" spans="1:7">
      <c r="A891" t="s">
        <v>6581</v>
      </c>
      <c r="B891" s="1">
        <v>890</v>
      </c>
      <c r="C891" t="s">
        <v>9254</v>
      </c>
      <c r="D891" t="s">
        <v>6705</v>
      </c>
      <c r="E891" t="s">
        <v>9255</v>
      </c>
      <c r="F891" t="s">
        <v>9256</v>
      </c>
      <c r="G891" t="s">
        <v>6586</v>
      </c>
    </row>
    <row r="892" spans="1:7">
      <c r="A892" t="s">
        <v>6581</v>
      </c>
      <c r="B892" s="1">
        <v>891</v>
      </c>
      <c r="C892" t="s">
        <v>9257</v>
      </c>
      <c r="D892" t="s">
        <v>6705</v>
      </c>
      <c r="E892" t="s">
        <v>9258</v>
      </c>
      <c r="F892" t="s">
        <v>9259</v>
      </c>
      <c r="G892" t="s">
        <v>6586</v>
      </c>
    </row>
    <row r="893" spans="1:7">
      <c r="A893" t="s">
        <v>6581</v>
      </c>
      <c r="B893" s="1">
        <v>892</v>
      </c>
      <c r="C893" t="s">
        <v>9260</v>
      </c>
      <c r="D893" t="s">
        <v>6771</v>
      </c>
      <c r="E893" t="s">
        <v>9261</v>
      </c>
      <c r="F893" t="s">
        <v>9262</v>
      </c>
      <c r="G893" t="s">
        <v>6586</v>
      </c>
    </row>
    <row r="894" spans="1:7">
      <c r="A894" t="s">
        <v>6581</v>
      </c>
      <c r="B894" s="1">
        <v>893</v>
      </c>
      <c r="C894" t="s">
        <v>9263</v>
      </c>
      <c r="D894" t="s">
        <v>6654</v>
      </c>
      <c r="E894" t="s">
        <v>9264</v>
      </c>
      <c r="F894" t="s">
        <v>9265</v>
      </c>
      <c r="G894" t="s">
        <v>6586</v>
      </c>
    </row>
    <row r="895" spans="1:7">
      <c r="A895" t="s">
        <v>6581</v>
      </c>
      <c r="B895" s="1">
        <v>894</v>
      </c>
      <c r="C895" t="s">
        <v>9266</v>
      </c>
      <c r="D895" t="s">
        <v>6654</v>
      </c>
      <c r="E895" t="s">
        <v>9267</v>
      </c>
      <c r="F895" t="s">
        <v>9268</v>
      </c>
      <c r="G895" t="s">
        <v>6586</v>
      </c>
    </row>
    <row r="896" spans="1:7">
      <c r="A896" t="s">
        <v>6581</v>
      </c>
      <c r="B896" s="1">
        <v>895</v>
      </c>
      <c r="C896" t="s">
        <v>9269</v>
      </c>
      <c r="D896" t="s">
        <v>6605</v>
      </c>
      <c r="E896" t="s">
        <v>9270</v>
      </c>
      <c r="F896" t="s">
        <v>9271</v>
      </c>
      <c r="G896" t="s">
        <v>6586</v>
      </c>
    </row>
    <row r="897" spans="1:7">
      <c r="A897" t="s">
        <v>6581</v>
      </c>
      <c r="B897" s="1">
        <v>896</v>
      </c>
      <c r="C897" t="s">
        <v>9272</v>
      </c>
      <c r="D897" t="s">
        <v>6734</v>
      </c>
      <c r="E897" t="s">
        <v>9273</v>
      </c>
      <c r="F897" t="s">
        <v>9274</v>
      </c>
      <c r="G897" t="s">
        <v>6586</v>
      </c>
    </row>
    <row r="898" spans="1:7">
      <c r="A898" t="s">
        <v>6581</v>
      </c>
      <c r="B898" s="1">
        <v>897</v>
      </c>
      <c r="C898" t="s">
        <v>9275</v>
      </c>
      <c r="D898" t="s">
        <v>6771</v>
      </c>
      <c r="E898" t="s">
        <v>9276</v>
      </c>
      <c r="F898" t="s">
        <v>9277</v>
      </c>
      <c r="G898" t="s">
        <v>6586</v>
      </c>
    </row>
    <row r="899" spans="1:7">
      <c r="A899" t="s">
        <v>6581</v>
      </c>
      <c r="B899" s="1">
        <v>898</v>
      </c>
      <c r="C899" t="s">
        <v>9278</v>
      </c>
      <c r="D899" t="s">
        <v>6734</v>
      </c>
      <c r="E899" t="s">
        <v>9279</v>
      </c>
      <c r="F899" t="s">
        <v>9280</v>
      </c>
      <c r="G899" t="s">
        <v>6586</v>
      </c>
    </row>
    <row r="900" spans="1:7">
      <c r="A900" t="s">
        <v>6581</v>
      </c>
      <c r="B900" s="1">
        <v>899</v>
      </c>
      <c r="C900" t="s">
        <v>9281</v>
      </c>
      <c r="D900" t="s">
        <v>6734</v>
      </c>
      <c r="E900" t="s">
        <v>9282</v>
      </c>
      <c r="F900" t="s">
        <v>9283</v>
      </c>
      <c r="G900" t="s">
        <v>6586</v>
      </c>
    </row>
    <row r="901" spans="1:7">
      <c r="A901" t="s">
        <v>6581</v>
      </c>
      <c r="B901" s="1">
        <v>900</v>
      </c>
      <c r="C901" t="s">
        <v>9284</v>
      </c>
      <c r="D901" t="s">
        <v>6598</v>
      </c>
      <c r="E901" t="s">
        <v>9285</v>
      </c>
      <c r="F901" t="s">
        <v>9286</v>
      </c>
      <c r="G901" t="s">
        <v>6586</v>
      </c>
    </row>
    <row r="902" spans="1:7">
      <c r="A902" t="s">
        <v>6581</v>
      </c>
      <c r="B902" s="1">
        <v>901</v>
      </c>
      <c r="C902" t="s">
        <v>9287</v>
      </c>
      <c r="D902" t="s">
        <v>8638</v>
      </c>
      <c r="E902" t="s">
        <v>9288</v>
      </c>
      <c r="F902" t="s">
        <v>9289</v>
      </c>
      <c r="G902" t="s">
        <v>6586</v>
      </c>
    </row>
    <row r="903" spans="1:7">
      <c r="A903" t="s">
        <v>6581</v>
      </c>
      <c r="B903" s="1">
        <v>902</v>
      </c>
      <c r="C903" t="s">
        <v>9290</v>
      </c>
      <c r="D903" t="s">
        <v>6609</v>
      </c>
      <c r="E903" t="s">
        <v>9291</v>
      </c>
      <c r="F903" t="s">
        <v>9292</v>
      </c>
      <c r="G903" t="s">
        <v>6586</v>
      </c>
    </row>
    <row r="904" spans="1:7">
      <c r="A904" t="s">
        <v>6581</v>
      </c>
      <c r="B904" s="1">
        <v>903</v>
      </c>
      <c r="C904" t="s">
        <v>9293</v>
      </c>
      <c r="D904" t="s">
        <v>6609</v>
      </c>
      <c r="E904" t="s">
        <v>9294</v>
      </c>
      <c r="F904" t="s">
        <v>9295</v>
      </c>
      <c r="G904" t="s">
        <v>6586</v>
      </c>
    </row>
    <row r="905" spans="1:7">
      <c r="A905" t="s">
        <v>6581</v>
      </c>
      <c r="B905" s="1">
        <v>904</v>
      </c>
      <c r="C905" t="s">
        <v>9296</v>
      </c>
      <c r="D905" t="s">
        <v>6609</v>
      </c>
      <c r="E905" t="s">
        <v>9297</v>
      </c>
      <c r="F905" t="s">
        <v>9298</v>
      </c>
      <c r="G905" t="s">
        <v>6586</v>
      </c>
    </row>
    <row r="906" spans="1:7">
      <c r="A906" t="s">
        <v>6581</v>
      </c>
      <c r="B906" s="1">
        <v>905</v>
      </c>
      <c r="C906" t="s">
        <v>9299</v>
      </c>
      <c r="D906" t="s">
        <v>6605</v>
      </c>
      <c r="E906" t="s">
        <v>9300</v>
      </c>
      <c r="F906" t="s">
        <v>9301</v>
      </c>
      <c r="G906" t="s">
        <v>6586</v>
      </c>
    </row>
    <row r="907" spans="1:7">
      <c r="A907" t="s">
        <v>6581</v>
      </c>
      <c r="B907" s="1">
        <v>906</v>
      </c>
      <c r="C907" t="s">
        <v>9302</v>
      </c>
      <c r="D907" t="s">
        <v>6734</v>
      </c>
      <c r="E907" t="s">
        <v>9303</v>
      </c>
      <c r="F907" t="s">
        <v>9304</v>
      </c>
      <c r="G907" t="s">
        <v>6586</v>
      </c>
    </row>
    <row r="908" spans="1:7">
      <c r="A908" t="s">
        <v>6581</v>
      </c>
      <c r="B908" s="1">
        <v>907</v>
      </c>
      <c r="C908" t="s">
        <v>9305</v>
      </c>
      <c r="D908" t="s">
        <v>6705</v>
      </c>
      <c r="E908" t="s">
        <v>9306</v>
      </c>
      <c r="F908" t="s">
        <v>9307</v>
      </c>
      <c r="G908" t="s">
        <v>6586</v>
      </c>
    </row>
    <row r="909" spans="1:7">
      <c r="A909" t="s">
        <v>6581</v>
      </c>
      <c r="B909" s="1">
        <v>908</v>
      </c>
      <c r="C909" t="s">
        <v>9308</v>
      </c>
      <c r="D909" t="s">
        <v>6705</v>
      </c>
      <c r="E909" t="s">
        <v>9309</v>
      </c>
      <c r="F909" t="s">
        <v>9310</v>
      </c>
      <c r="G909" t="s">
        <v>6586</v>
      </c>
    </row>
    <row r="910" spans="1:7">
      <c r="A910" t="s">
        <v>6581</v>
      </c>
      <c r="B910" s="1">
        <v>909</v>
      </c>
      <c r="C910" t="s">
        <v>9311</v>
      </c>
      <c r="D910" t="s">
        <v>6609</v>
      </c>
      <c r="E910" t="s">
        <v>9312</v>
      </c>
      <c r="F910" t="s">
        <v>9313</v>
      </c>
      <c r="G910" t="s">
        <v>6586</v>
      </c>
    </row>
    <row r="911" spans="1:7">
      <c r="A911" t="s">
        <v>6581</v>
      </c>
      <c r="B911" s="1">
        <v>910</v>
      </c>
      <c r="C911" t="s">
        <v>9314</v>
      </c>
      <c r="D911" t="s">
        <v>6734</v>
      </c>
      <c r="E911" t="s">
        <v>9315</v>
      </c>
      <c r="F911" t="s">
        <v>9316</v>
      </c>
      <c r="G911" t="s">
        <v>6586</v>
      </c>
    </row>
    <row r="912" spans="1:7">
      <c r="A912" t="s">
        <v>6581</v>
      </c>
      <c r="B912" s="1">
        <v>911</v>
      </c>
      <c r="C912" t="s">
        <v>9317</v>
      </c>
      <c r="D912" t="s">
        <v>6654</v>
      </c>
      <c r="E912" t="s">
        <v>9318</v>
      </c>
      <c r="F912" t="s">
        <v>9319</v>
      </c>
      <c r="G912" t="s">
        <v>6586</v>
      </c>
    </row>
    <row r="913" spans="1:7">
      <c r="A913" t="s">
        <v>6581</v>
      </c>
      <c r="B913" s="1">
        <v>912</v>
      </c>
      <c r="C913" t="s">
        <v>9320</v>
      </c>
      <c r="D913" t="s">
        <v>6654</v>
      </c>
      <c r="E913" t="s">
        <v>9321</v>
      </c>
      <c r="F913" t="s">
        <v>9322</v>
      </c>
      <c r="G913" t="s">
        <v>6586</v>
      </c>
    </row>
    <row r="914" spans="1:7">
      <c r="A914" t="s">
        <v>6581</v>
      </c>
      <c r="B914" s="1">
        <v>913</v>
      </c>
      <c r="C914" t="s">
        <v>9323</v>
      </c>
      <c r="D914" t="s">
        <v>6609</v>
      </c>
      <c r="E914" t="s">
        <v>9324</v>
      </c>
      <c r="F914" t="s">
        <v>9325</v>
      </c>
      <c r="G914" t="s">
        <v>6586</v>
      </c>
    </row>
    <row r="915" spans="1:7">
      <c r="A915" t="s">
        <v>6581</v>
      </c>
      <c r="B915" s="1">
        <v>914</v>
      </c>
      <c r="C915" t="s">
        <v>9326</v>
      </c>
      <c r="D915" t="s">
        <v>6605</v>
      </c>
      <c r="E915" t="s">
        <v>9327</v>
      </c>
      <c r="F915" t="s">
        <v>9328</v>
      </c>
      <c r="G915" t="s">
        <v>6586</v>
      </c>
    </row>
    <row r="916" spans="1:7">
      <c r="A916" t="s">
        <v>6581</v>
      </c>
      <c r="B916" s="1">
        <v>915</v>
      </c>
      <c r="C916" t="s">
        <v>9329</v>
      </c>
      <c r="D916" t="s">
        <v>6734</v>
      </c>
      <c r="E916" t="s">
        <v>9330</v>
      </c>
      <c r="F916" t="s">
        <v>9331</v>
      </c>
      <c r="G916" t="s">
        <v>6586</v>
      </c>
    </row>
    <row r="917" spans="1:7">
      <c r="A917" t="s">
        <v>6581</v>
      </c>
      <c r="B917" s="1">
        <v>916</v>
      </c>
      <c r="C917" t="s">
        <v>9332</v>
      </c>
      <c r="D917" t="s">
        <v>6654</v>
      </c>
      <c r="E917" t="s">
        <v>9333</v>
      </c>
      <c r="F917" t="s">
        <v>9334</v>
      </c>
      <c r="G917" t="s">
        <v>6586</v>
      </c>
    </row>
    <row r="918" spans="1:7">
      <c r="A918" t="s">
        <v>6581</v>
      </c>
      <c r="B918" s="1">
        <v>917</v>
      </c>
      <c r="C918" t="s">
        <v>9335</v>
      </c>
      <c r="D918" t="s">
        <v>6609</v>
      </c>
      <c r="E918" t="s">
        <v>9336</v>
      </c>
      <c r="F918" t="s">
        <v>9337</v>
      </c>
      <c r="G918" t="s">
        <v>6586</v>
      </c>
    </row>
    <row r="919" spans="1:7">
      <c r="A919" t="s">
        <v>6581</v>
      </c>
      <c r="B919" s="1">
        <v>918</v>
      </c>
      <c r="C919" t="s">
        <v>9338</v>
      </c>
      <c r="D919" t="s">
        <v>6598</v>
      </c>
      <c r="E919" t="s">
        <v>9339</v>
      </c>
      <c r="F919" t="s">
        <v>9340</v>
      </c>
      <c r="G919" t="s">
        <v>6586</v>
      </c>
    </row>
    <row r="920" spans="1:7">
      <c r="A920" t="s">
        <v>6581</v>
      </c>
      <c r="B920" s="1">
        <v>919</v>
      </c>
      <c r="C920" t="s">
        <v>9341</v>
      </c>
      <c r="D920" t="s">
        <v>6598</v>
      </c>
      <c r="E920" t="s">
        <v>9342</v>
      </c>
      <c r="F920" t="s">
        <v>9343</v>
      </c>
      <c r="G920" t="s">
        <v>6586</v>
      </c>
    </row>
    <row r="921" spans="1:7">
      <c r="A921" t="s">
        <v>6581</v>
      </c>
      <c r="B921" s="1">
        <v>920</v>
      </c>
      <c r="C921" t="s">
        <v>9344</v>
      </c>
      <c r="D921" t="s">
        <v>6605</v>
      </c>
      <c r="E921" t="s">
        <v>9345</v>
      </c>
      <c r="F921" t="s">
        <v>9346</v>
      </c>
      <c r="G921" t="s">
        <v>6586</v>
      </c>
    </row>
    <row r="922" spans="1:7">
      <c r="A922" t="s">
        <v>6581</v>
      </c>
      <c r="B922" s="1">
        <v>921</v>
      </c>
      <c r="C922" t="s">
        <v>9347</v>
      </c>
      <c r="D922" t="s">
        <v>6598</v>
      </c>
      <c r="E922" t="s">
        <v>9348</v>
      </c>
      <c r="F922" t="s">
        <v>9349</v>
      </c>
      <c r="G922" t="s">
        <v>6586</v>
      </c>
    </row>
    <row r="923" spans="1:7">
      <c r="A923" t="s">
        <v>6581</v>
      </c>
      <c r="B923" s="1">
        <v>922</v>
      </c>
      <c r="C923" t="s">
        <v>9350</v>
      </c>
      <c r="D923" t="s">
        <v>6734</v>
      </c>
      <c r="E923" t="s">
        <v>9351</v>
      </c>
      <c r="F923" t="s">
        <v>9352</v>
      </c>
      <c r="G923" t="s">
        <v>6586</v>
      </c>
    </row>
    <row r="924" spans="1:7">
      <c r="A924" t="s">
        <v>6581</v>
      </c>
      <c r="B924" s="1">
        <v>923</v>
      </c>
      <c r="C924" t="s">
        <v>9353</v>
      </c>
      <c r="D924" t="s">
        <v>6734</v>
      </c>
      <c r="E924" t="s">
        <v>9354</v>
      </c>
      <c r="F924" t="s">
        <v>9355</v>
      </c>
      <c r="G924" t="s">
        <v>6586</v>
      </c>
    </row>
    <row r="925" spans="1:7">
      <c r="A925" t="s">
        <v>6581</v>
      </c>
      <c r="B925" s="1">
        <v>924</v>
      </c>
      <c r="C925" t="s">
        <v>9356</v>
      </c>
      <c r="D925" t="s">
        <v>6771</v>
      </c>
      <c r="E925" t="s">
        <v>9357</v>
      </c>
      <c r="F925" t="s">
        <v>9358</v>
      </c>
      <c r="G925" t="s">
        <v>6586</v>
      </c>
    </row>
    <row r="926" spans="1:7">
      <c r="A926" t="s">
        <v>6581</v>
      </c>
      <c r="B926" s="1">
        <v>925</v>
      </c>
      <c r="C926" t="s">
        <v>9359</v>
      </c>
      <c r="D926" t="s">
        <v>6605</v>
      </c>
      <c r="E926" t="s">
        <v>9360</v>
      </c>
      <c r="F926" t="s">
        <v>9361</v>
      </c>
      <c r="G926" t="s">
        <v>6586</v>
      </c>
    </row>
    <row r="927" spans="1:7">
      <c r="A927" t="s">
        <v>6581</v>
      </c>
      <c r="B927" s="1">
        <v>926</v>
      </c>
      <c r="C927" t="s">
        <v>9362</v>
      </c>
      <c r="D927" t="s">
        <v>6605</v>
      </c>
      <c r="E927" t="s">
        <v>9363</v>
      </c>
      <c r="F927" t="s">
        <v>9364</v>
      </c>
      <c r="G927" t="s">
        <v>6586</v>
      </c>
    </row>
    <row r="928" spans="1:7">
      <c r="A928" t="s">
        <v>6581</v>
      </c>
      <c r="B928" s="1">
        <v>927</v>
      </c>
      <c r="C928" t="s">
        <v>9365</v>
      </c>
      <c r="D928" t="s">
        <v>6605</v>
      </c>
      <c r="E928" t="s">
        <v>9366</v>
      </c>
      <c r="F928" t="s">
        <v>9367</v>
      </c>
      <c r="G928" t="s">
        <v>6586</v>
      </c>
    </row>
    <row r="929" spans="1:7">
      <c r="A929" t="s">
        <v>6581</v>
      </c>
      <c r="B929" s="1">
        <v>928</v>
      </c>
      <c r="C929" t="s">
        <v>9368</v>
      </c>
      <c r="D929" t="s">
        <v>6771</v>
      </c>
      <c r="E929" t="s">
        <v>9369</v>
      </c>
      <c r="F929" t="s">
        <v>9370</v>
      </c>
      <c r="G929" t="s">
        <v>6586</v>
      </c>
    </row>
    <row r="930" spans="1:7">
      <c r="A930" t="s">
        <v>6581</v>
      </c>
      <c r="B930" s="1">
        <v>929</v>
      </c>
      <c r="C930" t="s">
        <v>9371</v>
      </c>
      <c r="D930" t="s">
        <v>6734</v>
      </c>
      <c r="E930" t="s">
        <v>9372</v>
      </c>
      <c r="F930" t="s">
        <v>9373</v>
      </c>
      <c r="G930" t="s">
        <v>6586</v>
      </c>
    </row>
    <row r="931" spans="1:7">
      <c r="A931" t="s">
        <v>6581</v>
      </c>
      <c r="B931" s="1">
        <v>930</v>
      </c>
      <c r="C931" t="s">
        <v>9374</v>
      </c>
      <c r="D931" t="s">
        <v>6594</v>
      </c>
      <c r="E931" t="s">
        <v>9375</v>
      </c>
      <c r="F931" t="s">
        <v>9376</v>
      </c>
      <c r="G931" t="s">
        <v>6586</v>
      </c>
    </row>
    <row r="932" spans="1:7">
      <c r="A932" t="s">
        <v>6581</v>
      </c>
      <c r="B932" s="1">
        <v>931</v>
      </c>
      <c r="C932" t="s">
        <v>9377</v>
      </c>
      <c r="D932" t="s">
        <v>6654</v>
      </c>
      <c r="E932" t="s">
        <v>9378</v>
      </c>
      <c r="F932" t="s">
        <v>9379</v>
      </c>
      <c r="G932" t="s">
        <v>6586</v>
      </c>
    </row>
    <row r="933" spans="1:7">
      <c r="A933" t="s">
        <v>6581</v>
      </c>
      <c r="B933" s="1">
        <v>932</v>
      </c>
      <c r="C933" t="s">
        <v>9380</v>
      </c>
      <c r="D933" t="s">
        <v>6771</v>
      </c>
      <c r="E933" t="s">
        <v>9381</v>
      </c>
      <c r="F933" t="s">
        <v>9382</v>
      </c>
      <c r="G933" t="s">
        <v>6586</v>
      </c>
    </row>
    <row r="934" spans="1:7">
      <c r="A934" t="s">
        <v>6581</v>
      </c>
      <c r="B934" s="1">
        <v>933</v>
      </c>
      <c r="C934" t="s">
        <v>9383</v>
      </c>
      <c r="D934" t="s">
        <v>6598</v>
      </c>
      <c r="E934" t="s">
        <v>9384</v>
      </c>
      <c r="F934" t="s">
        <v>9385</v>
      </c>
      <c r="G934" t="s">
        <v>6586</v>
      </c>
    </row>
    <row r="935" spans="1:7">
      <c r="A935" t="s">
        <v>6581</v>
      </c>
      <c r="B935" s="1">
        <v>934</v>
      </c>
      <c r="C935" t="s">
        <v>9386</v>
      </c>
      <c r="D935" t="s">
        <v>6605</v>
      </c>
      <c r="E935" t="s">
        <v>9387</v>
      </c>
      <c r="F935" t="s">
        <v>9388</v>
      </c>
      <c r="G935" t="s">
        <v>6586</v>
      </c>
    </row>
    <row r="936" spans="1:7">
      <c r="A936" t="s">
        <v>6581</v>
      </c>
      <c r="B936" s="1">
        <v>935</v>
      </c>
      <c r="C936" t="s">
        <v>9389</v>
      </c>
      <c r="D936" t="s">
        <v>6705</v>
      </c>
      <c r="E936" t="s">
        <v>9390</v>
      </c>
      <c r="F936" t="s">
        <v>9391</v>
      </c>
      <c r="G936" t="s">
        <v>6586</v>
      </c>
    </row>
    <row r="937" spans="1:7">
      <c r="A937" t="s">
        <v>6581</v>
      </c>
      <c r="B937" s="1">
        <v>936</v>
      </c>
      <c r="C937" t="s">
        <v>9392</v>
      </c>
      <c r="D937" t="s">
        <v>6605</v>
      </c>
      <c r="E937" t="s">
        <v>9393</v>
      </c>
      <c r="F937" t="s">
        <v>9394</v>
      </c>
      <c r="G937" t="s">
        <v>6586</v>
      </c>
    </row>
    <row r="938" spans="1:7">
      <c r="A938" t="s">
        <v>6581</v>
      </c>
      <c r="B938" s="1">
        <v>937</v>
      </c>
      <c r="C938" t="s">
        <v>9395</v>
      </c>
      <c r="D938" t="s">
        <v>6605</v>
      </c>
      <c r="E938" t="s">
        <v>9396</v>
      </c>
      <c r="F938" t="s">
        <v>9397</v>
      </c>
      <c r="G938" t="s">
        <v>6586</v>
      </c>
    </row>
    <row r="939" spans="1:7">
      <c r="A939" t="s">
        <v>6581</v>
      </c>
      <c r="B939" s="1">
        <v>938</v>
      </c>
      <c r="C939" t="s">
        <v>9398</v>
      </c>
      <c r="D939" t="s">
        <v>6598</v>
      </c>
      <c r="E939" t="s">
        <v>9399</v>
      </c>
      <c r="F939" t="s">
        <v>9400</v>
      </c>
      <c r="G939" t="s">
        <v>6586</v>
      </c>
    </row>
    <row r="940" spans="1:7">
      <c r="A940" t="s">
        <v>6581</v>
      </c>
      <c r="B940" s="1">
        <v>939</v>
      </c>
      <c r="C940" t="s">
        <v>9401</v>
      </c>
      <c r="D940" t="s">
        <v>6609</v>
      </c>
      <c r="E940" t="s">
        <v>9402</v>
      </c>
      <c r="F940" t="s">
        <v>9403</v>
      </c>
      <c r="G940" t="s">
        <v>6586</v>
      </c>
    </row>
    <row r="941" spans="1:7">
      <c r="A941" t="s">
        <v>6581</v>
      </c>
      <c r="B941" s="1">
        <v>940</v>
      </c>
      <c r="C941" t="s">
        <v>9404</v>
      </c>
      <c r="D941" t="s">
        <v>6609</v>
      </c>
      <c r="E941" t="s">
        <v>9405</v>
      </c>
      <c r="F941" t="s">
        <v>9406</v>
      </c>
      <c r="G941" t="s">
        <v>6586</v>
      </c>
    </row>
    <row r="942" spans="1:7">
      <c r="A942" t="s">
        <v>6581</v>
      </c>
      <c r="B942" s="1">
        <v>941</v>
      </c>
      <c r="C942" t="s">
        <v>9407</v>
      </c>
      <c r="D942" t="s">
        <v>6654</v>
      </c>
      <c r="E942" t="s">
        <v>9408</v>
      </c>
      <c r="F942" t="s">
        <v>9409</v>
      </c>
      <c r="G942" t="s">
        <v>6586</v>
      </c>
    </row>
    <row r="943" spans="1:7">
      <c r="A943" t="s">
        <v>6581</v>
      </c>
      <c r="B943" s="1">
        <v>942</v>
      </c>
      <c r="C943" t="s">
        <v>9410</v>
      </c>
      <c r="D943" t="s">
        <v>6654</v>
      </c>
      <c r="E943" t="s">
        <v>9411</v>
      </c>
      <c r="F943" t="s">
        <v>9412</v>
      </c>
      <c r="G943" t="s">
        <v>6586</v>
      </c>
    </row>
    <row r="944" spans="1:7">
      <c r="A944" t="s">
        <v>6581</v>
      </c>
      <c r="B944" s="1">
        <v>943</v>
      </c>
      <c r="C944" t="s">
        <v>9413</v>
      </c>
      <c r="D944" t="s">
        <v>6609</v>
      </c>
      <c r="E944" t="s">
        <v>9414</v>
      </c>
      <c r="F944" t="s">
        <v>9415</v>
      </c>
      <c r="G944" t="s">
        <v>6586</v>
      </c>
    </row>
    <row r="945" spans="1:7">
      <c r="A945" t="s">
        <v>6581</v>
      </c>
      <c r="B945" s="1">
        <v>944</v>
      </c>
      <c r="C945" t="s">
        <v>9416</v>
      </c>
      <c r="D945" t="s">
        <v>6654</v>
      </c>
      <c r="E945" t="s">
        <v>9417</v>
      </c>
      <c r="F945" t="s">
        <v>9418</v>
      </c>
      <c r="G945" t="s">
        <v>6586</v>
      </c>
    </row>
    <row r="946" spans="1:7">
      <c r="A946" t="s">
        <v>6581</v>
      </c>
      <c r="B946" s="1">
        <v>945</v>
      </c>
      <c r="C946" t="s">
        <v>9419</v>
      </c>
      <c r="D946" t="s">
        <v>6609</v>
      </c>
      <c r="E946" t="s">
        <v>9420</v>
      </c>
      <c r="F946" t="s">
        <v>9421</v>
      </c>
      <c r="G946" t="s">
        <v>6586</v>
      </c>
    </row>
    <row r="947" spans="1:7">
      <c r="A947" t="s">
        <v>6581</v>
      </c>
      <c r="B947" s="1">
        <v>946</v>
      </c>
      <c r="C947" t="s">
        <v>9422</v>
      </c>
      <c r="D947" t="s">
        <v>6695</v>
      </c>
      <c r="E947" t="s">
        <v>9423</v>
      </c>
      <c r="F947" t="s">
        <v>9424</v>
      </c>
      <c r="G947" t="s">
        <v>6586</v>
      </c>
    </row>
    <row r="948" spans="1:7">
      <c r="A948" t="s">
        <v>6581</v>
      </c>
      <c r="B948" s="1">
        <v>947</v>
      </c>
      <c r="C948" t="s">
        <v>9425</v>
      </c>
      <c r="D948" t="s">
        <v>6598</v>
      </c>
      <c r="E948" t="s">
        <v>9426</v>
      </c>
      <c r="F948" t="s">
        <v>9427</v>
      </c>
      <c r="G948" t="s">
        <v>6586</v>
      </c>
    </row>
    <row r="949" spans="1:7">
      <c r="A949" t="s">
        <v>6581</v>
      </c>
      <c r="B949" s="1">
        <v>948</v>
      </c>
      <c r="C949" t="s">
        <v>9428</v>
      </c>
      <c r="D949" t="s">
        <v>6598</v>
      </c>
      <c r="E949" t="s">
        <v>9429</v>
      </c>
      <c r="F949" t="s">
        <v>9430</v>
      </c>
      <c r="G949" t="s">
        <v>6586</v>
      </c>
    </row>
    <row r="950" spans="1:7">
      <c r="A950" t="s">
        <v>6581</v>
      </c>
      <c r="B950" s="1">
        <v>949</v>
      </c>
      <c r="C950" t="s">
        <v>9431</v>
      </c>
      <c r="D950" t="s">
        <v>6734</v>
      </c>
      <c r="E950" t="s">
        <v>9432</v>
      </c>
      <c r="F950" t="s">
        <v>9433</v>
      </c>
      <c r="G950" t="s">
        <v>6586</v>
      </c>
    </row>
    <row r="951" spans="1:7">
      <c r="A951" t="s">
        <v>6581</v>
      </c>
      <c r="B951" s="1">
        <v>950</v>
      </c>
      <c r="C951" t="s">
        <v>9434</v>
      </c>
      <c r="D951" t="s">
        <v>6771</v>
      </c>
      <c r="E951" t="s">
        <v>9435</v>
      </c>
      <c r="F951" t="s">
        <v>9436</v>
      </c>
      <c r="G951" t="s">
        <v>6586</v>
      </c>
    </row>
    <row r="952" spans="1:7">
      <c r="A952" t="s">
        <v>6581</v>
      </c>
      <c r="B952" s="1">
        <v>951</v>
      </c>
      <c r="C952" t="s">
        <v>9437</v>
      </c>
      <c r="D952" t="s">
        <v>6605</v>
      </c>
      <c r="E952" t="s">
        <v>9438</v>
      </c>
      <c r="F952" t="s">
        <v>9439</v>
      </c>
      <c r="G952" t="s">
        <v>6586</v>
      </c>
    </row>
    <row r="953" spans="1:7">
      <c r="A953" t="s">
        <v>6581</v>
      </c>
      <c r="B953" s="1">
        <v>952</v>
      </c>
      <c r="C953" t="s">
        <v>9440</v>
      </c>
      <c r="D953" t="s">
        <v>6605</v>
      </c>
      <c r="E953" t="s">
        <v>9441</v>
      </c>
      <c r="F953" t="s">
        <v>9442</v>
      </c>
      <c r="G953" t="s">
        <v>6586</v>
      </c>
    </row>
    <row r="954" spans="1:7">
      <c r="A954" t="s">
        <v>6581</v>
      </c>
      <c r="B954" s="1">
        <v>953</v>
      </c>
      <c r="C954" t="s">
        <v>9443</v>
      </c>
      <c r="D954" t="s">
        <v>6695</v>
      </c>
      <c r="E954" t="s">
        <v>9444</v>
      </c>
      <c r="F954" t="s">
        <v>9445</v>
      </c>
      <c r="G954" t="s">
        <v>6586</v>
      </c>
    </row>
    <row r="955" spans="1:7">
      <c r="A955" t="s">
        <v>6581</v>
      </c>
      <c r="B955" s="1">
        <v>954</v>
      </c>
      <c r="C955" t="s">
        <v>9446</v>
      </c>
      <c r="D955" t="s">
        <v>6695</v>
      </c>
      <c r="E955" t="s">
        <v>9447</v>
      </c>
      <c r="F955" t="s">
        <v>9448</v>
      </c>
      <c r="G955" t="s">
        <v>6586</v>
      </c>
    </row>
    <row r="956" spans="1:7">
      <c r="A956" t="s">
        <v>6581</v>
      </c>
      <c r="B956" s="1">
        <v>955</v>
      </c>
      <c r="C956" t="s">
        <v>9449</v>
      </c>
      <c r="D956" t="s">
        <v>6771</v>
      </c>
      <c r="E956" t="s">
        <v>9450</v>
      </c>
      <c r="F956" t="s">
        <v>9451</v>
      </c>
      <c r="G956" t="s">
        <v>6586</v>
      </c>
    </row>
    <row r="957" spans="1:7">
      <c r="A957" t="s">
        <v>6581</v>
      </c>
      <c r="B957" s="1">
        <v>956</v>
      </c>
      <c r="C957" t="s">
        <v>9452</v>
      </c>
      <c r="D957" t="s">
        <v>6734</v>
      </c>
      <c r="E957" t="s">
        <v>9453</v>
      </c>
      <c r="F957" t="s">
        <v>9454</v>
      </c>
      <c r="G957" t="s">
        <v>6586</v>
      </c>
    </row>
    <row r="958" spans="1:7">
      <c r="A958" t="s">
        <v>6581</v>
      </c>
      <c r="B958" s="1">
        <v>957</v>
      </c>
      <c r="C958" t="s">
        <v>9455</v>
      </c>
      <c r="D958" t="s">
        <v>6734</v>
      </c>
      <c r="E958" t="s">
        <v>9456</v>
      </c>
      <c r="F958" t="s">
        <v>9457</v>
      </c>
      <c r="G958" t="s">
        <v>6586</v>
      </c>
    </row>
    <row r="959" spans="1:7">
      <c r="A959" t="s">
        <v>6581</v>
      </c>
      <c r="B959" s="1">
        <v>958</v>
      </c>
      <c r="C959" t="s">
        <v>9458</v>
      </c>
      <c r="D959" t="s">
        <v>6734</v>
      </c>
      <c r="E959" t="s">
        <v>9459</v>
      </c>
      <c r="F959" t="s">
        <v>9460</v>
      </c>
      <c r="G959" t="s">
        <v>6586</v>
      </c>
    </row>
    <row r="960" spans="1:7">
      <c r="A960" t="s">
        <v>6581</v>
      </c>
      <c r="B960" s="1">
        <v>959</v>
      </c>
      <c r="C960" t="s">
        <v>9461</v>
      </c>
      <c r="D960" t="s">
        <v>6734</v>
      </c>
      <c r="E960" t="s">
        <v>9462</v>
      </c>
      <c r="F960" t="s">
        <v>9463</v>
      </c>
      <c r="G960" t="s">
        <v>6586</v>
      </c>
    </row>
    <row r="961" spans="1:7">
      <c r="A961" t="s">
        <v>6581</v>
      </c>
      <c r="B961" s="1">
        <v>960</v>
      </c>
      <c r="C961" t="s">
        <v>9464</v>
      </c>
      <c r="D961" t="s">
        <v>6734</v>
      </c>
      <c r="E961" t="s">
        <v>9465</v>
      </c>
      <c r="F961" t="s">
        <v>9466</v>
      </c>
      <c r="G961" t="s">
        <v>6586</v>
      </c>
    </row>
    <row r="962" spans="1:7">
      <c r="A962" t="s">
        <v>6581</v>
      </c>
      <c r="B962" s="1">
        <v>961</v>
      </c>
      <c r="C962" t="s">
        <v>9467</v>
      </c>
      <c r="D962" t="s">
        <v>6734</v>
      </c>
      <c r="E962" t="s">
        <v>9468</v>
      </c>
      <c r="F962" t="s">
        <v>9469</v>
      </c>
      <c r="G962" t="s">
        <v>6586</v>
      </c>
    </row>
    <row r="963" spans="1:7">
      <c r="A963" t="s">
        <v>6581</v>
      </c>
      <c r="B963" s="1">
        <v>962</v>
      </c>
      <c r="C963" t="s">
        <v>9470</v>
      </c>
      <c r="D963" t="s">
        <v>6734</v>
      </c>
      <c r="E963" t="s">
        <v>9471</v>
      </c>
      <c r="F963" t="s">
        <v>9472</v>
      </c>
      <c r="G963" t="s">
        <v>6586</v>
      </c>
    </row>
    <row r="964" spans="1:7">
      <c r="A964" t="s">
        <v>6581</v>
      </c>
      <c r="B964" s="1">
        <v>963</v>
      </c>
      <c r="C964" t="s">
        <v>9473</v>
      </c>
      <c r="D964" t="s">
        <v>6771</v>
      </c>
      <c r="E964" t="s">
        <v>9474</v>
      </c>
      <c r="F964" t="s">
        <v>9475</v>
      </c>
      <c r="G964" t="s">
        <v>6586</v>
      </c>
    </row>
    <row r="965" spans="1:7">
      <c r="A965" t="s">
        <v>6581</v>
      </c>
      <c r="B965" s="1">
        <v>964</v>
      </c>
      <c r="C965" t="s">
        <v>9476</v>
      </c>
      <c r="D965" t="s">
        <v>6734</v>
      </c>
      <c r="E965" t="s">
        <v>9477</v>
      </c>
      <c r="F965" t="s">
        <v>9478</v>
      </c>
      <c r="G965" t="s">
        <v>6586</v>
      </c>
    </row>
    <row r="966" spans="1:7">
      <c r="A966" t="s">
        <v>6581</v>
      </c>
      <c r="B966" s="1">
        <v>965</v>
      </c>
      <c r="C966" t="s">
        <v>9479</v>
      </c>
      <c r="D966" t="s">
        <v>6609</v>
      </c>
      <c r="E966" t="s">
        <v>7989</v>
      </c>
      <c r="F966" t="s">
        <v>9480</v>
      </c>
      <c r="G966" t="s">
        <v>6586</v>
      </c>
    </row>
    <row r="967" spans="1:7">
      <c r="A967" t="s">
        <v>6581</v>
      </c>
      <c r="B967" s="1">
        <v>966</v>
      </c>
      <c r="C967" t="s">
        <v>9481</v>
      </c>
      <c r="D967" t="s">
        <v>6609</v>
      </c>
      <c r="E967" t="s">
        <v>9482</v>
      </c>
      <c r="F967" t="s">
        <v>9483</v>
      </c>
      <c r="G967" t="s">
        <v>6586</v>
      </c>
    </row>
    <row r="968" spans="1:7">
      <c r="A968" t="s">
        <v>6581</v>
      </c>
      <c r="B968" s="1">
        <v>967</v>
      </c>
      <c r="C968" t="s">
        <v>9484</v>
      </c>
      <c r="D968" t="s">
        <v>6771</v>
      </c>
      <c r="E968" t="s">
        <v>9485</v>
      </c>
      <c r="F968" t="s">
        <v>9486</v>
      </c>
      <c r="G968" t="s">
        <v>6586</v>
      </c>
    </row>
    <row r="969" spans="1:7">
      <c r="A969" t="s">
        <v>6581</v>
      </c>
      <c r="B969" s="1">
        <v>968</v>
      </c>
      <c r="C969" t="s">
        <v>9487</v>
      </c>
      <c r="D969" t="s">
        <v>6771</v>
      </c>
      <c r="E969" t="s">
        <v>9488</v>
      </c>
      <c r="F969" t="s">
        <v>9489</v>
      </c>
      <c r="G969" t="s">
        <v>6586</v>
      </c>
    </row>
    <row r="970" spans="1:7">
      <c r="A970" t="s">
        <v>6581</v>
      </c>
      <c r="B970" s="1">
        <v>969</v>
      </c>
      <c r="C970" t="s">
        <v>9490</v>
      </c>
      <c r="D970" t="s">
        <v>6654</v>
      </c>
      <c r="E970" t="s">
        <v>9491</v>
      </c>
      <c r="F970" t="s">
        <v>9492</v>
      </c>
      <c r="G970" t="s">
        <v>6586</v>
      </c>
    </row>
    <row r="971" spans="1:7">
      <c r="A971" t="s">
        <v>6581</v>
      </c>
      <c r="B971" s="1">
        <v>970</v>
      </c>
      <c r="C971" t="s">
        <v>9493</v>
      </c>
      <c r="D971" t="s">
        <v>6609</v>
      </c>
      <c r="E971" t="s">
        <v>9494</v>
      </c>
      <c r="F971" t="s">
        <v>9495</v>
      </c>
      <c r="G971" t="s">
        <v>6586</v>
      </c>
    </row>
    <row r="972" spans="1:7">
      <c r="A972" t="s">
        <v>6581</v>
      </c>
      <c r="B972" s="1">
        <v>971</v>
      </c>
      <c r="C972" t="s">
        <v>9496</v>
      </c>
      <c r="D972" t="s">
        <v>6654</v>
      </c>
      <c r="E972" t="s">
        <v>9497</v>
      </c>
      <c r="F972" t="s">
        <v>9498</v>
      </c>
      <c r="G972" t="s">
        <v>6586</v>
      </c>
    </row>
    <row r="973" spans="1:7">
      <c r="A973" t="s">
        <v>6581</v>
      </c>
      <c r="B973" s="1">
        <v>972</v>
      </c>
      <c r="C973" t="s">
        <v>9499</v>
      </c>
      <c r="D973" t="s">
        <v>6654</v>
      </c>
      <c r="E973" t="s">
        <v>9500</v>
      </c>
      <c r="F973" t="s">
        <v>9501</v>
      </c>
      <c r="G973" t="s">
        <v>6586</v>
      </c>
    </row>
    <row r="974" spans="1:7">
      <c r="A974" t="s">
        <v>6581</v>
      </c>
      <c r="B974" s="1">
        <v>973</v>
      </c>
      <c r="C974" t="s">
        <v>9502</v>
      </c>
      <c r="D974" t="s">
        <v>6654</v>
      </c>
      <c r="E974" t="s">
        <v>9503</v>
      </c>
      <c r="F974" t="s">
        <v>9504</v>
      </c>
      <c r="G974" t="s">
        <v>6586</v>
      </c>
    </row>
    <row r="975" spans="1:7">
      <c r="A975" t="s">
        <v>6581</v>
      </c>
      <c r="B975" s="1">
        <v>974</v>
      </c>
      <c r="C975" t="s">
        <v>9505</v>
      </c>
      <c r="D975" t="s">
        <v>6654</v>
      </c>
      <c r="E975" t="s">
        <v>9506</v>
      </c>
      <c r="F975" t="s">
        <v>9507</v>
      </c>
      <c r="G975" t="s">
        <v>6586</v>
      </c>
    </row>
    <row r="976" spans="1:7">
      <c r="A976" t="s">
        <v>6581</v>
      </c>
      <c r="B976" s="1">
        <v>975</v>
      </c>
      <c r="C976" t="s">
        <v>9508</v>
      </c>
      <c r="D976" t="s">
        <v>6609</v>
      </c>
      <c r="E976" t="s">
        <v>9509</v>
      </c>
      <c r="F976" t="s">
        <v>9510</v>
      </c>
      <c r="G976" t="s">
        <v>6586</v>
      </c>
    </row>
    <row r="977" spans="1:7">
      <c r="A977" t="s">
        <v>6581</v>
      </c>
      <c r="B977" s="1">
        <v>976</v>
      </c>
      <c r="C977" t="s">
        <v>9511</v>
      </c>
      <c r="D977" t="s">
        <v>6654</v>
      </c>
      <c r="E977" t="s">
        <v>9512</v>
      </c>
      <c r="F977" t="s">
        <v>9513</v>
      </c>
      <c r="G977" t="s">
        <v>6586</v>
      </c>
    </row>
    <row r="978" spans="1:7">
      <c r="A978" t="s">
        <v>6581</v>
      </c>
      <c r="B978" s="1">
        <v>977</v>
      </c>
      <c r="C978" t="s">
        <v>9514</v>
      </c>
      <c r="D978" t="s">
        <v>6609</v>
      </c>
      <c r="E978" t="s">
        <v>9515</v>
      </c>
      <c r="F978" t="s">
        <v>9516</v>
      </c>
      <c r="G978" t="s">
        <v>6586</v>
      </c>
    </row>
    <row r="979" spans="1:7">
      <c r="A979" t="s">
        <v>6581</v>
      </c>
      <c r="B979" s="1">
        <v>978</v>
      </c>
      <c r="C979" t="s">
        <v>9517</v>
      </c>
      <c r="D979" t="s">
        <v>6654</v>
      </c>
      <c r="E979" t="s">
        <v>9518</v>
      </c>
      <c r="F979" t="s">
        <v>9519</v>
      </c>
      <c r="G979" t="s">
        <v>6586</v>
      </c>
    </row>
    <row r="980" spans="1:7">
      <c r="A980" t="s">
        <v>6581</v>
      </c>
      <c r="B980" s="1">
        <v>979</v>
      </c>
      <c r="C980" t="s">
        <v>9520</v>
      </c>
      <c r="D980" t="s">
        <v>6734</v>
      </c>
      <c r="E980" t="s">
        <v>9521</v>
      </c>
      <c r="F980" t="s">
        <v>9522</v>
      </c>
      <c r="G980" t="s">
        <v>6586</v>
      </c>
    </row>
    <row r="981" spans="1:7">
      <c r="A981" t="s">
        <v>6581</v>
      </c>
      <c r="B981" s="1">
        <v>980</v>
      </c>
      <c r="C981" t="s">
        <v>9523</v>
      </c>
      <c r="D981" t="s">
        <v>6734</v>
      </c>
      <c r="E981" t="s">
        <v>9524</v>
      </c>
      <c r="F981" t="s">
        <v>9525</v>
      </c>
      <c r="G981" t="s">
        <v>6586</v>
      </c>
    </row>
    <row r="982" spans="1:7">
      <c r="A982" t="s">
        <v>6581</v>
      </c>
      <c r="B982" s="1">
        <v>981</v>
      </c>
      <c r="C982" t="s">
        <v>7518</v>
      </c>
      <c r="D982" t="s">
        <v>6654</v>
      </c>
      <c r="E982" t="s">
        <v>9526</v>
      </c>
      <c r="F982" t="s">
        <v>9527</v>
      </c>
      <c r="G982" t="s">
        <v>6586</v>
      </c>
    </row>
    <row r="983" spans="1:7">
      <c r="A983" t="s">
        <v>6581</v>
      </c>
      <c r="B983" s="1">
        <v>982</v>
      </c>
      <c r="C983" t="s">
        <v>9528</v>
      </c>
      <c r="D983" t="s">
        <v>6654</v>
      </c>
      <c r="E983" t="s">
        <v>9529</v>
      </c>
      <c r="F983" t="s">
        <v>9530</v>
      </c>
      <c r="G983" t="s">
        <v>6586</v>
      </c>
    </row>
    <row r="984" spans="1:7">
      <c r="A984" t="s">
        <v>6581</v>
      </c>
      <c r="B984" s="1">
        <v>983</v>
      </c>
      <c r="C984" t="s">
        <v>9531</v>
      </c>
      <c r="D984" t="s">
        <v>6654</v>
      </c>
      <c r="E984" t="s">
        <v>9532</v>
      </c>
      <c r="F984" t="s">
        <v>9533</v>
      </c>
      <c r="G984" t="s">
        <v>6586</v>
      </c>
    </row>
    <row r="985" spans="1:7">
      <c r="A985" t="s">
        <v>6581</v>
      </c>
      <c r="B985" s="1">
        <v>984</v>
      </c>
      <c r="C985" t="s">
        <v>9534</v>
      </c>
      <c r="D985" t="s">
        <v>6654</v>
      </c>
      <c r="E985" t="s">
        <v>9535</v>
      </c>
      <c r="F985" t="s">
        <v>9536</v>
      </c>
      <c r="G985" t="s">
        <v>6586</v>
      </c>
    </row>
    <row r="986" spans="1:7">
      <c r="A986" t="s">
        <v>6581</v>
      </c>
      <c r="B986" s="1">
        <v>985</v>
      </c>
      <c r="C986" t="s">
        <v>9537</v>
      </c>
      <c r="D986" t="s">
        <v>6654</v>
      </c>
      <c r="E986" t="s">
        <v>9538</v>
      </c>
      <c r="F986" t="s">
        <v>9539</v>
      </c>
      <c r="G986" t="s">
        <v>6586</v>
      </c>
    </row>
    <row r="987" spans="1:7">
      <c r="A987" t="s">
        <v>6581</v>
      </c>
      <c r="B987" s="1">
        <v>986</v>
      </c>
      <c r="C987" t="s">
        <v>9540</v>
      </c>
      <c r="D987" t="s">
        <v>6654</v>
      </c>
      <c r="E987" t="s">
        <v>9541</v>
      </c>
      <c r="F987" t="s">
        <v>9542</v>
      </c>
      <c r="G987" t="s">
        <v>6586</v>
      </c>
    </row>
    <row r="988" spans="1:7">
      <c r="A988" t="s">
        <v>6581</v>
      </c>
      <c r="B988" s="1">
        <v>987</v>
      </c>
      <c r="C988" t="s">
        <v>9543</v>
      </c>
      <c r="D988" t="s">
        <v>6654</v>
      </c>
      <c r="E988" t="s">
        <v>9544</v>
      </c>
      <c r="F988" t="s">
        <v>9545</v>
      </c>
      <c r="G988" t="s">
        <v>6586</v>
      </c>
    </row>
    <row r="989" spans="1:7">
      <c r="A989" t="s">
        <v>6581</v>
      </c>
      <c r="B989" s="1">
        <v>988</v>
      </c>
      <c r="C989" t="s">
        <v>9546</v>
      </c>
      <c r="D989" t="s">
        <v>6654</v>
      </c>
      <c r="E989" t="s">
        <v>9547</v>
      </c>
      <c r="F989" t="s">
        <v>9548</v>
      </c>
      <c r="G989" t="s">
        <v>6586</v>
      </c>
    </row>
    <row r="990" spans="1:7">
      <c r="A990" t="s">
        <v>6581</v>
      </c>
      <c r="B990" s="1">
        <v>989</v>
      </c>
      <c r="C990" t="s">
        <v>9549</v>
      </c>
      <c r="D990" t="s">
        <v>6654</v>
      </c>
      <c r="E990" t="s">
        <v>9550</v>
      </c>
      <c r="F990" t="s">
        <v>9551</v>
      </c>
      <c r="G990" t="s">
        <v>6586</v>
      </c>
    </row>
    <row r="991" spans="1:7">
      <c r="A991" t="s">
        <v>6581</v>
      </c>
      <c r="B991" s="1">
        <v>990</v>
      </c>
      <c r="C991" t="s">
        <v>9552</v>
      </c>
      <c r="D991" t="s">
        <v>6654</v>
      </c>
      <c r="E991" t="s">
        <v>9553</v>
      </c>
      <c r="F991" t="s">
        <v>9554</v>
      </c>
      <c r="G991" t="s">
        <v>6586</v>
      </c>
    </row>
    <row r="992" spans="1:7">
      <c r="A992" t="s">
        <v>6581</v>
      </c>
      <c r="B992" s="1">
        <v>991</v>
      </c>
      <c r="C992" t="s">
        <v>9555</v>
      </c>
      <c r="D992" t="s">
        <v>6654</v>
      </c>
      <c r="E992" t="s">
        <v>9556</v>
      </c>
      <c r="F992" t="s">
        <v>9557</v>
      </c>
      <c r="G992" t="s">
        <v>6586</v>
      </c>
    </row>
    <row r="993" spans="1:7">
      <c r="A993" t="s">
        <v>6581</v>
      </c>
      <c r="B993" s="1">
        <v>992</v>
      </c>
      <c r="C993" t="s">
        <v>9558</v>
      </c>
      <c r="D993" t="s">
        <v>6654</v>
      </c>
      <c r="E993" t="s">
        <v>9559</v>
      </c>
      <c r="F993" t="s">
        <v>9560</v>
      </c>
      <c r="G993" t="s">
        <v>6586</v>
      </c>
    </row>
    <row r="994" spans="1:7">
      <c r="A994" t="s">
        <v>6581</v>
      </c>
      <c r="B994" s="1">
        <v>993</v>
      </c>
      <c r="C994" t="s">
        <v>9561</v>
      </c>
      <c r="D994" t="s">
        <v>6654</v>
      </c>
      <c r="E994" t="s">
        <v>9562</v>
      </c>
      <c r="F994" t="s">
        <v>9563</v>
      </c>
      <c r="G994" t="s">
        <v>6586</v>
      </c>
    </row>
    <row r="995" spans="1:7">
      <c r="A995" t="s">
        <v>6581</v>
      </c>
      <c r="B995" s="1">
        <v>994</v>
      </c>
      <c r="C995" t="s">
        <v>9564</v>
      </c>
      <c r="D995" t="s">
        <v>6605</v>
      </c>
      <c r="E995" t="s">
        <v>9565</v>
      </c>
      <c r="F995" t="s">
        <v>9566</v>
      </c>
      <c r="G995" t="s">
        <v>6586</v>
      </c>
    </row>
    <row r="996" spans="1:7">
      <c r="A996" t="s">
        <v>6581</v>
      </c>
      <c r="B996" s="1">
        <v>995</v>
      </c>
      <c r="C996" t="s">
        <v>9567</v>
      </c>
      <c r="D996" t="s">
        <v>6605</v>
      </c>
      <c r="E996" t="s">
        <v>9568</v>
      </c>
      <c r="F996" t="s">
        <v>9569</v>
      </c>
      <c r="G996" t="s">
        <v>6586</v>
      </c>
    </row>
    <row r="997" spans="1:7">
      <c r="A997" t="s">
        <v>6581</v>
      </c>
      <c r="B997" s="1">
        <v>996</v>
      </c>
      <c r="C997" t="s">
        <v>9570</v>
      </c>
      <c r="D997" t="s">
        <v>6609</v>
      </c>
      <c r="E997" t="s">
        <v>9571</v>
      </c>
      <c r="F997" t="s">
        <v>9572</v>
      </c>
      <c r="G997" t="s">
        <v>6586</v>
      </c>
    </row>
    <row r="998" spans="1:7">
      <c r="A998" t="s">
        <v>6581</v>
      </c>
      <c r="B998" s="1">
        <v>997</v>
      </c>
      <c r="C998" t="s">
        <v>9573</v>
      </c>
      <c r="D998" t="s">
        <v>6605</v>
      </c>
      <c r="E998" t="s">
        <v>9574</v>
      </c>
      <c r="F998" t="s">
        <v>9575</v>
      </c>
      <c r="G998" t="s">
        <v>6586</v>
      </c>
    </row>
    <row r="999" spans="1:7">
      <c r="A999" t="s">
        <v>6581</v>
      </c>
      <c r="B999" s="1">
        <v>998</v>
      </c>
      <c r="C999" t="s">
        <v>9576</v>
      </c>
      <c r="D999" t="s">
        <v>6605</v>
      </c>
      <c r="E999" t="s">
        <v>9577</v>
      </c>
      <c r="F999" t="s">
        <v>9578</v>
      </c>
      <c r="G999" t="s">
        <v>6586</v>
      </c>
    </row>
    <row r="1000" spans="1:7">
      <c r="A1000" t="s">
        <v>6581</v>
      </c>
      <c r="B1000" s="1">
        <v>999</v>
      </c>
      <c r="C1000" t="s">
        <v>9579</v>
      </c>
      <c r="D1000" t="s">
        <v>6605</v>
      </c>
      <c r="E1000" t="s">
        <v>9580</v>
      </c>
      <c r="F1000" t="s">
        <v>9581</v>
      </c>
      <c r="G1000" t="s">
        <v>6586</v>
      </c>
    </row>
    <row r="1001" spans="1:7">
      <c r="A1001" t="s">
        <v>6581</v>
      </c>
      <c r="B1001" s="1">
        <v>1000</v>
      </c>
      <c r="C1001" t="s">
        <v>9582</v>
      </c>
      <c r="D1001" t="s">
        <v>6734</v>
      </c>
      <c r="E1001" t="s">
        <v>9583</v>
      </c>
      <c r="F1001" t="s">
        <v>9584</v>
      </c>
      <c r="G1001" t="s">
        <v>6586</v>
      </c>
    </row>
    <row r="1002" spans="1:7">
      <c r="A1002" t="s">
        <v>6581</v>
      </c>
      <c r="B1002" s="1">
        <v>1001</v>
      </c>
      <c r="C1002" t="s">
        <v>7734</v>
      </c>
      <c r="D1002" t="s">
        <v>6695</v>
      </c>
      <c r="E1002" t="s">
        <v>9585</v>
      </c>
      <c r="F1002" t="s">
        <v>9586</v>
      </c>
      <c r="G1002" t="s">
        <v>6586</v>
      </c>
    </row>
    <row r="1003" spans="1:7">
      <c r="A1003" t="s">
        <v>6581</v>
      </c>
      <c r="B1003" s="1">
        <v>1002</v>
      </c>
      <c r="C1003" t="s">
        <v>9587</v>
      </c>
      <c r="D1003" t="s">
        <v>6734</v>
      </c>
      <c r="E1003" t="s">
        <v>9588</v>
      </c>
      <c r="F1003" t="s">
        <v>9589</v>
      </c>
      <c r="G1003" t="s">
        <v>6586</v>
      </c>
    </row>
    <row r="1004" spans="1:7">
      <c r="A1004" t="s">
        <v>6581</v>
      </c>
      <c r="B1004" s="1">
        <v>1003</v>
      </c>
      <c r="C1004" t="s">
        <v>9590</v>
      </c>
      <c r="D1004" t="s">
        <v>6734</v>
      </c>
      <c r="E1004" t="s">
        <v>9591</v>
      </c>
      <c r="F1004" t="s">
        <v>9592</v>
      </c>
      <c r="G1004" t="s">
        <v>6586</v>
      </c>
    </row>
    <row r="1005" spans="1:7">
      <c r="A1005" t="s">
        <v>6581</v>
      </c>
      <c r="B1005" s="1">
        <v>1004</v>
      </c>
      <c r="C1005" t="s">
        <v>9593</v>
      </c>
      <c r="D1005" t="s">
        <v>6695</v>
      </c>
      <c r="E1005" t="s">
        <v>9594</v>
      </c>
      <c r="F1005" t="s">
        <v>9595</v>
      </c>
      <c r="G1005" t="s">
        <v>6586</v>
      </c>
    </row>
    <row r="1006" spans="1:7">
      <c r="A1006" t="s">
        <v>6581</v>
      </c>
      <c r="B1006" s="1">
        <v>1005</v>
      </c>
      <c r="C1006" t="s">
        <v>9596</v>
      </c>
      <c r="D1006" t="s">
        <v>6771</v>
      </c>
      <c r="E1006" t="s">
        <v>9597</v>
      </c>
      <c r="F1006" t="s">
        <v>9598</v>
      </c>
      <c r="G1006" t="s">
        <v>6586</v>
      </c>
    </row>
    <row r="1007" spans="1:7">
      <c r="A1007" t="s">
        <v>6581</v>
      </c>
      <c r="B1007" s="1">
        <v>1006</v>
      </c>
      <c r="C1007" t="s">
        <v>9599</v>
      </c>
      <c r="D1007" t="s">
        <v>6771</v>
      </c>
      <c r="E1007" t="s">
        <v>9600</v>
      </c>
      <c r="F1007" t="s">
        <v>9601</v>
      </c>
      <c r="G1007" t="s">
        <v>6586</v>
      </c>
    </row>
    <row r="1008" spans="1:7">
      <c r="A1008" t="s">
        <v>6581</v>
      </c>
      <c r="B1008" s="1">
        <v>1007</v>
      </c>
      <c r="C1008" t="s">
        <v>9602</v>
      </c>
      <c r="D1008" t="s">
        <v>6734</v>
      </c>
      <c r="E1008" t="s">
        <v>7893</v>
      </c>
      <c r="F1008" t="s">
        <v>9603</v>
      </c>
      <c r="G1008" t="s">
        <v>6586</v>
      </c>
    </row>
    <row r="1009" spans="1:7">
      <c r="A1009" t="s">
        <v>6581</v>
      </c>
      <c r="B1009" s="1">
        <v>1008</v>
      </c>
      <c r="C1009" t="s">
        <v>9604</v>
      </c>
      <c r="D1009" t="s">
        <v>6605</v>
      </c>
      <c r="E1009" t="s">
        <v>9605</v>
      </c>
      <c r="F1009" t="s">
        <v>9606</v>
      </c>
      <c r="G1009" t="s">
        <v>6586</v>
      </c>
    </row>
    <row r="1010" spans="1:7">
      <c r="A1010" t="s">
        <v>6581</v>
      </c>
      <c r="B1010" s="1">
        <v>1009</v>
      </c>
      <c r="C1010" t="s">
        <v>9607</v>
      </c>
      <c r="D1010" t="s">
        <v>6605</v>
      </c>
      <c r="E1010" t="s">
        <v>9608</v>
      </c>
      <c r="F1010" t="s">
        <v>9609</v>
      </c>
      <c r="G1010" t="s">
        <v>6586</v>
      </c>
    </row>
    <row r="1011" spans="1:7">
      <c r="A1011" t="s">
        <v>6581</v>
      </c>
      <c r="B1011" s="1">
        <v>1010</v>
      </c>
      <c r="C1011" t="s">
        <v>9610</v>
      </c>
      <c r="D1011" t="s">
        <v>6605</v>
      </c>
      <c r="E1011" t="s">
        <v>9611</v>
      </c>
      <c r="F1011" t="s">
        <v>9612</v>
      </c>
      <c r="G1011" t="s">
        <v>6586</v>
      </c>
    </row>
    <row r="1012" spans="1:7">
      <c r="A1012" t="s">
        <v>6581</v>
      </c>
      <c r="B1012" s="1">
        <v>1011</v>
      </c>
      <c r="C1012" t="s">
        <v>9613</v>
      </c>
      <c r="D1012" t="s">
        <v>6605</v>
      </c>
      <c r="E1012" t="s">
        <v>9614</v>
      </c>
      <c r="F1012" t="s">
        <v>9615</v>
      </c>
      <c r="G1012" t="s">
        <v>6586</v>
      </c>
    </row>
    <row r="1013" spans="1:7">
      <c r="A1013" t="s">
        <v>6581</v>
      </c>
      <c r="B1013" s="1">
        <v>1012</v>
      </c>
      <c r="C1013" t="s">
        <v>9616</v>
      </c>
      <c r="D1013" t="s">
        <v>6605</v>
      </c>
      <c r="E1013" t="s">
        <v>9617</v>
      </c>
      <c r="F1013" t="s">
        <v>9618</v>
      </c>
      <c r="G1013" t="s">
        <v>6586</v>
      </c>
    </row>
    <row r="1014" spans="1:7">
      <c r="A1014" t="s">
        <v>6581</v>
      </c>
      <c r="B1014" s="1">
        <v>1013</v>
      </c>
      <c r="C1014" t="s">
        <v>9619</v>
      </c>
      <c r="D1014" t="s">
        <v>6654</v>
      </c>
      <c r="E1014" t="s">
        <v>9620</v>
      </c>
      <c r="F1014" t="s">
        <v>9621</v>
      </c>
      <c r="G1014" t="s">
        <v>6586</v>
      </c>
    </row>
    <row r="1015" spans="1:7">
      <c r="A1015" t="s">
        <v>6581</v>
      </c>
      <c r="B1015" s="1">
        <v>1014</v>
      </c>
      <c r="C1015" t="s">
        <v>9622</v>
      </c>
      <c r="D1015" t="s">
        <v>6734</v>
      </c>
      <c r="E1015" t="s">
        <v>9623</v>
      </c>
      <c r="F1015" t="s">
        <v>9624</v>
      </c>
      <c r="G1015" t="s">
        <v>6586</v>
      </c>
    </row>
    <row r="1016" spans="1:7">
      <c r="A1016" t="s">
        <v>6581</v>
      </c>
      <c r="B1016" s="1">
        <v>1015</v>
      </c>
      <c r="C1016" t="s">
        <v>9625</v>
      </c>
      <c r="D1016" t="s">
        <v>6734</v>
      </c>
      <c r="E1016" t="s">
        <v>9626</v>
      </c>
      <c r="F1016" t="s">
        <v>9627</v>
      </c>
      <c r="G1016" t="s">
        <v>6586</v>
      </c>
    </row>
    <row r="1017" spans="1:7">
      <c r="A1017" t="s">
        <v>6581</v>
      </c>
      <c r="B1017" s="1">
        <v>1016</v>
      </c>
      <c r="C1017" t="s">
        <v>9628</v>
      </c>
      <c r="D1017" t="s">
        <v>6734</v>
      </c>
      <c r="E1017" t="s">
        <v>9629</v>
      </c>
      <c r="F1017" t="s">
        <v>9630</v>
      </c>
      <c r="G1017" t="s">
        <v>6586</v>
      </c>
    </row>
    <row r="1018" spans="1:7">
      <c r="A1018" t="s">
        <v>6581</v>
      </c>
      <c r="B1018" s="1">
        <v>1017</v>
      </c>
      <c r="C1018" t="s">
        <v>9631</v>
      </c>
      <c r="D1018" t="s">
        <v>6695</v>
      </c>
      <c r="E1018" t="s">
        <v>9632</v>
      </c>
      <c r="F1018" t="s">
        <v>9633</v>
      </c>
      <c r="G1018" t="s">
        <v>6586</v>
      </c>
    </row>
    <row r="1019" spans="1:7">
      <c r="A1019" t="s">
        <v>6581</v>
      </c>
      <c r="B1019" s="1">
        <v>1018</v>
      </c>
      <c r="C1019" t="s">
        <v>9634</v>
      </c>
      <c r="D1019" t="s">
        <v>6734</v>
      </c>
      <c r="E1019" t="s">
        <v>9635</v>
      </c>
      <c r="F1019" t="s">
        <v>9636</v>
      </c>
      <c r="G1019" t="s">
        <v>6586</v>
      </c>
    </row>
    <row r="1020" spans="1:7">
      <c r="A1020" t="s">
        <v>6581</v>
      </c>
      <c r="B1020" s="1">
        <v>1019</v>
      </c>
      <c r="C1020" t="s">
        <v>9637</v>
      </c>
      <c r="D1020" t="s">
        <v>6734</v>
      </c>
      <c r="E1020" t="s">
        <v>9638</v>
      </c>
      <c r="F1020" t="s">
        <v>9639</v>
      </c>
      <c r="G1020" t="s">
        <v>6586</v>
      </c>
    </row>
    <row r="1021" spans="1:7">
      <c r="A1021" t="s">
        <v>6581</v>
      </c>
      <c r="B1021" s="1">
        <v>1020</v>
      </c>
      <c r="C1021" t="s">
        <v>9640</v>
      </c>
      <c r="D1021" t="s">
        <v>6734</v>
      </c>
      <c r="E1021" t="s">
        <v>9641</v>
      </c>
      <c r="F1021" t="s">
        <v>9642</v>
      </c>
      <c r="G1021" t="s">
        <v>6586</v>
      </c>
    </row>
    <row r="1022" spans="1:7">
      <c r="A1022" t="s">
        <v>6581</v>
      </c>
      <c r="B1022" s="1">
        <v>1021</v>
      </c>
      <c r="C1022" t="s">
        <v>9643</v>
      </c>
      <c r="D1022" t="s">
        <v>6734</v>
      </c>
      <c r="E1022" t="s">
        <v>9644</v>
      </c>
      <c r="F1022" t="s">
        <v>9645</v>
      </c>
      <c r="G1022" t="s">
        <v>6586</v>
      </c>
    </row>
    <row r="1023" spans="1:7">
      <c r="A1023" t="s">
        <v>6581</v>
      </c>
      <c r="B1023" s="1">
        <v>1022</v>
      </c>
      <c r="C1023" t="s">
        <v>9646</v>
      </c>
      <c r="D1023" t="s">
        <v>6609</v>
      </c>
      <c r="E1023" t="s">
        <v>9647</v>
      </c>
      <c r="F1023" t="s">
        <v>9648</v>
      </c>
      <c r="G1023" t="s">
        <v>6586</v>
      </c>
    </row>
    <row r="1024" spans="1:7">
      <c r="A1024" t="s">
        <v>6581</v>
      </c>
      <c r="B1024" s="1">
        <v>1023</v>
      </c>
      <c r="C1024" t="s">
        <v>9649</v>
      </c>
      <c r="D1024" t="s">
        <v>6609</v>
      </c>
      <c r="E1024" t="s">
        <v>9650</v>
      </c>
      <c r="F1024" t="s">
        <v>9651</v>
      </c>
      <c r="G1024" t="s">
        <v>6586</v>
      </c>
    </row>
    <row r="1025" spans="1:7">
      <c r="A1025" t="s">
        <v>6581</v>
      </c>
      <c r="B1025" s="1">
        <v>1024</v>
      </c>
      <c r="C1025" t="s">
        <v>9652</v>
      </c>
      <c r="D1025" t="s">
        <v>6734</v>
      </c>
      <c r="E1025" t="s">
        <v>9653</v>
      </c>
      <c r="F1025" t="s">
        <v>9654</v>
      </c>
      <c r="G1025" t="s">
        <v>6586</v>
      </c>
    </row>
    <row r="1026" spans="1:7">
      <c r="A1026" t="s">
        <v>6581</v>
      </c>
      <c r="B1026" s="1">
        <v>1025</v>
      </c>
      <c r="C1026" t="s">
        <v>9655</v>
      </c>
      <c r="D1026" t="s">
        <v>6734</v>
      </c>
      <c r="E1026" t="s">
        <v>9656</v>
      </c>
      <c r="F1026" t="s">
        <v>9657</v>
      </c>
      <c r="G1026" t="s">
        <v>6586</v>
      </c>
    </row>
    <row r="1027" spans="1:7">
      <c r="A1027" t="s">
        <v>6581</v>
      </c>
      <c r="B1027" s="1">
        <v>1026</v>
      </c>
      <c r="C1027" t="s">
        <v>9658</v>
      </c>
      <c r="D1027" t="s">
        <v>6734</v>
      </c>
      <c r="E1027" t="s">
        <v>9659</v>
      </c>
      <c r="F1027" t="s">
        <v>9660</v>
      </c>
      <c r="G1027" t="s">
        <v>6586</v>
      </c>
    </row>
    <row r="1028" spans="1:7">
      <c r="A1028" t="s">
        <v>6581</v>
      </c>
      <c r="B1028" s="1">
        <v>1027</v>
      </c>
      <c r="C1028" t="s">
        <v>9661</v>
      </c>
      <c r="D1028" t="s">
        <v>6734</v>
      </c>
      <c r="E1028" t="s">
        <v>9662</v>
      </c>
      <c r="F1028" t="s">
        <v>9663</v>
      </c>
      <c r="G1028" t="s">
        <v>6586</v>
      </c>
    </row>
    <row r="1029" spans="1:7">
      <c r="A1029" t="s">
        <v>6581</v>
      </c>
      <c r="B1029" s="1">
        <v>1028</v>
      </c>
      <c r="C1029" t="s">
        <v>9664</v>
      </c>
      <c r="D1029" t="s">
        <v>6734</v>
      </c>
      <c r="E1029" t="s">
        <v>9665</v>
      </c>
      <c r="F1029" t="s">
        <v>9666</v>
      </c>
      <c r="G1029" t="s">
        <v>6586</v>
      </c>
    </row>
    <row r="1030" spans="1:7">
      <c r="A1030" t="s">
        <v>6581</v>
      </c>
      <c r="B1030" s="1">
        <v>1029</v>
      </c>
      <c r="C1030" t="s">
        <v>9667</v>
      </c>
      <c r="D1030" t="s">
        <v>6598</v>
      </c>
      <c r="E1030" t="s">
        <v>9668</v>
      </c>
      <c r="F1030" t="s">
        <v>9669</v>
      </c>
      <c r="G1030" t="s">
        <v>6586</v>
      </c>
    </row>
    <row r="1031" spans="1:7">
      <c r="A1031" t="s">
        <v>6581</v>
      </c>
      <c r="B1031" s="1">
        <v>1030</v>
      </c>
      <c r="C1031" t="s">
        <v>9670</v>
      </c>
      <c r="D1031" t="s">
        <v>6695</v>
      </c>
      <c r="E1031" t="s">
        <v>9671</v>
      </c>
      <c r="F1031" t="s">
        <v>9672</v>
      </c>
      <c r="G1031" t="s">
        <v>6586</v>
      </c>
    </row>
    <row r="1032" spans="1:7">
      <c r="A1032" t="s">
        <v>6581</v>
      </c>
      <c r="B1032" s="1">
        <v>1031</v>
      </c>
      <c r="C1032" t="s">
        <v>9673</v>
      </c>
      <c r="D1032" t="s">
        <v>6695</v>
      </c>
      <c r="E1032" t="s">
        <v>9674</v>
      </c>
      <c r="F1032" t="s">
        <v>9675</v>
      </c>
      <c r="G1032" t="s">
        <v>6586</v>
      </c>
    </row>
    <row r="1033" spans="1:7">
      <c r="A1033" t="s">
        <v>6581</v>
      </c>
      <c r="B1033" s="1">
        <v>1032</v>
      </c>
      <c r="C1033" t="s">
        <v>9676</v>
      </c>
      <c r="D1033" t="s">
        <v>6695</v>
      </c>
      <c r="E1033" t="s">
        <v>9677</v>
      </c>
      <c r="F1033" t="s">
        <v>9678</v>
      </c>
      <c r="G1033" t="s">
        <v>6586</v>
      </c>
    </row>
    <row r="1034" spans="1:7">
      <c r="A1034" t="s">
        <v>6581</v>
      </c>
      <c r="B1034" s="1">
        <v>1033</v>
      </c>
      <c r="C1034" t="s">
        <v>9679</v>
      </c>
      <c r="D1034" t="s">
        <v>6695</v>
      </c>
      <c r="E1034" t="s">
        <v>9680</v>
      </c>
      <c r="F1034" t="s">
        <v>9681</v>
      </c>
      <c r="G1034" t="s">
        <v>6586</v>
      </c>
    </row>
    <row r="1035" spans="1:7">
      <c r="A1035" t="s">
        <v>6581</v>
      </c>
      <c r="B1035" s="1">
        <v>1034</v>
      </c>
      <c r="C1035" t="s">
        <v>9682</v>
      </c>
      <c r="D1035" t="s">
        <v>6695</v>
      </c>
      <c r="E1035" t="s">
        <v>9683</v>
      </c>
      <c r="F1035" t="s">
        <v>9684</v>
      </c>
      <c r="G1035" t="s">
        <v>6586</v>
      </c>
    </row>
    <row r="1036" spans="1:7">
      <c r="A1036" t="s">
        <v>6581</v>
      </c>
      <c r="B1036" s="1">
        <v>1035</v>
      </c>
      <c r="C1036" t="s">
        <v>9685</v>
      </c>
      <c r="D1036" t="s">
        <v>6695</v>
      </c>
      <c r="E1036" t="s">
        <v>9686</v>
      </c>
      <c r="F1036" t="s">
        <v>9687</v>
      </c>
      <c r="G1036" t="s">
        <v>6586</v>
      </c>
    </row>
    <row r="1037" spans="1:7">
      <c r="A1037" t="s">
        <v>6581</v>
      </c>
      <c r="B1037" s="1">
        <v>1036</v>
      </c>
      <c r="C1037" t="s">
        <v>9688</v>
      </c>
      <c r="D1037" t="s">
        <v>6734</v>
      </c>
      <c r="E1037" t="s">
        <v>9689</v>
      </c>
      <c r="F1037" t="s">
        <v>9690</v>
      </c>
      <c r="G1037" t="s">
        <v>6586</v>
      </c>
    </row>
    <row r="1038" spans="1:7">
      <c r="A1038" t="s">
        <v>6581</v>
      </c>
      <c r="B1038" s="1">
        <v>1037</v>
      </c>
      <c r="C1038" t="s">
        <v>9691</v>
      </c>
      <c r="D1038" t="s">
        <v>6605</v>
      </c>
      <c r="E1038" t="s">
        <v>9692</v>
      </c>
      <c r="F1038" t="s">
        <v>9693</v>
      </c>
      <c r="G1038" t="s">
        <v>6586</v>
      </c>
    </row>
    <row r="1039" spans="1:7">
      <c r="A1039" t="s">
        <v>6581</v>
      </c>
      <c r="B1039" s="1">
        <v>1038</v>
      </c>
      <c r="C1039" t="s">
        <v>9694</v>
      </c>
      <c r="D1039" t="s">
        <v>6734</v>
      </c>
      <c r="E1039" t="s">
        <v>9695</v>
      </c>
      <c r="F1039" t="s">
        <v>9696</v>
      </c>
      <c r="G1039" t="s">
        <v>6586</v>
      </c>
    </row>
    <row r="1040" spans="1:7">
      <c r="A1040" t="s">
        <v>6581</v>
      </c>
      <c r="B1040" s="1">
        <v>1039</v>
      </c>
      <c r="C1040" t="s">
        <v>9697</v>
      </c>
      <c r="D1040" t="s">
        <v>6734</v>
      </c>
      <c r="E1040" t="s">
        <v>9698</v>
      </c>
      <c r="F1040" t="s">
        <v>9699</v>
      </c>
      <c r="G1040" t="s">
        <v>6586</v>
      </c>
    </row>
    <row r="1041" spans="1:7">
      <c r="A1041" t="s">
        <v>6581</v>
      </c>
      <c r="B1041" s="1">
        <v>1040</v>
      </c>
      <c r="C1041" t="s">
        <v>9700</v>
      </c>
      <c r="D1041" t="s">
        <v>6605</v>
      </c>
      <c r="E1041" t="s">
        <v>9701</v>
      </c>
      <c r="F1041" t="s">
        <v>9702</v>
      </c>
      <c r="G1041" t="s">
        <v>6586</v>
      </c>
    </row>
    <row r="1042" spans="1:7">
      <c r="A1042" t="s">
        <v>6581</v>
      </c>
      <c r="B1042" s="1">
        <v>1041</v>
      </c>
      <c r="C1042" t="s">
        <v>9703</v>
      </c>
      <c r="D1042" t="s">
        <v>6734</v>
      </c>
      <c r="E1042" t="s">
        <v>9704</v>
      </c>
      <c r="F1042" t="s">
        <v>9705</v>
      </c>
      <c r="G1042" t="s">
        <v>6586</v>
      </c>
    </row>
    <row r="1043" spans="1:7">
      <c r="A1043" t="s">
        <v>6581</v>
      </c>
      <c r="B1043" s="1">
        <v>1042</v>
      </c>
      <c r="C1043" t="s">
        <v>9706</v>
      </c>
      <c r="D1043" t="s">
        <v>6654</v>
      </c>
      <c r="E1043" t="s">
        <v>9707</v>
      </c>
      <c r="F1043" t="s">
        <v>9708</v>
      </c>
      <c r="G1043" t="s">
        <v>6586</v>
      </c>
    </row>
    <row r="1044" spans="1:7">
      <c r="A1044" t="s">
        <v>6581</v>
      </c>
      <c r="B1044" s="1">
        <v>1043</v>
      </c>
      <c r="C1044" t="s">
        <v>9709</v>
      </c>
      <c r="D1044" t="s">
        <v>6605</v>
      </c>
      <c r="E1044" t="s">
        <v>9710</v>
      </c>
      <c r="F1044" t="s">
        <v>9711</v>
      </c>
      <c r="G1044" t="s">
        <v>6586</v>
      </c>
    </row>
    <row r="1045" spans="1:7">
      <c r="A1045" t="s">
        <v>6581</v>
      </c>
      <c r="B1045" s="1">
        <v>1044</v>
      </c>
      <c r="C1045" t="s">
        <v>9712</v>
      </c>
      <c r="D1045" t="s">
        <v>6654</v>
      </c>
      <c r="E1045" t="s">
        <v>9713</v>
      </c>
      <c r="F1045" t="s">
        <v>9714</v>
      </c>
      <c r="G1045" t="s">
        <v>6586</v>
      </c>
    </row>
    <row r="1046" spans="1:7">
      <c r="A1046" t="s">
        <v>6581</v>
      </c>
      <c r="B1046" s="1">
        <v>1045</v>
      </c>
      <c r="C1046" t="s">
        <v>9715</v>
      </c>
      <c r="D1046" t="s">
        <v>6605</v>
      </c>
      <c r="E1046" t="s">
        <v>9716</v>
      </c>
      <c r="F1046" t="s">
        <v>9717</v>
      </c>
      <c r="G1046" t="s">
        <v>6586</v>
      </c>
    </row>
    <row r="1047" spans="1:7">
      <c r="A1047" t="s">
        <v>6581</v>
      </c>
      <c r="B1047" s="1">
        <v>1046</v>
      </c>
      <c r="C1047" t="s">
        <v>9718</v>
      </c>
      <c r="D1047" t="s">
        <v>6695</v>
      </c>
      <c r="E1047" t="s">
        <v>9719</v>
      </c>
      <c r="F1047" t="s">
        <v>9720</v>
      </c>
      <c r="G1047" t="s">
        <v>6586</v>
      </c>
    </row>
    <row r="1048" spans="1:7">
      <c r="A1048" t="s">
        <v>6581</v>
      </c>
      <c r="B1048" s="1">
        <v>1047</v>
      </c>
      <c r="C1048" t="s">
        <v>9721</v>
      </c>
      <c r="D1048" t="s">
        <v>6695</v>
      </c>
      <c r="E1048" t="s">
        <v>9722</v>
      </c>
      <c r="F1048" t="s">
        <v>9723</v>
      </c>
      <c r="G1048" t="s">
        <v>6586</v>
      </c>
    </row>
    <row r="1049" spans="1:7">
      <c r="A1049" t="s">
        <v>6581</v>
      </c>
      <c r="B1049" s="1">
        <v>1048</v>
      </c>
      <c r="C1049" t="s">
        <v>9724</v>
      </c>
      <c r="D1049" t="s">
        <v>6695</v>
      </c>
      <c r="E1049" t="s">
        <v>9725</v>
      </c>
      <c r="F1049" t="s">
        <v>9726</v>
      </c>
      <c r="G1049" t="s">
        <v>6586</v>
      </c>
    </row>
    <row r="1050" spans="1:7">
      <c r="A1050" t="s">
        <v>6581</v>
      </c>
      <c r="B1050" s="1">
        <v>1049</v>
      </c>
      <c r="C1050" t="s">
        <v>9727</v>
      </c>
      <c r="D1050" t="s">
        <v>6734</v>
      </c>
      <c r="E1050" t="s">
        <v>9728</v>
      </c>
      <c r="F1050" t="s">
        <v>9729</v>
      </c>
      <c r="G1050" t="s">
        <v>6586</v>
      </c>
    </row>
    <row r="1051" spans="1:7">
      <c r="A1051" t="s">
        <v>6581</v>
      </c>
      <c r="B1051" s="1">
        <v>1050</v>
      </c>
      <c r="C1051" t="s">
        <v>9730</v>
      </c>
      <c r="D1051" t="s">
        <v>6734</v>
      </c>
      <c r="E1051" t="s">
        <v>9731</v>
      </c>
      <c r="F1051" t="s">
        <v>9732</v>
      </c>
      <c r="G1051" t="s">
        <v>6586</v>
      </c>
    </row>
    <row r="1052" spans="1:7">
      <c r="A1052" t="s">
        <v>6581</v>
      </c>
      <c r="B1052" s="1">
        <v>1051</v>
      </c>
      <c r="C1052" t="s">
        <v>9733</v>
      </c>
      <c r="D1052" t="s">
        <v>6605</v>
      </c>
      <c r="E1052" t="s">
        <v>9734</v>
      </c>
      <c r="F1052" t="s">
        <v>9735</v>
      </c>
      <c r="G1052" t="s">
        <v>6586</v>
      </c>
    </row>
    <row r="1053" spans="1:7">
      <c r="A1053" t="s">
        <v>6581</v>
      </c>
      <c r="B1053" s="1">
        <v>1052</v>
      </c>
      <c r="C1053" t="s">
        <v>9736</v>
      </c>
      <c r="D1053" t="s">
        <v>6734</v>
      </c>
      <c r="E1053" t="s">
        <v>9737</v>
      </c>
      <c r="F1053" t="s">
        <v>9738</v>
      </c>
      <c r="G1053" t="s">
        <v>6586</v>
      </c>
    </row>
    <row r="1054" spans="1:7">
      <c r="A1054" t="s">
        <v>6581</v>
      </c>
      <c r="B1054" s="1">
        <v>1053</v>
      </c>
      <c r="C1054" t="s">
        <v>9739</v>
      </c>
      <c r="D1054" t="s">
        <v>6734</v>
      </c>
      <c r="E1054" t="s">
        <v>9740</v>
      </c>
      <c r="F1054" t="s">
        <v>9741</v>
      </c>
      <c r="G1054" t="s">
        <v>6586</v>
      </c>
    </row>
    <row r="1055" spans="1:7">
      <c r="A1055" t="s">
        <v>6581</v>
      </c>
      <c r="B1055" s="1">
        <v>1054</v>
      </c>
      <c r="C1055" t="s">
        <v>9742</v>
      </c>
      <c r="D1055" t="s">
        <v>6598</v>
      </c>
      <c r="E1055" t="s">
        <v>9743</v>
      </c>
      <c r="F1055" t="s">
        <v>9744</v>
      </c>
      <c r="G1055" t="s">
        <v>6586</v>
      </c>
    </row>
    <row r="1056" spans="1:7">
      <c r="A1056" t="s">
        <v>6581</v>
      </c>
      <c r="B1056" s="1">
        <v>1055</v>
      </c>
      <c r="C1056" t="s">
        <v>9745</v>
      </c>
      <c r="D1056" t="s">
        <v>6598</v>
      </c>
      <c r="E1056" t="s">
        <v>9746</v>
      </c>
      <c r="F1056" t="s">
        <v>9747</v>
      </c>
      <c r="G1056" t="s">
        <v>6586</v>
      </c>
    </row>
    <row r="1057" spans="1:7">
      <c r="A1057" t="s">
        <v>6581</v>
      </c>
      <c r="B1057" s="1">
        <v>1056</v>
      </c>
      <c r="C1057" t="s">
        <v>9748</v>
      </c>
      <c r="D1057" t="s">
        <v>6598</v>
      </c>
      <c r="E1057" t="s">
        <v>9749</v>
      </c>
      <c r="F1057" t="s">
        <v>9750</v>
      </c>
      <c r="G1057" t="s">
        <v>6586</v>
      </c>
    </row>
    <row r="1058" spans="1:7">
      <c r="A1058" t="s">
        <v>6581</v>
      </c>
      <c r="B1058" s="1">
        <v>1057</v>
      </c>
      <c r="C1058" t="s">
        <v>9751</v>
      </c>
      <c r="D1058" t="s">
        <v>6654</v>
      </c>
      <c r="E1058" t="s">
        <v>9752</v>
      </c>
      <c r="F1058" t="s">
        <v>9753</v>
      </c>
      <c r="G1058" t="s">
        <v>6586</v>
      </c>
    </row>
    <row r="1059" spans="1:7">
      <c r="A1059" t="s">
        <v>6581</v>
      </c>
      <c r="B1059" s="1">
        <v>1058</v>
      </c>
      <c r="C1059" t="s">
        <v>9754</v>
      </c>
      <c r="D1059" t="s">
        <v>6598</v>
      </c>
      <c r="E1059" t="s">
        <v>9755</v>
      </c>
      <c r="F1059" t="s">
        <v>9756</v>
      </c>
      <c r="G1059" t="s">
        <v>6586</v>
      </c>
    </row>
    <row r="1060" spans="1:7">
      <c r="A1060" t="s">
        <v>6581</v>
      </c>
      <c r="B1060" s="1">
        <v>1059</v>
      </c>
      <c r="C1060" t="s">
        <v>9757</v>
      </c>
      <c r="D1060" t="s">
        <v>6654</v>
      </c>
      <c r="E1060" t="s">
        <v>9758</v>
      </c>
      <c r="F1060" t="s">
        <v>9759</v>
      </c>
      <c r="G1060" t="s">
        <v>6586</v>
      </c>
    </row>
    <row r="1061" spans="1:7">
      <c r="A1061" t="s">
        <v>6581</v>
      </c>
      <c r="B1061" s="1">
        <v>1060</v>
      </c>
      <c r="C1061" t="s">
        <v>9760</v>
      </c>
      <c r="D1061" t="s">
        <v>6598</v>
      </c>
      <c r="E1061" t="s">
        <v>9761</v>
      </c>
      <c r="F1061" t="s">
        <v>9762</v>
      </c>
      <c r="G1061" t="s">
        <v>6586</v>
      </c>
    </row>
    <row r="1062" spans="1:7">
      <c r="A1062" t="s">
        <v>6581</v>
      </c>
      <c r="B1062" s="1">
        <v>1061</v>
      </c>
      <c r="C1062" t="s">
        <v>9763</v>
      </c>
      <c r="D1062" t="s">
        <v>6605</v>
      </c>
      <c r="E1062" t="s">
        <v>9764</v>
      </c>
      <c r="F1062" t="s">
        <v>9765</v>
      </c>
      <c r="G1062" t="s">
        <v>6586</v>
      </c>
    </row>
    <row r="1063" spans="1:7">
      <c r="A1063" t="s">
        <v>6581</v>
      </c>
      <c r="B1063" s="1">
        <v>1062</v>
      </c>
      <c r="C1063" t="s">
        <v>9766</v>
      </c>
      <c r="D1063" t="s">
        <v>6605</v>
      </c>
      <c r="E1063" t="s">
        <v>9767</v>
      </c>
      <c r="F1063" t="s">
        <v>9768</v>
      </c>
      <c r="G1063" t="s">
        <v>6586</v>
      </c>
    </row>
    <row r="1064" spans="1:7">
      <c r="A1064" t="s">
        <v>6581</v>
      </c>
      <c r="B1064" s="1">
        <v>1063</v>
      </c>
      <c r="C1064" t="s">
        <v>9769</v>
      </c>
      <c r="D1064" t="s">
        <v>6734</v>
      </c>
      <c r="E1064" t="s">
        <v>9770</v>
      </c>
      <c r="F1064" t="s">
        <v>9771</v>
      </c>
      <c r="G1064" t="s">
        <v>6586</v>
      </c>
    </row>
    <row r="1065" spans="1:7">
      <c r="A1065" t="s">
        <v>6581</v>
      </c>
      <c r="B1065" s="1">
        <v>1064</v>
      </c>
      <c r="C1065" t="s">
        <v>9772</v>
      </c>
      <c r="D1065" t="s">
        <v>6734</v>
      </c>
      <c r="E1065" t="s">
        <v>9773</v>
      </c>
      <c r="F1065" t="s">
        <v>9774</v>
      </c>
      <c r="G1065" t="s">
        <v>6586</v>
      </c>
    </row>
    <row r="1066" spans="1:7">
      <c r="A1066" t="s">
        <v>6581</v>
      </c>
      <c r="B1066" s="1">
        <v>1065</v>
      </c>
      <c r="C1066" t="s">
        <v>9775</v>
      </c>
      <c r="D1066" t="s">
        <v>6734</v>
      </c>
      <c r="E1066" t="s">
        <v>9776</v>
      </c>
      <c r="F1066" t="s">
        <v>9777</v>
      </c>
      <c r="G1066" t="s">
        <v>6586</v>
      </c>
    </row>
    <row r="1067" spans="1:7">
      <c r="A1067" t="s">
        <v>6581</v>
      </c>
      <c r="B1067" s="1">
        <v>1066</v>
      </c>
      <c r="C1067" t="s">
        <v>9778</v>
      </c>
      <c r="D1067" t="s">
        <v>6734</v>
      </c>
      <c r="E1067" t="s">
        <v>9779</v>
      </c>
      <c r="F1067" t="s">
        <v>9780</v>
      </c>
      <c r="G1067" t="s">
        <v>6586</v>
      </c>
    </row>
    <row r="1068" spans="1:7">
      <c r="A1068" t="s">
        <v>6581</v>
      </c>
      <c r="B1068" s="1">
        <v>1067</v>
      </c>
      <c r="C1068" t="s">
        <v>9781</v>
      </c>
      <c r="D1068" t="s">
        <v>6734</v>
      </c>
      <c r="E1068" t="s">
        <v>9782</v>
      </c>
      <c r="F1068" t="s">
        <v>9783</v>
      </c>
      <c r="G1068" t="s">
        <v>6586</v>
      </c>
    </row>
    <row r="1069" spans="1:7">
      <c r="A1069" t="s">
        <v>6581</v>
      </c>
      <c r="B1069" s="1">
        <v>1068</v>
      </c>
      <c r="C1069" t="s">
        <v>9784</v>
      </c>
      <c r="D1069" t="s">
        <v>6734</v>
      </c>
      <c r="E1069" t="s">
        <v>9785</v>
      </c>
      <c r="F1069" t="s">
        <v>9786</v>
      </c>
      <c r="G1069" t="s">
        <v>6586</v>
      </c>
    </row>
    <row r="1070" spans="1:7">
      <c r="A1070" t="s">
        <v>6581</v>
      </c>
      <c r="B1070" s="1">
        <v>1069</v>
      </c>
      <c r="C1070" t="s">
        <v>9787</v>
      </c>
      <c r="D1070" t="s">
        <v>6605</v>
      </c>
      <c r="E1070" t="s">
        <v>9788</v>
      </c>
      <c r="F1070" t="s">
        <v>9789</v>
      </c>
      <c r="G1070" t="s">
        <v>6586</v>
      </c>
    </row>
    <row r="1071" spans="1:7">
      <c r="A1071" t="s">
        <v>6581</v>
      </c>
      <c r="B1071" s="1">
        <v>1070</v>
      </c>
      <c r="C1071" t="s">
        <v>9790</v>
      </c>
      <c r="D1071" t="s">
        <v>6605</v>
      </c>
      <c r="E1071" t="s">
        <v>9791</v>
      </c>
      <c r="F1071" t="s">
        <v>9792</v>
      </c>
      <c r="G1071" t="s">
        <v>6586</v>
      </c>
    </row>
    <row r="1072" spans="1:7">
      <c r="A1072" t="s">
        <v>6581</v>
      </c>
      <c r="B1072" s="1">
        <v>1071</v>
      </c>
      <c r="C1072" t="s">
        <v>8496</v>
      </c>
      <c r="D1072" t="s">
        <v>6734</v>
      </c>
      <c r="E1072" t="s">
        <v>9793</v>
      </c>
      <c r="F1072" t="s">
        <v>9794</v>
      </c>
      <c r="G1072" t="s">
        <v>6586</v>
      </c>
    </row>
    <row r="1073" spans="1:7">
      <c r="A1073" t="s">
        <v>6581</v>
      </c>
      <c r="B1073" s="1">
        <v>1072</v>
      </c>
      <c r="C1073" t="s">
        <v>9795</v>
      </c>
      <c r="D1073" t="s">
        <v>6734</v>
      </c>
      <c r="E1073" t="s">
        <v>9796</v>
      </c>
      <c r="F1073" t="s">
        <v>9797</v>
      </c>
      <c r="G1073" t="s">
        <v>6586</v>
      </c>
    </row>
    <row r="1074" spans="1:7">
      <c r="A1074" t="s">
        <v>6581</v>
      </c>
      <c r="B1074" s="1">
        <v>1073</v>
      </c>
      <c r="C1074" t="s">
        <v>9476</v>
      </c>
      <c r="D1074" t="s">
        <v>6734</v>
      </c>
      <c r="E1074" t="s">
        <v>9798</v>
      </c>
      <c r="F1074" t="s">
        <v>9799</v>
      </c>
      <c r="G1074" t="s">
        <v>6586</v>
      </c>
    </row>
    <row r="1075" spans="1:7">
      <c r="A1075" t="s">
        <v>6581</v>
      </c>
      <c r="B1075" s="1">
        <v>1074</v>
      </c>
      <c r="C1075" t="s">
        <v>9800</v>
      </c>
      <c r="D1075" t="s">
        <v>6734</v>
      </c>
      <c r="E1075" t="s">
        <v>9801</v>
      </c>
      <c r="F1075" t="s">
        <v>9802</v>
      </c>
      <c r="G1075" t="s">
        <v>6586</v>
      </c>
    </row>
    <row r="1076" spans="1:7">
      <c r="A1076" t="s">
        <v>6581</v>
      </c>
      <c r="B1076" s="1">
        <v>1075</v>
      </c>
      <c r="C1076" t="s">
        <v>9803</v>
      </c>
      <c r="D1076" t="s">
        <v>6734</v>
      </c>
      <c r="E1076" t="s">
        <v>9804</v>
      </c>
      <c r="F1076" t="s">
        <v>9805</v>
      </c>
      <c r="G1076" t="s">
        <v>6586</v>
      </c>
    </row>
    <row r="1077" spans="1:7">
      <c r="A1077" t="s">
        <v>6581</v>
      </c>
      <c r="B1077" s="1">
        <v>1076</v>
      </c>
      <c r="C1077" t="s">
        <v>9806</v>
      </c>
      <c r="D1077" t="s">
        <v>6734</v>
      </c>
      <c r="E1077" t="s">
        <v>9807</v>
      </c>
      <c r="F1077" t="s">
        <v>9808</v>
      </c>
      <c r="G1077" t="s">
        <v>6586</v>
      </c>
    </row>
    <row r="1078" spans="1:7">
      <c r="A1078" t="s">
        <v>6581</v>
      </c>
      <c r="B1078" s="1">
        <v>1077</v>
      </c>
      <c r="C1078" t="s">
        <v>9809</v>
      </c>
      <c r="D1078" t="s">
        <v>6605</v>
      </c>
      <c r="E1078" t="s">
        <v>9810</v>
      </c>
      <c r="F1078" t="s">
        <v>9811</v>
      </c>
      <c r="G1078" t="s">
        <v>6586</v>
      </c>
    </row>
    <row r="1079" spans="1:7">
      <c r="A1079" t="s">
        <v>6581</v>
      </c>
      <c r="B1079" s="1">
        <v>1078</v>
      </c>
      <c r="C1079" t="s">
        <v>9812</v>
      </c>
      <c r="D1079" t="s">
        <v>6734</v>
      </c>
      <c r="E1079" t="s">
        <v>9813</v>
      </c>
      <c r="F1079" t="s">
        <v>9814</v>
      </c>
      <c r="G1079" t="s">
        <v>6586</v>
      </c>
    </row>
    <row r="1080" spans="1:7">
      <c r="A1080" t="s">
        <v>6581</v>
      </c>
      <c r="B1080" s="1">
        <v>1079</v>
      </c>
      <c r="C1080" t="s">
        <v>9815</v>
      </c>
      <c r="D1080" t="s">
        <v>6734</v>
      </c>
      <c r="E1080" t="s">
        <v>9816</v>
      </c>
      <c r="F1080" t="s">
        <v>9817</v>
      </c>
      <c r="G1080" t="s">
        <v>6586</v>
      </c>
    </row>
    <row r="1081" spans="1:7">
      <c r="A1081" t="s">
        <v>6581</v>
      </c>
      <c r="B1081" s="1">
        <v>1080</v>
      </c>
      <c r="C1081" t="s">
        <v>9818</v>
      </c>
      <c r="D1081" t="s">
        <v>6598</v>
      </c>
      <c r="E1081" t="s">
        <v>9819</v>
      </c>
      <c r="F1081" t="s">
        <v>9820</v>
      </c>
      <c r="G1081" t="s">
        <v>6586</v>
      </c>
    </row>
    <row r="1082" spans="1:7">
      <c r="A1082" t="s">
        <v>6581</v>
      </c>
      <c r="B1082" s="1">
        <v>1081</v>
      </c>
      <c r="C1082" t="s">
        <v>9821</v>
      </c>
      <c r="D1082" t="s">
        <v>6734</v>
      </c>
      <c r="E1082" t="s">
        <v>9822</v>
      </c>
      <c r="F1082" t="s">
        <v>9823</v>
      </c>
      <c r="G1082" t="s">
        <v>6586</v>
      </c>
    </row>
    <row r="1083" spans="1:7">
      <c r="A1083" t="s">
        <v>6581</v>
      </c>
      <c r="B1083" s="1">
        <v>1082</v>
      </c>
      <c r="C1083" t="s">
        <v>9824</v>
      </c>
      <c r="D1083" t="s">
        <v>6734</v>
      </c>
      <c r="E1083" t="s">
        <v>9825</v>
      </c>
      <c r="F1083" t="s">
        <v>9826</v>
      </c>
      <c r="G1083" t="s">
        <v>6586</v>
      </c>
    </row>
    <row r="1084" spans="1:7">
      <c r="A1084" t="s">
        <v>6581</v>
      </c>
      <c r="B1084" s="1">
        <v>1083</v>
      </c>
      <c r="C1084" t="s">
        <v>9827</v>
      </c>
      <c r="D1084" t="s">
        <v>6598</v>
      </c>
      <c r="E1084" t="s">
        <v>9828</v>
      </c>
      <c r="F1084" t="s">
        <v>9829</v>
      </c>
      <c r="G1084" t="s">
        <v>6586</v>
      </c>
    </row>
    <row r="1085" spans="1:7">
      <c r="A1085" t="s">
        <v>6581</v>
      </c>
      <c r="B1085" s="1">
        <v>1084</v>
      </c>
      <c r="C1085" t="s">
        <v>9830</v>
      </c>
      <c r="D1085" t="s">
        <v>6734</v>
      </c>
      <c r="E1085" t="s">
        <v>9831</v>
      </c>
      <c r="F1085" t="s">
        <v>9832</v>
      </c>
      <c r="G1085" t="s">
        <v>6586</v>
      </c>
    </row>
    <row r="1086" spans="1:7">
      <c r="A1086" t="s">
        <v>6581</v>
      </c>
      <c r="B1086" s="1">
        <v>1085</v>
      </c>
      <c r="C1086" t="s">
        <v>9833</v>
      </c>
      <c r="D1086" t="s">
        <v>6609</v>
      </c>
      <c r="E1086" t="s">
        <v>9834</v>
      </c>
      <c r="F1086" t="s">
        <v>9835</v>
      </c>
      <c r="G1086" t="s">
        <v>6586</v>
      </c>
    </row>
    <row r="1087" spans="1:7">
      <c r="A1087" t="s">
        <v>6581</v>
      </c>
      <c r="B1087" s="1">
        <v>1086</v>
      </c>
      <c r="C1087" t="s">
        <v>9836</v>
      </c>
      <c r="D1087" t="s">
        <v>6734</v>
      </c>
      <c r="E1087" t="s">
        <v>9837</v>
      </c>
      <c r="F1087" t="s">
        <v>9838</v>
      </c>
      <c r="G1087" t="s">
        <v>6586</v>
      </c>
    </row>
    <row r="1088" spans="1:7">
      <c r="A1088" t="s">
        <v>6581</v>
      </c>
      <c r="B1088" s="1">
        <v>1087</v>
      </c>
      <c r="C1088" t="s">
        <v>9839</v>
      </c>
      <c r="D1088" t="s">
        <v>6734</v>
      </c>
      <c r="E1088" t="s">
        <v>9840</v>
      </c>
      <c r="F1088" t="s">
        <v>9841</v>
      </c>
      <c r="G1088" t="s">
        <v>6586</v>
      </c>
    </row>
    <row r="1089" spans="1:7">
      <c r="A1089" t="s">
        <v>6581</v>
      </c>
      <c r="B1089" s="1">
        <v>1088</v>
      </c>
      <c r="C1089" t="s">
        <v>9842</v>
      </c>
      <c r="D1089" t="s">
        <v>6598</v>
      </c>
      <c r="E1089" t="s">
        <v>9843</v>
      </c>
      <c r="F1089" t="s">
        <v>9844</v>
      </c>
      <c r="G1089" t="s">
        <v>6586</v>
      </c>
    </row>
    <row r="1090" spans="1:7">
      <c r="A1090" t="s">
        <v>6581</v>
      </c>
      <c r="B1090" s="1">
        <v>1089</v>
      </c>
      <c r="C1090" t="s">
        <v>9845</v>
      </c>
      <c r="D1090" t="s">
        <v>6598</v>
      </c>
      <c r="E1090" t="s">
        <v>9846</v>
      </c>
      <c r="F1090" t="s">
        <v>9847</v>
      </c>
      <c r="G1090" t="s">
        <v>6586</v>
      </c>
    </row>
    <row r="1091" spans="1:7">
      <c r="A1091" t="s">
        <v>6581</v>
      </c>
      <c r="B1091" s="1">
        <v>1090</v>
      </c>
      <c r="C1091" t="s">
        <v>9848</v>
      </c>
      <c r="D1091" t="s">
        <v>6734</v>
      </c>
      <c r="E1091" t="s">
        <v>9849</v>
      </c>
      <c r="F1091" t="s">
        <v>9850</v>
      </c>
      <c r="G1091" t="s">
        <v>6586</v>
      </c>
    </row>
    <row r="1092" spans="1:7">
      <c r="A1092" t="s">
        <v>6581</v>
      </c>
      <c r="B1092" s="1">
        <v>1091</v>
      </c>
      <c r="C1092" t="s">
        <v>9851</v>
      </c>
      <c r="D1092" t="s">
        <v>6654</v>
      </c>
      <c r="E1092" t="s">
        <v>9852</v>
      </c>
      <c r="F1092" t="s">
        <v>9853</v>
      </c>
      <c r="G1092" t="s">
        <v>6586</v>
      </c>
    </row>
    <row r="1093" spans="1:7">
      <c r="A1093" t="s">
        <v>6581</v>
      </c>
      <c r="B1093" s="1">
        <v>1092</v>
      </c>
      <c r="C1093" t="s">
        <v>9854</v>
      </c>
      <c r="D1093" t="s">
        <v>6609</v>
      </c>
      <c r="E1093" t="s">
        <v>9855</v>
      </c>
      <c r="F1093" t="s">
        <v>9856</v>
      </c>
      <c r="G1093" t="s">
        <v>6586</v>
      </c>
    </row>
    <row r="1094" spans="1:7">
      <c r="A1094" t="s">
        <v>6581</v>
      </c>
      <c r="B1094" s="1">
        <v>1093</v>
      </c>
      <c r="C1094" t="s">
        <v>9857</v>
      </c>
      <c r="D1094" t="s">
        <v>6695</v>
      </c>
      <c r="E1094" t="s">
        <v>9858</v>
      </c>
      <c r="F1094" t="s">
        <v>9859</v>
      </c>
      <c r="G1094" t="s">
        <v>6586</v>
      </c>
    </row>
    <row r="1095" spans="1:7">
      <c r="A1095" t="s">
        <v>6581</v>
      </c>
      <c r="B1095" s="1">
        <v>1094</v>
      </c>
      <c r="C1095" t="s">
        <v>9860</v>
      </c>
      <c r="D1095" t="s">
        <v>6609</v>
      </c>
      <c r="E1095" t="s">
        <v>9861</v>
      </c>
      <c r="F1095" t="s">
        <v>9862</v>
      </c>
      <c r="G1095" t="s">
        <v>6586</v>
      </c>
    </row>
    <row r="1096" spans="1:7">
      <c r="A1096" t="s">
        <v>6581</v>
      </c>
      <c r="B1096" s="1">
        <v>1095</v>
      </c>
      <c r="C1096" t="s">
        <v>9863</v>
      </c>
      <c r="D1096" t="s">
        <v>6734</v>
      </c>
      <c r="E1096" t="s">
        <v>9864</v>
      </c>
      <c r="F1096" t="s">
        <v>9865</v>
      </c>
      <c r="G1096" t="s">
        <v>6586</v>
      </c>
    </row>
    <row r="1097" spans="1:7">
      <c r="A1097" t="s">
        <v>6581</v>
      </c>
      <c r="B1097" s="1">
        <v>1096</v>
      </c>
      <c r="C1097" t="s">
        <v>9866</v>
      </c>
      <c r="D1097" t="s">
        <v>6609</v>
      </c>
      <c r="E1097" t="s">
        <v>9867</v>
      </c>
      <c r="F1097" t="s">
        <v>9868</v>
      </c>
      <c r="G1097" t="s">
        <v>6586</v>
      </c>
    </row>
    <row r="1098" spans="1:7">
      <c r="A1098" t="s">
        <v>6581</v>
      </c>
      <c r="B1098" s="1">
        <v>1097</v>
      </c>
      <c r="C1098" t="s">
        <v>9869</v>
      </c>
      <c r="D1098" t="s">
        <v>6734</v>
      </c>
      <c r="E1098" t="s">
        <v>9870</v>
      </c>
      <c r="F1098" t="s">
        <v>9871</v>
      </c>
      <c r="G1098" t="s">
        <v>6586</v>
      </c>
    </row>
    <row r="1099" spans="1:7">
      <c r="A1099" t="s">
        <v>6581</v>
      </c>
      <c r="B1099" s="1">
        <v>1098</v>
      </c>
      <c r="C1099" t="s">
        <v>9872</v>
      </c>
      <c r="D1099" t="s">
        <v>6771</v>
      </c>
      <c r="E1099" t="s">
        <v>9873</v>
      </c>
      <c r="F1099" t="s">
        <v>9874</v>
      </c>
      <c r="G1099" t="s">
        <v>6586</v>
      </c>
    </row>
    <row r="1100" spans="1:7">
      <c r="A1100" t="s">
        <v>6581</v>
      </c>
      <c r="B1100" s="1">
        <v>1099</v>
      </c>
      <c r="C1100" t="s">
        <v>9875</v>
      </c>
      <c r="D1100" t="s">
        <v>6609</v>
      </c>
      <c r="E1100" t="s">
        <v>9876</v>
      </c>
      <c r="F1100" t="s">
        <v>9877</v>
      </c>
      <c r="G1100" t="s">
        <v>6586</v>
      </c>
    </row>
    <row r="1101" spans="1:7">
      <c r="A1101" t="s">
        <v>6581</v>
      </c>
      <c r="B1101" s="1">
        <v>1100</v>
      </c>
      <c r="C1101" t="s">
        <v>9878</v>
      </c>
      <c r="D1101" t="s">
        <v>6609</v>
      </c>
      <c r="E1101" t="s">
        <v>9879</v>
      </c>
      <c r="F1101" t="s">
        <v>9880</v>
      </c>
      <c r="G1101" t="s">
        <v>6586</v>
      </c>
    </row>
    <row r="1102" spans="1:7">
      <c r="A1102" t="s">
        <v>6581</v>
      </c>
      <c r="B1102" s="1">
        <v>1101</v>
      </c>
      <c r="C1102" t="s">
        <v>9881</v>
      </c>
      <c r="D1102" t="s">
        <v>6609</v>
      </c>
      <c r="E1102" t="s">
        <v>9882</v>
      </c>
      <c r="F1102" t="s">
        <v>9883</v>
      </c>
      <c r="G1102" t="s">
        <v>6586</v>
      </c>
    </row>
    <row r="1103" spans="1:7">
      <c r="A1103" t="s">
        <v>6581</v>
      </c>
      <c r="B1103" s="1">
        <v>1102</v>
      </c>
      <c r="C1103" t="s">
        <v>9884</v>
      </c>
      <c r="D1103" t="s">
        <v>6734</v>
      </c>
      <c r="E1103" t="s">
        <v>9885</v>
      </c>
      <c r="F1103" t="s">
        <v>9886</v>
      </c>
      <c r="G1103" t="s">
        <v>6586</v>
      </c>
    </row>
    <row r="1104" spans="1:7">
      <c r="A1104" t="s">
        <v>6581</v>
      </c>
      <c r="B1104" s="1">
        <v>1103</v>
      </c>
      <c r="C1104" t="s">
        <v>9887</v>
      </c>
      <c r="D1104" t="s">
        <v>6734</v>
      </c>
      <c r="E1104" t="s">
        <v>9888</v>
      </c>
      <c r="F1104" t="s">
        <v>9889</v>
      </c>
      <c r="G1104" t="s">
        <v>6586</v>
      </c>
    </row>
    <row r="1105" spans="1:7">
      <c r="A1105" t="s">
        <v>6581</v>
      </c>
      <c r="B1105" s="1">
        <v>1104</v>
      </c>
      <c r="C1105" t="s">
        <v>9890</v>
      </c>
      <c r="D1105" t="s">
        <v>6734</v>
      </c>
      <c r="E1105" t="s">
        <v>9891</v>
      </c>
      <c r="F1105" t="s">
        <v>9892</v>
      </c>
      <c r="G1105" t="s">
        <v>6586</v>
      </c>
    </row>
    <row r="1106" spans="1:7">
      <c r="A1106" t="s">
        <v>6581</v>
      </c>
      <c r="B1106" s="1">
        <v>1105</v>
      </c>
      <c r="C1106" t="s">
        <v>9893</v>
      </c>
      <c r="D1106" t="s">
        <v>6598</v>
      </c>
      <c r="E1106" t="s">
        <v>9894</v>
      </c>
      <c r="F1106" t="s">
        <v>9895</v>
      </c>
      <c r="G1106" t="s">
        <v>6586</v>
      </c>
    </row>
    <row r="1107" spans="1:7">
      <c r="A1107" t="s">
        <v>6581</v>
      </c>
      <c r="B1107" s="1">
        <v>1106</v>
      </c>
      <c r="C1107" t="s">
        <v>9896</v>
      </c>
      <c r="D1107" t="s">
        <v>6734</v>
      </c>
      <c r="E1107" t="s">
        <v>9897</v>
      </c>
      <c r="F1107" t="s">
        <v>9898</v>
      </c>
      <c r="G1107" t="s">
        <v>6586</v>
      </c>
    </row>
    <row r="1108" spans="1:7">
      <c r="A1108" t="s">
        <v>6581</v>
      </c>
      <c r="B1108" s="1">
        <v>1107</v>
      </c>
      <c r="C1108" t="s">
        <v>9899</v>
      </c>
      <c r="D1108" t="s">
        <v>6734</v>
      </c>
      <c r="E1108" t="s">
        <v>9900</v>
      </c>
      <c r="F1108" t="s">
        <v>9901</v>
      </c>
      <c r="G1108" t="s">
        <v>6586</v>
      </c>
    </row>
    <row r="1109" spans="1:7">
      <c r="A1109" t="s">
        <v>6581</v>
      </c>
      <c r="B1109" s="1">
        <v>1108</v>
      </c>
      <c r="C1109" t="s">
        <v>9902</v>
      </c>
      <c r="D1109" t="s">
        <v>6734</v>
      </c>
      <c r="E1109" t="s">
        <v>9903</v>
      </c>
      <c r="F1109" t="s">
        <v>9904</v>
      </c>
      <c r="G1109" t="s">
        <v>6586</v>
      </c>
    </row>
    <row r="1110" spans="1:7">
      <c r="A1110" t="s">
        <v>6581</v>
      </c>
      <c r="B1110" s="1">
        <v>1109</v>
      </c>
      <c r="C1110" t="s">
        <v>9905</v>
      </c>
      <c r="D1110" t="s">
        <v>6605</v>
      </c>
      <c r="E1110" t="s">
        <v>9906</v>
      </c>
      <c r="F1110" t="s">
        <v>9907</v>
      </c>
      <c r="G1110" t="s">
        <v>6586</v>
      </c>
    </row>
    <row r="1111" spans="1:7">
      <c r="A1111" t="s">
        <v>6581</v>
      </c>
      <c r="B1111" s="1">
        <v>1110</v>
      </c>
      <c r="C1111" t="s">
        <v>9908</v>
      </c>
      <c r="D1111" t="s">
        <v>6695</v>
      </c>
      <c r="E1111" t="s">
        <v>9909</v>
      </c>
      <c r="F1111" t="s">
        <v>9910</v>
      </c>
      <c r="G1111" t="s">
        <v>6586</v>
      </c>
    </row>
    <row r="1112" spans="1:7">
      <c r="A1112" t="s">
        <v>6581</v>
      </c>
      <c r="B1112" s="1">
        <v>1111</v>
      </c>
      <c r="C1112" t="s">
        <v>9911</v>
      </c>
      <c r="D1112" t="s">
        <v>8638</v>
      </c>
      <c r="E1112" t="s">
        <v>9912</v>
      </c>
      <c r="F1112" t="s">
        <v>9913</v>
      </c>
      <c r="G1112" t="s">
        <v>6586</v>
      </c>
    </row>
    <row r="1113" spans="1:7">
      <c r="A1113" t="s">
        <v>6581</v>
      </c>
      <c r="B1113" s="1">
        <v>1112</v>
      </c>
      <c r="C1113" t="s">
        <v>9914</v>
      </c>
      <c r="D1113" t="s">
        <v>6734</v>
      </c>
      <c r="E1113" t="s">
        <v>9915</v>
      </c>
      <c r="F1113" t="s">
        <v>9916</v>
      </c>
      <c r="G1113" t="s">
        <v>6586</v>
      </c>
    </row>
    <row r="1114" spans="1:7">
      <c r="A1114" t="s">
        <v>6581</v>
      </c>
      <c r="B1114" s="1">
        <v>1113</v>
      </c>
      <c r="C1114" t="s">
        <v>9917</v>
      </c>
      <c r="D1114" t="s">
        <v>6605</v>
      </c>
      <c r="E1114" t="s">
        <v>9918</v>
      </c>
      <c r="F1114" t="s">
        <v>9919</v>
      </c>
      <c r="G1114" t="s">
        <v>6586</v>
      </c>
    </row>
    <row r="1115" spans="1:7">
      <c r="A1115" t="s">
        <v>6581</v>
      </c>
      <c r="B1115" s="1">
        <v>1114</v>
      </c>
      <c r="C1115" t="s">
        <v>9920</v>
      </c>
      <c r="D1115" t="s">
        <v>6605</v>
      </c>
      <c r="E1115" t="s">
        <v>9921</v>
      </c>
      <c r="F1115" t="s">
        <v>9922</v>
      </c>
      <c r="G1115" t="s">
        <v>6586</v>
      </c>
    </row>
    <row r="1116" spans="1:7">
      <c r="A1116" t="s">
        <v>6581</v>
      </c>
      <c r="B1116" s="1">
        <v>1115</v>
      </c>
      <c r="C1116" t="s">
        <v>9923</v>
      </c>
      <c r="D1116" t="s">
        <v>6609</v>
      </c>
      <c r="E1116" t="s">
        <v>9924</v>
      </c>
      <c r="F1116" t="s">
        <v>9925</v>
      </c>
      <c r="G1116" t="s">
        <v>6586</v>
      </c>
    </row>
    <row r="1117" spans="1:7">
      <c r="A1117" t="s">
        <v>6581</v>
      </c>
      <c r="B1117" s="1">
        <v>1116</v>
      </c>
      <c r="C1117" t="s">
        <v>9926</v>
      </c>
      <c r="D1117" t="s">
        <v>6654</v>
      </c>
      <c r="E1117" t="s">
        <v>9927</v>
      </c>
      <c r="F1117" t="s">
        <v>9928</v>
      </c>
      <c r="G1117" t="s">
        <v>6586</v>
      </c>
    </row>
    <row r="1118" spans="1:7">
      <c r="A1118" t="s">
        <v>6581</v>
      </c>
      <c r="B1118" s="1">
        <v>1117</v>
      </c>
      <c r="C1118" t="s">
        <v>9929</v>
      </c>
      <c r="D1118" t="s">
        <v>6654</v>
      </c>
      <c r="E1118" t="s">
        <v>9930</v>
      </c>
      <c r="F1118" t="s">
        <v>9931</v>
      </c>
      <c r="G1118" t="s">
        <v>6586</v>
      </c>
    </row>
    <row r="1119" spans="1:7">
      <c r="A1119" t="s">
        <v>6581</v>
      </c>
      <c r="B1119" s="1">
        <v>1118</v>
      </c>
      <c r="C1119" t="s">
        <v>9932</v>
      </c>
      <c r="D1119" t="s">
        <v>6605</v>
      </c>
      <c r="E1119" t="s">
        <v>9933</v>
      </c>
      <c r="F1119" t="s">
        <v>9934</v>
      </c>
      <c r="G1119" t="s">
        <v>6586</v>
      </c>
    </row>
    <row r="1120" spans="1:7">
      <c r="A1120" t="s">
        <v>6581</v>
      </c>
      <c r="B1120" s="1">
        <v>1119</v>
      </c>
      <c r="C1120" t="s">
        <v>9935</v>
      </c>
      <c r="D1120" t="s">
        <v>6605</v>
      </c>
      <c r="E1120" t="s">
        <v>9936</v>
      </c>
      <c r="F1120" t="s">
        <v>9937</v>
      </c>
      <c r="G1120" t="s">
        <v>6586</v>
      </c>
    </row>
    <row r="1121" spans="1:7">
      <c r="A1121" t="s">
        <v>6581</v>
      </c>
      <c r="B1121" s="1">
        <v>1120</v>
      </c>
      <c r="C1121" t="s">
        <v>9938</v>
      </c>
      <c r="D1121" t="s">
        <v>6609</v>
      </c>
      <c r="E1121" t="s">
        <v>9939</v>
      </c>
      <c r="F1121" t="s">
        <v>9940</v>
      </c>
      <c r="G1121" t="s">
        <v>6586</v>
      </c>
    </row>
    <row r="1122" spans="1:7">
      <c r="A1122" t="s">
        <v>6581</v>
      </c>
      <c r="B1122" s="1">
        <v>1121</v>
      </c>
      <c r="C1122" t="s">
        <v>9941</v>
      </c>
      <c r="D1122" t="s">
        <v>6654</v>
      </c>
      <c r="E1122" t="s">
        <v>9942</v>
      </c>
      <c r="F1122" t="s">
        <v>9943</v>
      </c>
      <c r="G1122" t="s">
        <v>6586</v>
      </c>
    </row>
    <row r="1123" spans="1:7">
      <c r="A1123" t="s">
        <v>6581</v>
      </c>
      <c r="B1123" s="1">
        <v>1122</v>
      </c>
      <c r="C1123" t="s">
        <v>9944</v>
      </c>
      <c r="D1123" t="s">
        <v>6654</v>
      </c>
      <c r="E1123" t="s">
        <v>9945</v>
      </c>
      <c r="F1123" t="s">
        <v>9946</v>
      </c>
      <c r="G1123" t="s">
        <v>6586</v>
      </c>
    </row>
    <row r="1124" spans="1:7">
      <c r="A1124" t="s">
        <v>6581</v>
      </c>
      <c r="B1124" s="1">
        <v>1123</v>
      </c>
      <c r="C1124" t="s">
        <v>9947</v>
      </c>
      <c r="D1124" t="s">
        <v>6605</v>
      </c>
      <c r="E1124" t="s">
        <v>9948</v>
      </c>
      <c r="F1124" t="s">
        <v>9949</v>
      </c>
      <c r="G1124" t="s">
        <v>6586</v>
      </c>
    </row>
    <row r="1125" spans="1:7">
      <c r="A1125" t="s">
        <v>6581</v>
      </c>
      <c r="B1125" s="1">
        <v>1124</v>
      </c>
      <c r="C1125" t="s">
        <v>9950</v>
      </c>
      <c r="D1125" t="s">
        <v>6654</v>
      </c>
      <c r="E1125" t="s">
        <v>9951</v>
      </c>
      <c r="F1125" t="s">
        <v>9952</v>
      </c>
      <c r="G1125" t="s">
        <v>6586</v>
      </c>
    </row>
    <row r="1126" spans="1:7">
      <c r="A1126" t="s">
        <v>6581</v>
      </c>
      <c r="B1126" s="1">
        <v>1125</v>
      </c>
      <c r="C1126" t="s">
        <v>9953</v>
      </c>
      <c r="D1126" t="s">
        <v>6609</v>
      </c>
      <c r="E1126" t="s">
        <v>9954</v>
      </c>
      <c r="F1126" t="s">
        <v>9955</v>
      </c>
      <c r="G1126" t="s">
        <v>6586</v>
      </c>
    </row>
    <row r="1127" spans="1:7">
      <c r="A1127" t="s">
        <v>6581</v>
      </c>
      <c r="B1127" s="1">
        <v>1126</v>
      </c>
      <c r="C1127" t="s">
        <v>9956</v>
      </c>
      <c r="D1127" t="s">
        <v>6609</v>
      </c>
      <c r="E1127" t="s">
        <v>9957</v>
      </c>
      <c r="F1127" t="s">
        <v>9958</v>
      </c>
      <c r="G1127" t="s">
        <v>6586</v>
      </c>
    </row>
    <row r="1128" spans="1:7">
      <c r="A1128" t="s">
        <v>6581</v>
      </c>
      <c r="B1128" s="1">
        <v>1127</v>
      </c>
      <c r="C1128" t="s">
        <v>9959</v>
      </c>
      <c r="D1128" t="s">
        <v>6609</v>
      </c>
      <c r="E1128" t="s">
        <v>9960</v>
      </c>
      <c r="F1128" t="s">
        <v>9961</v>
      </c>
      <c r="G1128" t="s">
        <v>6586</v>
      </c>
    </row>
    <row r="1129" spans="1:7">
      <c r="A1129" t="s">
        <v>6581</v>
      </c>
      <c r="B1129" s="1">
        <v>1128</v>
      </c>
      <c r="C1129" t="s">
        <v>9962</v>
      </c>
      <c r="D1129" t="s">
        <v>6695</v>
      </c>
      <c r="E1129" t="s">
        <v>9963</v>
      </c>
      <c r="F1129" t="s">
        <v>9964</v>
      </c>
      <c r="G1129" t="s">
        <v>6586</v>
      </c>
    </row>
    <row r="1130" spans="1:7">
      <c r="A1130" t="s">
        <v>6581</v>
      </c>
      <c r="B1130" s="1">
        <v>1129</v>
      </c>
      <c r="C1130" t="s">
        <v>9965</v>
      </c>
      <c r="D1130" t="s">
        <v>6695</v>
      </c>
      <c r="E1130" t="s">
        <v>9966</v>
      </c>
      <c r="F1130" t="s">
        <v>9967</v>
      </c>
      <c r="G1130" t="s">
        <v>6586</v>
      </c>
    </row>
    <row r="1131" spans="1:7">
      <c r="A1131" t="s">
        <v>6581</v>
      </c>
      <c r="B1131" s="1">
        <v>1130</v>
      </c>
      <c r="C1131" t="s">
        <v>9968</v>
      </c>
      <c r="D1131" t="s">
        <v>6695</v>
      </c>
      <c r="E1131" t="s">
        <v>9969</v>
      </c>
      <c r="F1131" t="s">
        <v>9970</v>
      </c>
      <c r="G1131" t="s">
        <v>6586</v>
      </c>
    </row>
    <row r="1132" spans="1:7">
      <c r="A1132" t="s">
        <v>6581</v>
      </c>
      <c r="B1132" s="1">
        <v>1131</v>
      </c>
      <c r="C1132" t="s">
        <v>9971</v>
      </c>
      <c r="D1132" t="s">
        <v>6605</v>
      </c>
      <c r="E1132" t="s">
        <v>9972</v>
      </c>
      <c r="F1132" t="s">
        <v>9973</v>
      </c>
      <c r="G1132" t="s">
        <v>6586</v>
      </c>
    </row>
    <row r="1133" spans="1:7">
      <c r="A1133" t="s">
        <v>6581</v>
      </c>
      <c r="B1133" s="1">
        <v>1132</v>
      </c>
      <c r="C1133" t="s">
        <v>9974</v>
      </c>
      <c r="D1133" t="s">
        <v>6609</v>
      </c>
      <c r="E1133" t="s">
        <v>9975</v>
      </c>
      <c r="F1133" t="s">
        <v>9976</v>
      </c>
      <c r="G1133" t="s">
        <v>6586</v>
      </c>
    </row>
    <row r="1134" spans="1:7">
      <c r="A1134" t="s">
        <v>6581</v>
      </c>
      <c r="B1134" s="1">
        <v>1133</v>
      </c>
      <c r="C1134" t="s">
        <v>9977</v>
      </c>
      <c r="D1134" t="s">
        <v>6609</v>
      </c>
      <c r="E1134" t="s">
        <v>9978</v>
      </c>
      <c r="F1134" t="s">
        <v>9979</v>
      </c>
      <c r="G1134" t="s">
        <v>6586</v>
      </c>
    </row>
    <row r="1135" spans="1:7">
      <c r="A1135" t="s">
        <v>6581</v>
      </c>
      <c r="B1135" s="1">
        <v>1134</v>
      </c>
      <c r="C1135" t="s">
        <v>9980</v>
      </c>
      <c r="D1135" t="s">
        <v>6609</v>
      </c>
      <c r="E1135" t="s">
        <v>9981</v>
      </c>
      <c r="F1135" t="s">
        <v>9982</v>
      </c>
      <c r="G1135" t="s">
        <v>6586</v>
      </c>
    </row>
    <row r="1136" spans="1:7">
      <c r="A1136" t="s">
        <v>6581</v>
      </c>
      <c r="B1136" s="1">
        <v>1135</v>
      </c>
      <c r="C1136" t="s">
        <v>9983</v>
      </c>
      <c r="D1136" t="s">
        <v>6609</v>
      </c>
      <c r="E1136" t="s">
        <v>9984</v>
      </c>
      <c r="F1136" t="s">
        <v>9985</v>
      </c>
      <c r="G1136" t="s">
        <v>6586</v>
      </c>
    </row>
    <row r="1137" spans="1:7">
      <c r="A1137" t="s">
        <v>6581</v>
      </c>
      <c r="B1137" s="1">
        <v>1136</v>
      </c>
      <c r="C1137" t="s">
        <v>9986</v>
      </c>
      <c r="D1137" t="s">
        <v>6609</v>
      </c>
      <c r="E1137" t="s">
        <v>9987</v>
      </c>
      <c r="F1137" t="s">
        <v>9988</v>
      </c>
      <c r="G1137" t="s">
        <v>6586</v>
      </c>
    </row>
    <row r="1138" spans="1:7">
      <c r="A1138" t="s">
        <v>6581</v>
      </c>
      <c r="B1138" s="1">
        <v>1137</v>
      </c>
      <c r="C1138" t="s">
        <v>9989</v>
      </c>
      <c r="D1138" t="s">
        <v>6609</v>
      </c>
      <c r="E1138" t="s">
        <v>9990</v>
      </c>
      <c r="F1138" t="s">
        <v>9991</v>
      </c>
      <c r="G1138" t="s">
        <v>6586</v>
      </c>
    </row>
    <row r="1139" spans="1:7">
      <c r="A1139" t="s">
        <v>6581</v>
      </c>
      <c r="B1139" s="1">
        <v>1138</v>
      </c>
      <c r="C1139" t="s">
        <v>9992</v>
      </c>
      <c r="D1139" t="s">
        <v>6609</v>
      </c>
      <c r="E1139" t="s">
        <v>9993</v>
      </c>
      <c r="F1139" t="s">
        <v>9994</v>
      </c>
      <c r="G1139" t="s">
        <v>6586</v>
      </c>
    </row>
    <row r="1140" spans="1:7">
      <c r="A1140" t="s">
        <v>6581</v>
      </c>
      <c r="B1140" s="1">
        <v>1139</v>
      </c>
      <c r="C1140" t="s">
        <v>9995</v>
      </c>
      <c r="D1140" t="s">
        <v>6609</v>
      </c>
      <c r="E1140" t="s">
        <v>9996</v>
      </c>
      <c r="F1140" t="s">
        <v>9997</v>
      </c>
      <c r="G1140" t="s">
        <v>6586</v>
      </c>
    </row>
    <row r="1141" spans="1:7">
      <c r="A1141" t="s">
        <v>6581</v>
      </c>
      <c r="B1141" s="1">
        <v>1140</v>
      </c>
      <c r="C1141" t="s">
        <v>9998</v>
      </c>
      <c r="D1141" t="s">
        <v>6609</v>
      </c>
      <c r="E1141" t="s">
        <v>9999</v>
      </c>
      <c r="F1141" t="s">
        <v>10000</v>
      </c>
      <c r="G1141" t="s">
        <v>6586</v>
      </c>
    </row>
    <row r="1142" spans="1:7">
      <c r="A1142" t="s">
        <v>6581</v>
      </c>
      <c r="B1142" s="1">
        <v>1141</v>
      </c>
      <c r="C1142" t="s">
        <v>8159</v>
      </c>
      <c r="D1142" t="s">
        <v>6605</v>
      </c>
      <c r="E1142" t="s">
        <v>10001</v>
      </c>
      <c r="F1142" t="s">
        <v>10002</v>
      </c>
      <c r="G1142" t="s">
        <v>6586</v>
      </c>
    </row>
    <row r="1143" spans="1:7">
      <c r="A1143" t="s">
        <v>6581</v>
      </c>
      <c r="B1143" s="1">
        <v>1142</v>
      </c>
      <c r="C1143" t="s">
        <v>10003</v>
      </c>
      <c r="D1143" t="s">
        <v>6605</v>
      </c>
      <c r="E1143" t="s">
        <v>10004</v>
      </c>
      <c r="F1143" t="s">
        <v>10005</v>
      </c>
      <c r="G1143" t="s">
        <v>6586</v>
      </c>
    </row>
    <row r="1144" spans="1:7">
      <c r="A1144" t="s">
        <v>6581</v>
      </c>
      <c r="B1144" s="1">
        <v>1143</v>
      </c>
      <c r="C1144" t="s">
        <v>10006</v>
      </c>
      <c r="D1144" t="s">
        <v>6605</v>
      </c>
      <c r="E1144" t="s">
        <v>10007</v>
      </c>
      <c r="F1144" t="s">
        <v>10008</v>
      </c>
      <c r="G1144" t="s">
        <v>6586</v>
      </c>
    </row>
    <row r="1145" spans="1:7">
      <c r="A1145" t="s">
        <v>6581</v>
      </c>
      <c r="B1145" s="1">
        <v>1144</v>
      </c>
      <c r="C1145" t="s">
        <v>10009</v>
      </c>
      <c r="D1145" t="s">
        <v>6609</v>
      </c>
      <c r="E1145" t="s">
        <v>10010</v>
      </c>
      <c r="F1145" t="s">
        <v>10011</v>
      </c>
      <c r="G1145" t="s">
        <v>6586</v>
      </c>
    </row>
    <row r="1146" spans="1:7">
      <c r="A1146" t="s">
        <v>6581</v>
      </c>
      <c r="B1146" s="1">
        <v>1145</v>
      </c>
      <c r="C1146" t="s">
        <v>10012</v>
      </c>
      <c r="D1146" t="s">
        <v>6705</v>
      </c>
      <c r="E1146" t="s">
        <v>10013</v>
      </c>
      <c r="F1146" t="s">
        <v>10014</v>
      </c>
      <c r="G1146" t="s">
        <v>6586</v>
      </c>
    </row>
    <row r="1147" spans="1:7">
      <c r="A1147" t="s">
        <v>6581</v>
      </c>
      <c r="B1147" s="1">
        <v>1146</v>
      </c>
      <c r="C1147" t="s">
        <v>10015</v>
      </c>
      <c r="D1147" t="s">
        <v>6705</v>
      </c>
      <c r="E1147" t="s">
        <v>10016</v>
      </c>
      <c r="F1147" t="s">
        <v>10017</v>
      </c>
      <c r="G1147" t="s">
        <v>6586</v>
      </c>
    </row>
    <row r="1148" spans="1:7">
      <c r="A1148" t="s">
        <v>6581</v>
      </c>
      <c r="B1148" s="1">
        <v>1147</v>
      </c>
      <c r="C1148" t="s">
        <v>10018</v>
      </c>
      <c r="D1148" t="s">
        <v>6705</v>
      </c>
      <c r="E1148" t="s">
        <v>10019</v>
      </c>
      <c r="F1148" t="s">
        <v>10020</v>
      </c>
      <c r="G1148" t="s">
        <v>6586</v>
      </c>
    </row>
    <row r="1149" spans="1:7">
      <c r="A1149" t="s">
        <v>6581</v>
      </c>
      <c r="B1149" s="1">
        <v>1148</v>
      </c>
      <c r="C1149" t="s">
        <v>10021</v>
      </c>
      <c r="D1149" t="s">
        <v>6705</v>
      </c>
      <c r="E1149" t="s">
        <v>10022</v>
      </c>
      <c r="F1149" t="s">
        <v>10023</v>
      </c>
      <c r="G1149" t="s">
        <v>6586</v>
      </c>
    </row>
    <row r="1150" spans="1:7">
      <c r="A1150" t="s">
        <v>6581</v>
      </c>
      <c r="B1150" s="1">
        <v>1149</v>
      </c>
      <c r="C1150" t="s">
        <v>10024</v>
      </c>
      <c r="D1150" t="s">
        <v>6705</v>
      </c>
      <c r="E1150" t="s">
        <v>10025</v>
      </c>
      <c r="F1150" t="s">
        <v>10026</v>
      </c>
      <c r="G1150" t="s">
        <v>6586</v>
      </c>
    </row>
    <row r="1151" spans="1:7">
      <c r="A1151" t="s">
        <v>6581</v>
      </c>
      <c r="B1151" s="1">
        <v>1150</v>
      </c>
      <c r="C1151" t="s">
        <v>10027</v>
      </c>
      <c r="D1151" t="s">
        <v>6605</v>
      </c>
      <c r="E1151" t="s">
        <v>10028</v>
      </c>
      <c r="F1151" t="s">
        <v>10029</v>
      </c>
      <c r="G1151" t="s">
        <v>6586</v>
      </c>
    </row>
    <row r="1152" spans="1:7">
      <c r="A1152" t="s">
        <v>6581</v>
      </c>
      <c r="B1152" s="1">
        <v>1151</v>
      </c>
      <c r="C1152" t="s">
        <v>10030</v>
      </c>
      <c r="D1152" t="s">
        <v>6705</v>
      </c>
      <c r="E1152" t="s">
        <v>10031</v>
      </c>
      <c r="F1152" t="s">
        <v>10032</v>
      </c>
      <c r="G1152" t="s">
        <v>6586</v>
      </c>
    </row>
    <row r="1153" spans="1:7">
      <c r="A1153" t="s">
        <v>6581</v>
      </c>
      <c r="B1153" s="1">
        <v>1152</v>
      </c>
      <c r="C1153" t="s">
        <v>10033</v>
      </c>
      <c r="D1153" t="s">
        <v>6605</v>
      </c>
      <c r="E1153" t="s">
        <v>10034</v>
      </c>
      <c r="F1153" t="s">
        <v>10035</v>
      </c>
      <c r="G1153" t="s">
        <v>6586</v>
      </c>
    </row>
    <row r="1154" spans="1:7">
      <c r="A1154" t="s">
        <v>6581</v>
      </c>
      <c r="B1154" s="1">
        <v>1153</v>
      </c>
      <c r="C1154" t="s">
        <v>10036</v>
      </c>
      <c r="D1154" t="s">
        <v>6598</v>
      </c>
      <c r="E1154" t="s">
        <v>10037</v>
      </c>
      <c r="F1154" t="s">
        <v>10038</v>
      </c>
      <c r="G1154" t="s">
        <v>6586</v>
      </c>
    </row>
    <row r="1155" spans="1:7">
      <c r="A1155" t="s">
        <v>6581</v>
      </c>
      <c r="B1155" s="1">
        <v>1154</v>
      </c>
      <c r="C1155" t="s">
        <v>10039</v>
      </c>
      <c r="D1155" t="s">
        <v>6598</v>
      </c>
      <c r="E1155" t="s">
        <v>10040</v>
      </c>
      <c r="F1155" t="s">
        <v>10041</v>
      </c>
      <c r="G1155" t="s">
        <v>6586</v>
      </c>
    </row>
    <row r="1156" spans="1:7">
      <c r="A1156" t="s">
        <v>6581</v>
      </c>
      <c r="B1156" s="1">
        <v>1155</v>
      </c>
      <c r="C1156" t="s">
        <v>10042</v>
      </c>
      <c r="D1156" t="s">
        <v>6598</v>
      </c>
      <c r="E1156" t="s">
        <v>10043</v>
      </c>
      <c r="F1156" t="s">
        <v>10044</v>
      </c>
      <c r="G1156" t="s">
        <v>6586</v>
      </c>
    </row>
    <row r="1157" spans="1:7">
      <c r="A1157" t="s">
        <v>6581</v>
      </c>
      <c r="B1157" s="1">
        <v>1156</v>
      </c>
      <c r="C1157" t="s">
        <v>10045</v>
      </c>
      <c r="D1157" t="s">
        <v>6598</v>
      </c>
      <c r="E1157" t="s">
        <v>10046</v>
      </c>
      <c r="F1157" t="s">
        <v>10047</v>
      </c>
      <c r="G1157" t="s">
        <v>6586</v>
      </c>
    </row>
    <row r="1158" spans="1:7">
      <c r="A1158" t="s">
        <v>6581</v>
      </c>
      <c r="B1158" s="1">
        <v>1157</v>
      </c>
      <c r="C1158" t="s">
        <v>10048</v>
      </c>
      <c r="D1158" t="s">
        <v>6598</v>
      </c>
      <c r="E1158" t="s">
        <v>10049</v>
      </c>
      <c r="F1158" t="s">
        <v>10050</v>
      </c>
      <c r="G1158" t="s">
        <v>6586</v>
      </c>
    </row>
    <row r="1159" spans="1:7">
      <c r="A1159" t="s">
        <v>6581</v>
      </c>
      <c r="B1159" s="1">
        <v>1158</v>
      </c>
      <c r="C1159" t="s">
        <v>10051</v>
      </c>
      <c r="D1159" t="s">
        <v>6598</v>
      </c>
      <c r="E1159" t="s">
        <v>10052</v>
      </c>
      <c r="F1159" t="s">
        <v>10053</v>
      </c>
      <c r="G1159" t="s">
        <v>6586</v>
      </c>
    </row>
    <row r="1160" spans="1:7">
      <c r="A1160" t="s">
        <v>6581</v>
      </c>
      <c r="B1160" s="1">
        <v>1159</v>
      </c>
      <c r="C1160" t="s">
        <v>10054</v>
      </c>
      <c r="D1160" t="s">
        <v>6598</v>
      </c>
      <c r="E1160" t="s">
        <v>10055</v>
      </c>
      <c r="F1160" t="s">
        <v>10056</v>
      </c>
      <c r="G1160" t="s">
        <v>6586</v>
      </c>
    </row>
    <row r="1161" spans="1:7">
      <c r="A1161" t="s">
        <v>6581</v>
      </c>
      <c r="B1161" s="1">
        <v>1160</v>
      </c>
      <c r="C1161" t="s">
        <v>10057</v>
      </c>
      <c r="D1161" t="s">
        <v>6598</v>
      </c>
      <c r="E1161" t="s">
        <v>10058</v>
      </c>
      <c r="F1161" t="s">
        <v>10059</v>
      </c>
      <c r="G1161" t="s">
        <v>6586</v>
      </c>
    </row>
    <row r="1162" spans="1:7">
      <c r="A1162" t="s">
        <v>6581</v>
      </c>
      <c r="B1162" s="1">
        <v>1161</v>
      </c>
      <c r="C1162" t="s">
        <v>10060</v>
      </c>
      <c r="D1162" t="s">
        <v>6598</v>
      </c>
      <c r="E1162" t="s">
        <v>10061</v>
      </c>
      <c r="F1162" t="s">
        <v>10062</v>
      </c>
      <c r="G1162" t="s">
        <v>6586</v>
      </c>
    </row>
    <row r="1163" spans="1:7">
      <c r="A1163" t="s">
        <v>6581</v>
      </c>
      <c r="B1163" s="1">
        <v>1162</v>
      </c>
      <c r="C1163" t="s">
        <v>10063</v>
      </c>
      <c r="D1163" t="s">
        <v>6598</v>
      </c>
      <c r="E1163" t="s">
        <v>10064</v>
      </c>
      <c r="F1163" t="s">
        <v>10065</v>
      </c>
      <c r="G1163" t="s">
        <v>6586</v>
      </c>
    </row>
    <row r="1164" spans="1:7">
      <c r="A1164" t="s">
        <v>6581</v>
      </c>
      <c r="B1164" s="1">
        <v>1163</v>
      </c>
      <c r="C1164" t="s">
        <v>10066</v>
      </c>
      <c r="D1164" t="s">
        <v>6598</v>
      </c>
      <c r="E1164" t="s">
        <v>10067</v>
      </c>
      <c r="F1164" t="s">
        <v>10068</v>
      </c>
      <c r="G1164" t="s">
        <v>6586</v>
      </c>
    </row>
    <row r="1165" spans="1:7">
      <c r="A1165" t="s">
        <v>6581</v>
      </c>
      <c r="B1165" s="1">
        <v>1164</v>
      </c>
      <c r="C1165" t="s">
        <v>10069</v>
      </c>
      <c r="D1165" t="s">
        <v>6598</v>
      </c>
      <c r="E1165" t="s">
        <v>10070</v>
      </c>
      <c r="F1165" t="s">
        <v>10071</v>
      </c>
      <c r="G1165" t="s">
        <v>6586</v>
      </c>
    </row>
    <row r="1166" spans="1:7">
      <c r="A1166" t="s">
        <v>6581</v>
      </c>
      <c r="B1166" s="1">
        <v>1165</v>
      </c>
      <c r="C1166" t="s">
        <v>10072</v>
      </c>
      <c r="D1166" t="s">
        <v>6598</v>
      </c>
      <c r="E1166" t="s">
        <v>10073</v>
      </c>
      <c r="F1166" t="s">
        <v>10074</v>
      </c>
      <c r="G1166" t="s">
        <v>6586</v>
      </c>
    </row>
    <row r="1167" spans="1:7">
      <c r="A1167" t="s">
        <v>6581</v>
      </c>
      <c r="B1167" s="1">
        <v>1166</v>
      </c>
      <c r="C1167" t="s">
        <v>10075</v>
      </c>
      <c r="D1167" t="s">
        <v>6598</v>
      </c>
      <c r="E1167" t="s">
        <v>10076</v>
      </c>
      <c r="F1167" t="s">
        <v>10077</v>
      </c>
      <c r="G1167" t="s">
        <v>6586</v>
      </c>
    </row>
    <row r="1168" spans="1:7">
      <c r="A1168" t="s">
        <v>6581</v>
      </c>
      <c r="B1168" s="1">
        <v>1167</v>
      </c>
      <c r="C1168" t="s">
        <v>10078</v>
      </c>
      <c r="D1168" t="s">
        <v>6598</v>
      </c>
      <c r="E1168" t="s">
        <v>10079</v>
      </c>
      <c r="F1168" t="s">
        <v>10080</v>
      </c>
      <c r="G1168" t="s">
        <v>6586</v>
      </c>
    </row>
    <row r="1169" spans="1:7">
      <c r="A1169" t="s">
        <v>6581</v>
      </c>
      <c r="B1169" s="1">
        <v>1168</v>
      </c>
      <c r="C1169" t="s">
        <v>10081</v>
      </c>
      <c r="D1169" t="s">
        <v>6598</v>
      </c>
      <c r="E1169" t="s">
        <v>10082</v>
      </c>
      <c r="F1169" t="s">
        <v>10083</v>
      </c>
      <c r="G1169" t="s">
        <v>6586</v>
      </c>
    </row>
    <row r="1170" spans="1:7">
      <c r="A1170" t="s">
        <v>6581</v>
      </c>
      <c r="B1170" s="1">
        <v>1169</v>
      </c>
      <c r="C1170" t="s">
        <v>10084</v>
      </c>
      <c r="D1170" t="s">
        <v>6598</v>
      </c>
      <c r="E1170" t="s">
        <v>10085</v>
      </c>
      <c r="F1170" t="s">
        <v>10086</v>
      </c>
      <c r="G1170" t="s">
        <v>6586</v>
      </c>
    </row>
    <row r="1171" spans="1:7">
      <c r="A1171" t="s">
        <v>6581</v>
      </c>
      <c r="B1171" s="1">
        <v>1170</v>
      </c>
      <c r="C1171" t="s">
        <v>10087</v>
      </c>
      <c r="D1171" t="s">
        <v>6598</v>
      </c>
      <c r="E1171" t="s">
        <v>10088</v>
      </c>
      <c r="F1171" t="s">
        <v>10089</v>
      </c>
      <c r="G1171" t="s">
        <v>6586</v>
      </c>
    </row>
    <row r="1172" spans="1:7">
      <c r="A1172" t="s">
        <v>6581</v>
      </c>
      <c r="B1172" s="1">
        <v>1171</v>
      </c>
      <c r="C1172" t="s">
        <v>10090</v>
      </c>
      <c r="D1172" t="s">
        <v>6598</v>
      </c>
      <c r="E1172" t="s">
        <v>10091</v>
      </c>
      <c r="F1172" t="s">
        <v>10092</v>
      </c>
      <c r="G1172" t="s">
        <v>6586</v>
      </c>
    </row>
    <row r="1173" spans="1:7">
      <c r="A1173" t="s">
        <v>6581</v>
      </c>
      <c r="B1173" s="1">
        <v>1172</v>
      </c>
      <c r="C1173" t="s">
        <v>10093</v>
      </c>
      <c r="D1173" t="s">
        <v>6598</v>
      </c>
      <c r="E1173" t="s">
        <v>10094</v>
      </c>
      <c r="F1173" t="s">
        <v>10095</v>
      </c>
      <c r="G1173" t="s">
        <v>6586</v>
      </c>
    </row>
    <row r="1174" spans="1:7">
      <c r="A1174" t="s">
        <v>6581</v>
      </c>
      <c r="B1174" s="1">
        <v>1173</v>
      </c>
      <c r="C1174" t="s">
        <v>10096</v>
      </c>
      <c r="D1174" t="s">
        <v>6598</v>
      </c>
      <c r="E1174" t="s">
        <v>10097</v>
      </c>
      <c r="F1174" t="s">
        <v>10098</v>
      </c>
      <c r="G1174" t="s">
        <v>6586</v>
      </c>
    </row>
    <row r="1175" spans="1:7">
      <c r="A1175" t="s">
        <v>6581</v>
      </c>
      <c r="B1175" s="1">
        <v>1174</v>
      </c>
      <c r="C1175" t="s">
        <v>10099</v>
      </c>
      <c r="D1175" t="s">
        <v>6598</v>
      </c>
      <c r="E1175" t="s">
        <v>10100</v>
      </c>
      <c r="F1175" t="s">
        <v>10101</v>
      </c>
      <c r="G1175" t="s">
        <v>6586</v>
      </c>
    </row>
    <row r="1176" spans="1:7">
      <c r="A1176" t="s">
        <v>6581</v>
      </c>
      <c r="B1176" s="1">
        <v>1175</v>
      </c>
      <c r="C1176" t="s">
        <v>10102</v>
      </c>
      <c r="D1176" t="s">
        <v>6598</v>
      </c>
      <c r="E1176" t="s">
        <v>10103</v>
      </c>
      <c r="F1176" t="s">
        <v>10104</v>
      </c>
      <c r="G1176" t="s">
        <v>6586</v>
      </c>
    </row>
    <row r="1177" spans="1:7">
      <c r="A1177" t="s">
        <v>6581</v>
      </c>
      <c r="B1177" s="1">
        <v>1176</v>
      </c>
      <c r="C1177" t="s">
        <v>10105</v>
      </c>
      <c r="D1177" t="s">
        <v>6598</v>
      </c>
      <c r="E1177" t="s">
        <v>10106</v>
      </c>
      <c r="F1177" t="s">
        <v>10107</v>
      </c>
      <c r="G1177" t="s">
        <v>6586</v>
      </c>
    </row>
    <row r="1178" spans="1:7">
      <c r="A1178" t="s">
        <v>6581</v>
      </c>
      <c r="B1178" s="1">
        <v>1177</v>
      </c>
      <c r="C1178" t="s">
        <v>10108</v>
      </c>
      <c r="D1178" t="s">
        <v>6598</v>
      </c>
      <c r="E1178" t="s">
        <v>10109</v>
      </c>
      <c r="F1178" t="s">
        <v>10110</v>
      </c>
      <c r="G1178" t="s">
        <v>6586</v>
      </c>
    </row>
    <row r="1179" spans="1:7">
      <c r="A1179" t="s">
        <v>6581</v>
      </c>
      <c r="B1179" s="1">
        <v>1178</v>
      </c>
      <c r="C1179" t="s">
        <v>10111</v>
      </c>
      <c r="D1179" t="s">
        <v>6598</v>
      </c>
      <c r="E1179" t="s">
        <v>10112</v>
      </c>
      <c r="F1179" t="s">
        <v>10113</v>
      </c>
      <c r="G1179" t="s">
        <v>6586</v>
      </c>
    </row>
    <row r="1180" spans="1:7">
      <c r="A1180" t="s">
        <v>6581</v>
      </c>
      <c r="B1180" s="1">
        <v>1179</v>
      </c>
      <c r="C1180" t="s">
        <v>10114</v>
      </c>
      <c r="D1180" t="s">
        <v>6598</v>
      </c>
      <c r="E1180" t="s">
        <v>10115</v>
      </c>
      <c r="F1180" t="s">
        <v>10116</v>
      </c>
      <c r="G1180" t="s">
        <v>6586</v>
      </c>
    </row>
    <row r="1181" spans="1:7">
      <c r="A1181" t="s">
        <v>6581</v>
      </c>
      <c r="B1181" s="1">
        <v>1180</v>
      </c>
      <c r="C1181" t="s">
        <v>10117</v>
      </c>
      <c r="D1181" t="s">
        <v>6598</v>
      </c>
      <c r="E1181" t="s">
        <v>10118</v>
      </c>
      <c r="F1181" t="s">
        <v>10119</v>
      </c>
      <c r="G1181" t="s">
        <v>6586</v>
      </c>
    </row>
    <row r="1182" spans="1:7">
      <c r="A1182" t="s">
        <v>6581</v>
      </c>
      <c r="B1182" s="1">
        <v>1181</v>
      </c>
      <c r="C1182" t="s">
        <v>10120</v>
      </c>
      <c r="D1182" t="s">
        <v>6598</v>
      </c>
      <c r="E1182" t="s">
        <v>10121</v>
      </c>
      <c r="F1182" t="s">
        <v>10122</v>
      </c>
      <c r="G1182" t="s">
        <v>6586</v>
      </c>
    </row>
    <row r="1183" spans="1:7">
      <c r="A1183" t="s">
        <v>6581</v>
      </c>
      <c r="B1183" s="1">
        <v>1182</v>
      </c>
      <c r="C1183" t="s">
        <v>10123</v>
      </c>
      <c r="D1183" t="s">
        <v>6598</v>
      </c>
      <c r="E1183" t="s">
        <v>10124</v>
      </c>
      <c r="F1183" t="s">
        <v>10125</v>
      </c>
      <c r="G1183" t="s">
        <v>6586</v>
      </c>
    </row>
    <row r="1184" spans="1:7">
      <c r="A1184" t="s">
        <v>6581</v>
      </c>
      <c r="B1184" s="1">
        <v>1183</v>
      </c>
      <c r="C1184" t="s">
        <v>10126</v>
      </c>
      <c r="D1184" t="s">
        <v>6598</v>
      </c>
      <c r="E1184" t="s">
        <v>10127</v>
      </c>
      <c r="F1184" t="s">
        <v>10128</v>
      </c>
      <c r="G1184" t="s">
        <v>6586</v>
      </c>
    </row>
    <row r="1185" spans="1:7">
      <c r="A1185" t="s">
        <v>6581</v>
      </c>
      <c r="B1185" s="1">
        <v>1184</v>
      </c>
      <c r="C1185" t="s">
        <v>10129</v>
      </c>
      <c r="D1185" t="s">
        <v>6598</v>
      </c>
      <c r="E1185" t="s">
        <v>10130</v>
      </c>
      <c r="F1185" t="s">
        <v>10131</v>
      </c>
      <c r="G1185" t="s">
        <v>6586</v>
      </c>
    </row>
    <row r="1186" spans="1:7">
      <c r="A1186" t="s">
        <v>6581</v>
      </c>
      <c r="B1186" s="1">
        <v>1185</v>
      </c>
      <c r="C1186" t="s">
        <v>10090</v>
      </c>
      <c r="D1186" t="s">
        <v>6598</v>
      </c>
      <c r="E1186" t="s">
        <v>10132</v>
      </c>
      <c r="F1186" t="s">
        <v>10133</v>
      </c>
      <c r="G1186" t="s">
        <v>6586</v>
      </c>
    </row>
    <row r="1187" spans="1:7">
      <c r="A1187" t="s">
        <v>6581</v>
      </c>
      <c r="B1187" s="1">
        <v>1186</v>
      </c>
      <c r="C1187" t="s">
        <v>10134</v>
      </c>
      <c r="D1187" t="s">
        <v>6598</v>
      </c>
      <c r="E1187" t="s">
        <v>10135</v>
      </c>
      <c r="F1187" t="s">
        <v>10136</v>
      </c>
      <c r="G1187" t="s">
        <v>6586</v>
      </c>
    </row>
    <row r="1188" spans="1:7">
      <c r="A1188" t="s">
        <v>6581</v>
      </c>
      <c r="B1188" s="1">
        <v>1187</v>
      </c>
      <c r="C1188" t="s">
        <v>10137</v>
      </c>
      <c r="D1188" t="s">
        <v>6598</v>
      </c>
      <c r="E1188" t="s">
        <v>10138</v>
      </c>
      <c r="F1188" t="s">
        <v>10139</v>
      </c>
      <c r="G1188" t="s">
        <v>6586</v>
      </c>
    </row>
    <row r="1189" spans="1:7">
      <c r="A1189" t="s">
        <v>6581</v>
      </c>
      <c r="B1189" s="1">
        <v>1188</v>
      </c>
      <c r="C1189" t="s">
        <v>10140</v>
      </c>
      <c r="D1189" t="s">
        <v>6598</v>
      </c>
      <c r="E1189" t="s">
        <v>10141</v>
      </c>
      <c r="F1189" t="s">
        <v>10142</v>
      </c>
      <c r="G1189" t="s">
        <v>6586</v>
      </c>
    </row>
    <row r="1190" spans="1:7">
      <c r="A1190" t="s">
        <v>6581</v>
      </c>
      <c r="B1190" s="1">
        <v>1189</v>
      </c>
      <c r="C1190" t="s">
        <v>10143</v>
      </c>
      <c r="D1190" t="s">
        <v>6598</v>
      </c>
      <c r="E1190" t="s">
        <v>10144</v>
      </c>
      <c r="F1190" t="s">
        <v>10145</v>
      </c>
      <c r="G1190" t="s">
        <v>6586</v>
      </c>
    </row>
    <row r="1191" spans="1:7">
      <c r="A1191" t="s">
        <v>6581</v>
      </c>
      <c r="B1191" s="1">
        <v>1190</v>
      </c>
      <c r="C1191" t="s">
        <v>10146</v>
      </c>
      <c r="D1191" t="s">
        <v>6598</v>
      </c>
      <c r="E1191" t="s">
        <v>10147</v>
      </c>
      <c r="F1191" t="s">
        <v>10148</v>
      </c>
      <c r="G1191" t="s">
        <v>6586</v>
      </c>
    </row>
    <row r="1192" spans="1:7">
      <c r="A1192" t="s">
        <v>6581</v>
      </c>
      <c r="B1192" s="1">
        <v>1191</v>
      </c>
      <c r="C1192" t="s">
        <v>10149</v>
      </c>
      <c r="D1192" t="s">
        <v>6598</v>
      </c>
      <c r="E1192" t="s">
        <v>10150</v>
      </c>
      <c r="F1192" t="s">
        <v>10151</v>
      </c>
      <c r="G1192" t="s">
        <v>6586</v>
      </c>
    </row>
    <row r="1193" spans="1:7">
      <c r="A1193" t="s">
        <v>6581</v>
      </c>
      <c r="B1193" s="1">
        <v>1192</v>
      </c>
      <c r="C1193" t="s">
        <v>10152</v>
      </c>
      <c r="D1193" t="s">
        <v>6598</v>
      </c>
      <c r="E1193" t="s">
        <v>10153</v>
      </c>
      <c r="F1193" t="s">
        <v>10154</v>
      </c>
      <c r="G1193" t="s">
        <v>6586</v>
      </c>
    </row>
    <row r="1194" spans="1:7">
      <c r="A1194" t="s">
        <v>6581</v>
      </c>
      <c r="B1194" s="1">
        <v>1193</v>
      </c>
      <c r="C1194" t="s">
        <v>10155</v>
      </c>
      <c r="D1194" t="s">
        <v>6598</v>
      </c>
      <c r="E1194" t="s">
        <v>10156</v>
      </c>
      <c r="F1194" t="s">
        <v>10157</v>
      </c>
      <c r="G1194" t="s">
        <v>6586</v>
      </c>
    </row>
    <row r="1195" spans="1:7">
      <c r="A1195" t="s">
        <v>6581</v>
      </c>
      <c r="B1195" s="1">
        <v>1194</v>
      </c>
      <c r="C1195" t="s">
        <v>10158</v>
      </c>
      <c r="D1195" t="s">
        <v>6598</v>
      </c>
      <c r="E1195" t="s">
        <v>10159</v>
      </c>
      <c r="F1195" t="s">
        <v>10160</v>
      </c>
      <c r="G1195" t="s">
        <v>6586</v>
      </c>
    </row>
    <row r="1196" spans="1:7">
      <c r="A1196" t="s">
        <v>6581</v>
      </c>
      <c r="B1196" s="1">
        <v>1195</v>
      </c>
      <c r="C1196" t="s">
        <v>10161</v>
      </c>
      <c r="D1196" t="s">
        <v>6598</v>
      </c>
      <c r="E1196" t="s">
        <v>10162</v>
      </c>
      <c r="F1196" t="s">
        <v>10163</v>
      </c>
      <c r="G1196" t="s">
        <v>6586</v>
      </c>
    </row>
    <row r="1197" spans="1:7">
      <c r="A1197" t="s">
        <v>6581</v>
      </c>
      <c r="B1197" s="1">
        <v>1196</v>
      </c>
      <c r="C1197" t="s">
        <v>10164</v>
      </c>
      <c r="D1197" t="s">
        <v>6598</v>
      </c>
      <c r="E1197" t="s">
        <v>10165</v>
      </c>
      <c r="F1197" t="s">
        <v>10166</v>
      </c>
      <c r="G1197" t="s">
        <v>6586</v>
      </c>
    </row>
    <row r="1198" spans="1:7">
      <c r="A1198" t="s">
        <v>6581</v>
      </c>
      <c r="B1198" s="1">
        <v>1197</v>
      </c>
      <c r="C1198" t="s">
        <v>10167</v>
      </c>
      <c r="D1198" t="s">
        <v>6598</v>
      </c>
      <c r="E1198" t="s">
        <v>10168</v>
      </c>
      <c r="F1198" t="s">
        <v>10169</v>
      </c>
      <c r="G1198" t="s">
        <v>6586</v>
      </c>
    </row>
    <row r="1199" spans="1:7">
      <c r="A1199" t="s">
        <v>6581</v>
      </c>
      <c r="B1199" s="1">
        <v>1198</v>
      </c>
      <c r="C1199" t="s">
        <v>10170</v>
      </c>
      <c r="D1199" t="s">
        <v>6598</v>
      </c>
      <c r="E1199" t="s">
        <v>10171</v>
      </c>
      <c r="F1199" t="s">
        <v>10172</v>
      </c>
      <c r="G1199" t="s">
        <v>6586</v>
      </c>
    </row>
    <row r="1200" spans="1:7">
      <c r="A1200" t="s">
        <v>6581</v>
      </c>
      <c r="B1200" s="1">
        <v>1199</v>
      </c>
      <c r="C1200" t="s">
        <v>10173</v>
      </c>
      <c r="D1200" t="s">
        <v>6598</v>
      </c>
      <c r="E1200" t="s">
        <v>10174</v>
      </c>
      <c r="F1200" t="s">
        <v>10175</v>
      </c>
      <c r="G1200" t="s">
        <v>6586</v>
      </c>
    </row>
    <row r="1201" spans="1:7">
      <c r="A1201" t="s">
        <v>6581</v>
      </c>
      <c r="B1201" s="1">
        <v>1200</v>
      </c>
      <c r="C1201" t="s">
        <v>10176</v>
      </c>
      <c r="D1201" t="s">
        <v>6598</v>
      </c>
      <c r="E1201" t="s">
        <v>10177</v>
      </c>
      <c r="F1201" t="s">
        <v>10178</v>
      </c>
      <c r="G1201" t="s">
        <v>6586</v>
      </c>
    </row>
    <row r="1202" spans="1:7">
      <c r="A1202" t="s">
        <v>6581</v>
      </c>
      <c r="B1202" s="1">
        <v>1201</v>
      </c>
      <c r="C1202" t="s">
        <v>10179</v>
      </c>
      <c r="D1202" t="s">
        <v>6598</v>
      </c>
      <c r="E1202" t="s">
        <v>10180</v>
      </c>
      <c r="F1202" t="s">
        <v>10181</v>
      </c>
      <c r="G1202" t="s">
        <v>6586</v>
      </c>
    </row>
    <row r="1203" spans="1:7">
      <c r="A1203" t="s">
        <v>6581</v>
      </c>
      <c r="B1203" s="1">
        <v>1202</v>
      </c>
      <c r="C1203" t="s">
        <v>10182</v>
      </c>
      <c r="D1203" t="s">
        <v>6598</v>
      </c>
      <c r="E1203" t="s">
        <v>10183</v>
      </c>
      <c r="F1203" t="s">
        <v>10184</v>
      </c>
      <c r="G1203" t="s">
        <v>6586</v>
      </c>
    </row>
    <row r="1204" spans="1:7">
      <c r="A1204" t="s">
        <v>6581</v>
      </c>
      <c r="B1204" s="1">
        <v>1203</v>
      </c>
      <c r="C1204" t="s">
        <v>10185</v>
      </c>
      <c r="D1204" t="s">
        <v>6598</v>
      </c>
      <c r="E1204" t="s">
        <v>10186</v>
      </c>
      <c r="F1204" t="s">
        <v>10187</v>
      </c>
      <c r="G1204" t="s">
        <v>6586</v>
      </c>
    </row>
    <row r="1205" spans="1:7">
      <c r="A1205" t="s">
        <v>6581</v>
      </c>
      <c r="B1205" s="1">
        <v>1204</v>
      </c>
      <c r="C1205" t="s">
        <v>8505</v>
      </c>
      <c r="D1205" t="s">
        <v>6654</v>
      </c>
      <c r="E1205" t="s">
        <v>10188</v>
      </c>
      <c r="F1205" t="s">
        <v>10189</v>
      </c>
      <c r="G1205" t="s">
        <v>6586</v>
      </c>
    </row>
    <row r="1206" spans="1:7">
      <c r="A1206" t="s">
        <v>6581</v>
      </c>
      <c r="B1206" s="1">
        <v>1205</v>
      </c>
      <c r="C1206" t="s">
        <v>10190</v>
      </c>
      <c r="D1206" t="s">
        <v>6609</v>
      </c>
      <c r="E1206" t="s">
        <v>10191</v>
      </c>
      <c r="F1206" t="s">
        <v>10192</v>
      </c>
      <c r="G1206" t="s">
        <v>6586</v>
      </c>
    </row>
    <row r="1207" spans="1:7">
      <c r="A1207" t="s">
        <v>6581</v>
      </c>
      <c r="B1207" s="1">
        <v>1206</v>
      </c>
      <c r="C1207" t="s">
        <v>10193</v>
      </c>
      <c r="D1207" t="s">
        <v>6598</v>
      </c>
      <c r="E1207" t="s">
        <v>10194</v>
      </c>
      <c r="F1207" t="s">
        <v>10195</v>
      </c>
      <c r="G1207" t="s">
        <v>6586</v>
      </c>
    </row>
    <row r="1208" spans="1:7">
      <c r="A1208" t="s">
        <v>6581</v>
      </c>
      <c r="B1208" s="1">
        <v>1207</v>
      </c>
      <c r="C1208" t="s">
        <v>10196</v>
      </c>
      <c r="D1208" t="s">
        <v>6598</v>
      </c>
      <c r="E1208" t="s">
        <v>10197</v>
      </c>
      <c r="F1208" t="s">
        <v>10198</v>
      </c>
      <c r="G1208" t="s">
        <v>6586</v>
      </c>
    </row>
    <row r="1209" spans="1:7">
      <c r="A1209" t="s">
        <v>6581</v>
      </c>
      <c r="B1209" s="1">
        <v>1208</v>
      </c>
      <c r="C1209" t="s">
        <v>10199</v>
      </c>
      <c r="D1209" t="s">
        <v>6598</v>
      </c>
      <c r="E1209" t="s">
        <v>10200</v>
      </c>
      <c r="F1209" t="s">
        <v>10201</v>
      </c>
      <c r="G1209" t="s">
        <v>6586</v>
      </c>
    </row>
    <row r="1210" spans="1:7">
      <c r="A1210" t="s">
        <v>6581</v>
      </c>
      <c r="B1210" s="1">
        <v>1209</v>
      </c>
      <c r="C1210" t="s">
        <v>10202</v>
      </c>
      <c r="D1210" t="s">
        <v>6598</v>
      </c>
      <c r="E1210" t="s">
        <v>10203</v>
      </c>
      <c r="F1210" t="s">
        <v>10204</v>
      </c>
      <c r="G1210" t="s">
        <v>6586</v>
      </c>
    </row>
    <row r="1211" spans="1:7">
      <c r="A1211" t="s">
        <v>6581</v>
      </c>
      <c r="B1211" s="1">
        <v>1210</v>
      </c>
      <c r="C1211" t="s">
        <v>10205</v>
      </c>
      <c r="D1211" t="s">
        <v>6598</v>
      </c>
      <c r="E1211" t="s">
        <v>10174</v>
      </c>
      <c r="F1211" t="s">
        <v>10206</v>
      </c>
      <c r="G1211" t="s">
        <v>6586</v>
      </c>
    </row>
    <row r="1212" spans="1:7">
      <c r="A1212" t="s">
        <v>6581</v>
      </c>
      <c r="B1212" s="1">
        <v>1211</v>
      </c>
      <c r="C1212" t="s">
        <v>10207</v>
      </c>
      <c r="D1212" t="s">
        <v>6598</v>
      </c>
      <c r="E1212" t="s">
        <v>10208</v>
      </c>
      <c r="F1212" t="s">
        <v>10209</v>
      </c>
      <c r="G1212" t="s">
        <v>6586</v>
      </c>
    </row>
    <row r="1213" spans="1:7">
      <c r="A1213" t="s">
        <v>6581</v>
      </c>
      <c r="B1213" s="1">
        <v>1212</v>
      </c>
      <c r="C1213" t="s">
        <v>10210</v>
      </c>
      <c r="D1213" t="s">
        <v>6598</v>
      </c>
      <c r="E1213" t="s">
        <v>10211</v>
      </c>
      <c r="F1213" t="s">
        <v>10212</v>
      </c>
      <c r="G1213" t="s">
        <v>6586</v>
      </c>
    </row>
    <row r="1214" spans="1:7">
      <c r="A1214" t="s">
        <v>6581</v>
      </c>
      <c r="B1214" s="1">
        <v>1213</v>
      </c>
      <c r="C1214" t="s">
        <v>10213</v>
      </c>
      <c r="D1214" t="s">
        <v>6598</v>
      </c>
      <c r="E1214" t="s">
        <v>10214</v>
      </c>
      <c r="F1214" t="s">
        <v>10215</v>
      </c>
      <c r="G1214" t="s">
        <v>6586</v>
      </c>
    </row>
    <row r="1215" spans="1:7">
      <c r="A1215" t="s">
        <v>6581</v>
      </c>
      <c r="B1215" s="1">
        <v>1214</v>
      </c>
      <c r="C1215" t="s">
        <v>10216</v>
      </c>
      <c r="D1215" t="s">
        <v>6598</v>
      </c>
      <c r="E1215" t="s">
        <v>10217</v>
      </c>
      <c r="F1215" t="s">
        <v>10218</v>
      </c>
      <c r="G1215" t="s">
        <v>6586</v>
      </c>
    </row>
    <row r="1216" spans="1:7">
      <c r="A1216" t="s">
        <v>6581</v>
      </c>
      <c r="B1216" s="1">
        <v>1215</v>
      </c>
      <c r="C1216" t="s">
        <v>10219</v>
      </c>
      <c r="D1216" t="s">
        <v>6598</v>
      </c>
      <c r="E1216" t="s">
        <v>10220</v>
      </c>
      <c r="F1216" t="s">
        <v>10221</v>
      </c>
      <c r="G1216" t="s">
        <v>6586</v>
      </c>
    </row>
    <row r="1217" spans="1:7">
      <c r="A1217" t="s">
        <v>6581</v>
      </c>
      <c r="B1217" s="1">
        <v>1216</v>
      </c>
      <c r="C1217" t="s">
        <v>10222</v>
      </c>
      <c r="D1217" t="s">
        <v>6598</v>
      </c>
      <c r="E1217" t="s">
        <v>10223</v>
      </c>
      <c r="F1217" t="s">
        <v>10224</v>
      </c>
      <c r="G1217" t="s">
        <v>6586</v>
      </c>
    </row>
    <row r="1218" spans="1:7">
      <c r="A1218" t="s">
        <v>6581</v>
      </c>
      <c r="B1218" s="1">
        <v>1217</v>
      </c>
      <c r="C1218" t="s">
        <v>10225</v>
      </c>
      <c r="D1218" t="s">
        <v>6598</v>
      </c>
      <c r="E1218" t="s">
        <v>10226</v>
      </c>
      <c r="F1218" t="s">
        <v>10227</v>
      </c>
      <c r="G1218" t="s">
        <v>6586</v>
      </c>
    </row>
    <row r="1219" spans="1:7">
      <c r="A1219" t="s">
        <v>6581</v>
      </c>
      <c r="B1219" s="1">
        <v>1218</v>
      </c>
      <c r="C1219" t="s">
        <v>10090</v>
      </c>
      <c r="D1219" t="s">
        <v>6598</v>
      </c>
      <c r="E1219" t="s">
        <v>10228</v>
      </c>
      <c r="F1219" t="s">
        <v>10229</v>
      </c>
      <c r="G1219" t="s">
        <v>6586</v>
      </c>
    </row>
    <row r="1220" spans="1:7">
      <c r="A1220" t="s">
        <v>6581</v>
      </c>
      <c r="B1220" s="1">
        <v>1219</v>
      </c>
      <c r="C1220" t="s">
        <v>10230</v>
      </c>
      <c r="D1220" t="s">
        <v>6598</v>
      </c>
      <c r="E1220" t="s">
        <v>10231</v>
      </c>
      <c r="F1220" t="s">
        <v>10232</v>
      </c>
      <c r="G1220" t="s">
        <v>6586</v>
      </c>
    </row>
    <row r="1221" spans="1:7">
      <c r="A1221" t="s">
        <v>6581</v>
      </c>
      <c r="B1221" s="1">
        <v>1220</v>
      </c>
      <c r="C1221" t="s">
        <v>10233</v>
      </c>
      <c r="D1221" t="s">
        <v>6598</v>
      </c>
      <c r="E1221" t="s">
        <v>10234</v>
      </c>
      <c r="F1221" t="s">
        <v>10235</v>
      </c>
      <c r="G1221" t="s">
        <v>6586</v>
      </c>
    </row>
    <row r="1222" spans="1:7">
      <c r="A1222" t="s">
        <v>6581</v>
      </c>
      <c r="B1222" s="1">
        <v>1221</v>
      </c>
      <c r="C1222" t="s">
        <v>10236</v>
      </c>
      <c r="D1222" t="s">
        <v>6598</v>
      </c>
      <c r="E1222" t="s">
        <v>10237</v>
      </c>
      <c r="F1222" t="s">
        <v>10238</v>
      </c>
      <c r="G1222" t="s">
        <v>6586</v>
      </c>
    </row>
    <row r="1223" spans="1:7">
      <c r="A1223" t="s">
        <v>6581</v>
      </c>
      <c r="B1223" s="1">
        <v>1222</v>
      </c>
      <c r="C1223" t="s">
        <v>10239</v>
      </c>
      <c r="D1223" t="s">
        <v>6598</v>
      </c>
      <c r="E1223" t="s">
        <v>10240</v>
      </c>
      <c r="F1223" t="s">
        <v>10241</v>
      </c>
      <c r="G1223" t="s">
        <v>6586</v>
      </c>
    </row>
    <row r="1224" spans="1:7">
      <c r="A1224" t="s">
        <v>6581</v>
      </c>
      <c r="B1224" s="1">
        <v>1223</v>
      </c>
      <c r="C1224" t="s">
        <v>10242</v>
      </c>
      <c r="D1224" t="s">
        <v>6598</v>
      </c>
      <c r="E1224" t="s">
        <v>10243</v>
      </c>
      <c r="F1224" t="s">
        <v>10244</v>
      </c>
      <c r="G1224" t="s">
        <v>6586</v>
      </c>
    </row>
    <row r="1225" spans="1:7">
      <c r="A1225" t="s">
        <v>6581</v>
      </c>
      <c r="B1225" s="1">
        <v>1224</v>
      </c>
      <c r="C1225" t="s">
        <v>10245</v>
      </c>
      <c r="D1225" t="s">
        <v>10246</v>
      </c>
      <c r="E1225" t="s">
        <v>10247</v>
      </c>
      <c r="F1225" t="s">
        <v>10248</v>
      </c>
      <c r="G1225" t="s">
        <v>6586</v>
      </c>
    </row>
    <row r="1226" spans="1:7">
      <c r="A1226" t="s">
        <v>6581</v>
      </c>
      <c r="B1226" s="1">
        <v>1225</v>
      </c>
      <c r="C1226" t="s">
        <v>10249</v>
      </c>
      <c r="D1226" t="s">
        <v>10246</v>
      </c>
      <c r="E1226" t="s">
        <v>10250</v>
      </c>
      <c r="F1226" t="s">
        <v>10251</v>
      </c>
      <c r="G1226" t="s">
        <v>6586</v>
      </c>
    </row>
    <row r="1227" spans="1:7">
      <c r="A1227" t="s">
        <v>6581</v>
      </c>
      <c r="B1227" s="1">
        <v>1226</v>
      </c>
      <c r="C1227" t="s">
        <v>10252</v>
      </c>
      <c r="D1227" t="s">
        <v>10246</v>
      </c>
      <c r="E1227" t="s">
        <v>10253</v>
      </c>
      <c r="F1227" t="s">
        <v>10254</v>
      </c>
      <c r="G1227" t="s">
        <v>6586</v>
      </c>
    </row>
    <row r="1228" spans="1:7">
      <c r="A1228" t="s">
        <v>6581</v>
      </c>
      <c r="B1228" s="1">
        <v>1227</v>
      </c>
      <c r="C1228" t="s">
        <v>10255</v>
      </c>
      <c r="D1228" t="s">
        <v>10246</v>
      </c>
      <c r="E1228" t="s">
        <v>10256</v>
      </c>
      <c r="F1228" t="s">
        <v>10257</v>
      </c>
      <c r="G1228" t="s">
        <v>6586</v>
      </c>
    </row>
    <row r="1229" spans="1:7">
      <c r="A1229" t="s">
        <v>6581</v>
      </c>
      <c r="B1229" s="1">
        <v>1228</v>
      </c>
      <c r="C1229" t="s">
        <v>10258</v>
      </c>
      <c r="D1229" t="s">
        <v>10246</v>
      </c>
      <c r="E1229" t="s">
        <v>10259</v>
      </c>
      <c r="F1229" t="s">
        <v>10260</v>
      </c>
      <c r="G1229" t="s">
        <v>6586</v>
      </c>
    </row>
    <row r="1230" spans="1:7">
      <c r="A1230" t="s">
        <v>6581</v>
      </c>
      <c r="B1230" s="1">
        <v>1229</v>
      </c>
      <c r="C1230" t="s">
        <v>10261</v>
      </c>
      <c r="D1230" t="s">
        <v>10246</v>
      </c>
      <c r="E1230" t="s">
        <v>10262</v>
      </c>
      <c r="F1230" t="s">
        <v>10263</v>
      </c>
      <c r="G1230" t="s">
        <v>6586</v>
      </c>
    </row>
    <row r="1231" spans="1:7">
      <c r="A1231" t="s">
        <v>6581</v>
      </c>
      <c r="B1231" s="1">
        <v>1230</v>
      </c>
      <c r="C1231" t="s">
        <v>10264</v>
      </c>
      <c r="D1231" t="s">
        <v>10246</v>
      </c>
      <c r="E1231" t="s">
        <v>10265</v>
      </c>
      <c r="F1231" t="s">
        <v>10266</v>
      </c>
      <c r="G1231" t="s">
        <v>6586</v>
      </c>
    </row>
    <row r="1232" spans="1:7">
      <c r="A1232" t="s">
        <v>6581</v>
      </c>
      <c r="B1232" s="1">
        <v>1231</v>
      </c>
      <c r="C1232" t="s">
        <v>10267</v>
      </c>
      <c r="D1232" t="s">
        <v>10246</v>
      </c>
      <c r="E1232" t="s">
        <v>10268</v>
      </c>
      <c r="F1232" t="s">
        <v>10269</v>
      </c>
      <c r="G1232" t="s">
        <v>6586</v>
      </c>
    </row>
    <row r="1233" spans="1:7">
      <c r="A1233" t="s">
        <v>6581</v>
      </c>
      <c r="B1233" s="1">
        <v>1232</v>
      </c>
      <c r="C1233" t="s">
        <v>10270</v>
      </c>
      <c r="D1233" t="s">
        <v>6598</v>
      </c>
      <c r="E1233" t="s">
        <v>10271</v>
      </c>
      <c r="F1233" t="s">
        <v>10272</v>
      </c>
      <c r="G1233" t="s">
        <v>6586</v>
      </c>
    </row>
    <row r="1234" spans="1:7">
      <c r="A1234" t="s">
        <v>6581</v>
      </c>
      <c r="B1234" s="1">
        <v>1233</v>
      </c>
      <c r="C1234" t="s">
        <v>10273</v>
      </c>
      <c r="D1234" t="s">
        <v>6598</v>
      </c>
      <c r="E1234" t="s">
        <v>10274</v>
      </c>
      <c r="F1234" t="s">
        <v>10275</v>
      </c>
      <c r="G1234" t="s">
        <v>6586</v>
      </c>
    </row>
    <row r="1235" spans="1:7">
      <c r="A1235" t="s">
        <v>6581</v>
      </c>
      <c r="B1235" s="1">
        <v>1234</v>
      </c>
      <c r="C1235" t="s">
        <v>10276</v>
      </c>
      <c r="D1235" t="s">
        <v>10246</v>
      </c>
      <c r="E1235" t="s">
        <v>10277</v>
      </c>
      <c r="F1235" t="s">
        <v>10278</v>
      </c>
      <c r="G1235" t="s">
        <v>6586</v>
      </c>
    </row>
    <row r="1236" spans="1:7">
      <c r="A1236" t="s">
        <v>6581</v>
      </c>
      <c r="B1236" s="1">
        <v>1235</v>
      </c>
      <c r="C1236" t="s">
        <v>10279</v>
      </c>
      <c r="D1236" t="s">
        <v>10246</v>
      </c>
      <c r="E1236" t="s">
        <v>10280</v>
      </c>
      <c r="F1236" t="s">
        <v>10281</v>
      </c>
      <c r="G1236" t="s">
        <v>6586</v>
      </c>
    </row>
    <row r="1237" spans="1:7">
      <c r="A1237" t="s">
        <v>6581</v>
      </c>
      <c r="B1237" s="1">
        <v>1236</v>
      </c>
      <c r="C1237" t="s">
        <v>10282</v>
      </c>
      <c r="D1237" t="s">
        <v>10246</v>
      </c>
      <c r="E1237" t="s">
        <v>10283</v>
      </c>
      <c r="F1237" t="s">
        <v>10284</v>
      </c>
      <c r="G1237" t="s">
        <v>6586</v>
      </c>
    </row>
    <row r="1238" spans="1:7">
      <c r="A1238" t="s">
        <v>6581</v>
      </c>
      <c r="B1238" s="1">
        <v>1237</v>
      </c>
      <c r="C1238" t="s">
        <v>10285</v>
      </c>
      <c r="D1238" t="s">
        <v>10246</v>
      </c>
      <c r="E1238" t="s">
        <v>10286</v>
      </c>
      <c r="F1238" t="s">
        <v>10287</v>
      </c>
      <c r="G1238" t="s">
        <v>6586</v>
      </c>
    </row>
    <row r="1239" spans="1:7">
      <c r="A1239" t="s">
        <v>6581</v>
      </c>
      <c r="B1239" s="1">
        <v>1238</v>
      </c>
      <c r="C1239" t="s">
        <v>10288</v>
      </c>
      <c r="D1239" t="s">
        <v>10246</v>
      </c>
      <c r="E1239" t="s">
        <v>10289</v>
      </c>
      <c r="F1239" t="s">
        <v>10290</v>
      </c>
      <c r="G1239" t="s">
        <v>6586</v>
      </c>
    </row>
    <row r="1240" spans="1:7">
      <c r="A1240" t="s">
        <v>6581</v>
      </c>
      <c r="B1240" s="1">
        <v>1239</v>
      </c>
      <c r="C1240" t="s">
        <v>10291</v>
      </c>
      <c r="D1240" t="s">
        <v>10246</v>
      </c>
      <c r="E1240" t="s">
        <v>10292</v>
      </c>
      <c r="F1240" t="s">
        <v>10293</v>
      </c>
      <c r="G1240" t="s">
        <v>6586</v>
      </c>
    </row>
    <row r="1241" spans="1:7">
      <c r="A1241" t="s">
        <v>6581</v>
      </c>
      <c r="B1241" s="1">
        <v>1240</v>
      </c>
      <c r="C1241" t="s">
        <v>10294</v>
      </c>
      <c r="D1241" t="s">
        <v>10246</v>
      </c>
      <c r="E1241" t="s">
        <v>10295</v>
      </c>
      <c r="F1241" t="s">
        <v>10296</v>
      </c>
      <c r="G1241" t="s">
        <v>6586</v>
      </c>
    </row>
    <row r="1242" spans="1:7">
      <c r="A1242" t="s">
        <v>6581</v>
      </c>
      <c r="B1242" s="1">
        <v>1241</v>
      </c>
      <c r="C1242" t="s">
        <v>10297</v>
      </c>
      <c r="D1242" t="s">
        <v>10246</v>
      </c>
      <c r="E1242" t="s">
        <v>10298</v>
      </c>
      <c r="F1242" t="s">
        <v>10299</v>
      </c>
      <c r="G1242" t="s">
        <v>6586</v>
      </c>
    </row>
    <row r="1243" spans="1:7">
      <c r="A1243" t="s">
        <v>6581</v>
      </c>
      <c r="B1243" s="1">
        <v>1242</v>
      </c>
      <c r="C1243" t="s">
        <v>10300</v>
      </c>
      <c r="D1243" t="s">
        <v>10246</v>
      </c>
      <c r="E1243" t="s">
        <v>10301</v>
      </c>
      <c r="F1243" t="s">
        <v>10302</v>
      </c>
      <c r="G1243" t="s">
        <v>6586</v>
      </c>
    </row>
    <row r="1244" spans="1:7">
      <c r="A1244" t="s">
        <v>6581</v>
      </c>
      <c r="B1244" s="1">
        <v>1243</v>
      </c>
      <c r="C1244" t="s">
        <v>10303</v>
      </c>
      <c r="D1244" t="s">
        <v>10246</v>
      </c>
      <c r="E1244" t="s">
        <v>10304</v>
      </c>
      <c r="F1244" t="s">
        <v>10305</v>
      </c>
      <c r="G1244" t="s">
        <v>6586</v>
      </c>
    </row>
    <row r="1245" spans="1:7">
      <c r="A1245" t="s">
        <v>6581</v>
      </c>
      <c r="B1245" s="1">
        <v>1244</v>
      </c>
      <c r="C1245" t="s">
        <v>10306</v>
      </c>
      <c r="D1245" t="s">
        <v>10246</v>
      </c>
      <c r="E1245" t="s">
        <v>10307</v>
      </c>
      <c r="F1245" t="s">
        <v>10308</v>
      </c>
      <c r="G1245" t="s">
        <v>6586</v>
      </c>
    </row>
    <row r="1246" spans="1:7">
      <c r="A1246" t="s">
        <v>6581</v>
      </c>
      <c r="B1246" s="1">
        <v>1245</v>
      </c>
      <c r="C1246" t="s">
        <v>10309</v>
      </c>
      <c r="D1246" t="s">
        <v>10246</v>
      </c>
      <c r="E1246" t="s">
        <v>10310</v>
      </c>
      <c r="F1246" t="s">
        <v>10311</v>
      </c>
      <c r="G1246" t="s">
        <v>6586</v>
      </c>
    </row>
    <row r="1247" spans="1:7">
      <c r="A1247" t="s">
        <v>6581</v>
      </c>
      <c r="B1247" s="1">
        <v>1246</v>
      </c>
      <c r="C1247" t="s">
        <v>10312</v>
      </c>
      <c r="D1247" t="s">
        <v>10246</v>
      </c>
      <c r="E1247" t="s">
        <v>10313</v>
      </c>
      <c r="F1247" t="s">
        <v>10314</v>
      </c>
      <c r="G1247" t="s">
        <v>6586</v>
      </c>
    </row>
    <row r="1248" spans="1:7">
      <c r="A1248" t="s">
        <v>6581</v>
      </c>
      <c r="B1248" s="1">
        <v>1247</v>
      </c>
      <c r="C1248" t="s">
        <v>10315</v>
      </c>
      <c r="D1248" t="s">
        <v>10246</v>
      </c>
      <c r="E1248" t="s">
        <v>10316</v>
      </c>
      <c r="F1248" t="s">
        <v>10317</v>
      </c>
      <c r="G1248" t="s">
        <v>6586</v>
      </c>
    </row>
    <row r="1249" spans="1:7">
      <c r="A1249" t="s">
        <v>6581</v>
      </c>
      <c r="B1249" s="1">
        <v>1248</v>
      </c>
      <c r="C1249" t="s">
        <v>10318</v>
      </c>
      <c r="D1249" t="s">
        <v>10246</v>
      </c>
      <c r="E1249" t="s">
        <v>10319</v>
      </c>
      <c r="F1249" t="s">
        <v>10320</v>
      </c>
      <c r="G1249" t="s">
        <v>6586</v>
      </c>
    </row>
    <row r="1250" spans="1:7">
      <c r="A1250" t="s">
        <v>6581</v>
      </c>
      <c r="B1250" s="1">
        <v>1249</v>
      </c>
      <c r="C1250" t="s">
        <v>10321</v>
      </c>
      <c r="D1250" t="s">
        <v>10246</v>
      </c>
      <c r="E1250" t="s">
        <v>10322</v>
      </c>
      <c r="F1250" t="s">
        <v>10323</v>
      </c>
      <c r="G1250" t="s">
        <v>6586</v>
      </c>
    </row>
    <row r="1251" spans="1:7">
      <c r="A1251" t="s">
        <v>6581</v>
      </c>
      <c r="B1251" s="1">
        <v>1250</v>
      </c>
      <c r="C1251" t="s">
        <v>10324</v>
      </c>
      <c r="D1251" t="s">
        <v>10246</v>
      </c>
      <c r="E1251" t="s">
        <v>10325</v>
      </c>
      <c r="F1251" t="s">
        <v>10326</v>
      </c>
      <c r="G1251" t="s">
        <v>6586</v>
      </c>
    </row>
    <row r="1252" spans="1:7">
      <c r="A1252" t="s">
        <v>6581</v>
      </c>
      <c r="B1252" s="1">
        <v>1251</v>
      </c>
      <c r="C1252" t="s">
        <v>10327</v>
      </c>
      <c r="D1252" t="s">
        <v>10246</v>
      </c>
      <c r="E1252" t="s">
        <v>10328</v>
      </c>
      <c r="F1252" t="s">
        <v>10329</v>
      </c>
      <c r="G1252" t="s">
        <v>6586</v>
      </c>
    </row>
    <row r="1253" spans="1:7">
      <c r="A1253" t="s">
        <v>6581</v>
      </c>
      <c r="B1253" s="1">
        <v>1252</v>
      </c>
      <c r="C1253" t="s">
        <v>10330</v>
      </c>
      <c r="D1253" t="s">
        <v>10246</v>
      </c>
      <c r="E1253" t="s">
        <v>10331</v>
      </c>
      <c r="F1253" t="s">
        <v>10332</v>
      </c>
      <c r="G1253" t="s">
        <v>6586</v>
      </c>
    </row>
    <row r="1254" spans="1:7">
      <c r="A1254" t="s">
        <v>6581</v>
      </c>
      <c r="B1254" s="1">
        <v>1253</v>
      </c>
      <c r="C1254" t="s">
        <v>10333</v>
      </c>
      <c r="D1254" t="s">
        <v>10246</v>
      </c>
      <c r="E1254" t="s">
        <v>10334</v>
      </c>
      <c r="F1254" t="s">
        <v>10335</v>
      </c>
      <c r="G1254" t="s">
        <v>6586</v>
      </c>
    </row>
    <row r="1255" spans="1:7">
      <c r="A1255" t="s">
        <v>6581</v>
      </c>
      <c r="B1255" s="1">
        <v>1254</v>
      </c>
      <c r="C1255" t="s">
        <v>10336</v>
      </c>
      <c r="D1255" t="s">
        <v>6598</v>
      </c>
      <c r="E1255" t="s">
        <v>10337</v>
      </c>
      <c r="F1255" t="s">
        <v>10338</v>
      </c>
      <c r="G1255" t="s">
        <v>6586</v>
      </c>
    </row>
    <row r="1256" spans="1:7">
      <c r="A1256" t="s">
        <v>6581</v>
      </c>
      <c r="B1256" s="1">
        <v>1255</v>
      </c>
      <c r="C1256" t="s">
        <v>10339</v>
      </c>
      <c r="D1256" t="s">
        <v>6605</v>
      </c>
      <c r="E1256" t="s">
        <v>10340</v>
      </c>
      <c r="F1256" t="s">
        <v>10341</v>
      </c>
      <c r="G1256" t="s">
        <v>6586</v>
      </c>
    </row>
    <row r="1257" spans="1:7">
      <c r="A1257" t="s">
        <v>6581</v>
      </c>
      <c r="B1257" s="1">
        <v>1256</v>
      </c>
      <c r="C1257" t="s">
        <v>10342</v>
      </c>
      <c r="D1257" t="s">
        <v>6705</v>
      </c>
      <c r="E1257" t="s">
        <v>10343</v>
      </c>
      <c r="F1257" t="s">
        <v>10344</v>
      </c>
      <c r="G1257" t="s">
        <v>6586</v>
      </c>
    </row>
    <row r="1258" spans="1:7">
      <c r="A1258" t="s">
        <v>6581</v>
      </c>
      <c r="B1258" s="1">
        <v>1257</v>
      </c>
      <c r="C1258" t="s">
        <v>10345</v>
      </c>
      <c r="D1258" t="s">
        <v>6598</v>
      </c>
      <c r="E1258" t="s">
        <v>10346</v>
      </c>
      <c r="F1258" t="s">
        <v>10347</v>
      </c>
      <c r="G1258" t="s">
        <v>6586</v>
      </c>
    </row>
    <row r="1259" spans="1:7">
      <c r="A1259" t="s">
        <v>6581</v>
      </c>
      <c r="B1259" s="1">
        <v>1258</v>
      </c>
      <c r="C1259" t="s">
        <v>10348</v>
      </c>
      <c r="D1259" t="s">
        <v>6598</v>
      </c>
      <c r="E1259" t="s">
        <v>10349</v>
      </c>
      <c r="F1259" t="s">
        <v>10350</v>
      </c>
      <c r="G1259" t="s">
        <v>6586</v>
      </c>
    </row>
    <row r="1260" spans="1:7">
      <c r="A1260" t="s">
        <v>6581</v>
      </c>
      <c r="B1260" s="1">
        <v>1259</v>
      </c>
      <c r="C1260" t="s">
        <v>10351</v>
      </c>
      <c r="D1260" t="s">
        <v>6598</v>
      </c>
      <c r="E1260" t="s">
        <v>10352</v>
      </c>
      <c r="F1260" t="s">
        <v>10353</v>
      </c>
      <c r="G1260" t="s">
        <v>6586</v>
      </c>
    </row>
    <row r="1261" spans="1:7">
      <c r="A1261" t="s">
        <v>6581</v>
      </c>
      <c r="B1261" s="1">
        <v>1260</v>
      </c>
      <c r="C1261" t="s">
        <v>10354</v>
      </c>
      <c r="D1261" t="s">
        <v>6598</v>
      </c>
      <c r="E1261" t="s">
        <v>10355</v>
      </c>
      <c r="F1261" t="s">
        <v>10356</v>
      </c>
      <c r="G1261" t="s">
        <v>6586</v>
      </c>
    </row>
    <row r="1262" spans="1:7">
      <c r="A1262" t="s">
        <v>6581</v>
      </c>
      <c r="B1262" s="1">
        <v>1261</v>
      </c>
      <c r="C1262" t="s">
        <v>10357</v>
      </c>
      <c r="D1262" t="s">
        <v>6598</v>
      </c>
      <c r="E1262" t="s">
        <v>10358</v>
      </c>
      <c r="F1262" t="s">
        <v>10359</v>
      </c>
      <c r="G1262" t="s">
        <v>6586</v>
      </c>
    </row>
    <row r="1263" spans="1:7">
      <c r="A1263" t="s">
        <v>6581</v>
      </c>
      <c r="B1263" s="1">
        <v>1262</v>
      </c>
      <c r="C1263" t="s">
        <v>10360</v>
      </c>
      <c r="D1263" t="s">
        <v>6705</v>
      </c>
      <c r="E1263" t="s">
        <v>10361</v>
      </c>
      <c r="F1263" t="s">
        <v>10362</v>
      </c>
      <c r="G1263" t="s">
        <v>6586</v>
      </c>
    </row>
    <row r="1264" spans="1:7">
      <c r="A1264" t="s">
        <v>6581</v>
      </c>
      <c r="B1264" s="1">
        <v>1263</v>
      </c>
      <c r="C1264" t="s">
        <v>10363</v>
      </c>
      <c r="D1264" t="s">
        <v>6598</v>
      </c>
      <c r="E1264" t="s">
        <v>10364</v>
      </c>
      <c r="F1264" t="s">
        <v>10365</v>
      </c>
      <c r="G1264" t="s">
        <v>6586</v>
      </c>
    </row>
    <row r="1265" spans="1:7">
      <c r="A1265" t="s">
        <v>6581</v>
      </c>
      <c r="B1265" s="1">
        <v>1264</v>
      </c>
      <c r="C1265" t="s">
        <v>10366</v>
      </c>
      <c r="D1265" t="s">
        <v>6598</v>
      </c>
      <c r="E1265" t="s">
        <v>10367</v>
      </c>
      <c r="F1265" t="s">
        <v>10368</v>
      </c>
      <c r="G1265" t="s">
        <v>6586</v>
      </c>
    </row>
    <row r="1266" spans="1:7">
      <c r="A1266" t="s">
        <v>6581</v>
      </c>
      <c r="B1266" s="1">
        <v>1265</v>
      </c>
      <c r="C1266" t="s">
        <v>10369</v>
      </c>
      <c r="D1266" t="s">
        <v>10246</v>
      </c>
      <c r="E1266" t="s">
        <v>10370</v>
      </c>
      <c r="F1266" t="s">
        <v>10371</v>
      </c>
      <c r="G1266" t="s">
        <v>6586</v>
      </c>
    </row>
    <row r="1267" spans="1:7">
      <c r="A1267" t="s">
        <v>6581</v>
      </c>
      <c r="B1267" s="1">
        <v>1266</v>
      </c>
      <c r="C1267" t="s">
        <v>10372</v>
      </c>
      <c r="D1267" t="s">
        <v>10246</v>
      </c>
      <c r="E1267" t="s">
        <v>10373</v>
      </c>
      <c r="F1267" t="s">
        <v>10374</v>
      </c>
      <c r="G1267" t="s">
        <v>6586</v>
      </c>
    </row>
    <row r="1268" spans="1:7">
      <c r="A1268" t="s">
        <v>6581</v>
      </c>
      <c r="B1268" s="1">
        <v>1267</v>
      </c>
      <c r="C1268" t="s">
        <v>10375</v>
      </c>
      <c r="D1268" t="s">
        <v>10246</v>
      </c>
      <c r="E1268" t="s">
        <v>10376</v>
      </c>
      <c r="F1268" t="s">
        <v>10377</v>
      </c>
      <c r="G1268" t="s">
        <v>6586</v>
      </c>
    </row>
    <row r="1269" spans="1:7">
      <c r="A1269" t="s">
        <v>6581</v>
      </c>
      <c r="B1269" s="1">
        <v>1268</v>
      </c>
      <c r="C1269" t="s">
        <v>10378</v>
      </c>
      <c r="D1269" t="s">
        <v>10246</v>
      </c>
      <c r="E1269" t="s">
        <v>10379</v>
      </c>
      <c r="F1269" t="s">
        <v>10380</v>
      </c>
      <c r="G1269" t="s">
        <v>6586</v>
      </c>
    </row>
    <row r="1270" spans="1:7">
      <c r="A1270" t="s">
        <v>6581</v>
      </c>
      <c r="B1270" s="1">
        <v>1269</v>
      </c>
      <c r="C1270" t="s">
        <v>10381</v>
      </c>
      <c r="D1270" t="s">
        <v>10246</v>
      </c>
      <c r="E1270" t="s">
        <v>10382</v>
      </c>
      <c r="F1270" t="s">
        <v>10383</v>
      </c>
      <c r="G1270" t="s">
        <v>6586</v>
      </c>
    </row>
    <row r="1271" spans="1:7">
      <c r="A1271" t="s">
        <v>6581</v>
      </c>
      <c r="B1271" s="1">
        <v>1270</v>
      </c>
      <c r="C1271" t="s">
        <v>10384</v>
      </c>
      <c r="D1271" t="s">
        <v>6605</v>
      </c>
      <c r="E1271" t="s">
        <v>10385</v>
      </c>
      <c r="F1271" t="s">
        <v>10386</v>
      </c>
      <c r="G1271" t="s">
        <v>6586</v>
      </c>
    </row>
    <row r="1272" spans="1:7">
      <c r="A1272" t="s">
        <v>6581</v>
      </c>
      <c r="B1272" s="1">
        <v>1271</v>
      </c>
      <c r="C1272" t="s">
        <v>10387</v>
      </c>
      <c r="D1272" t="s">
        <v>10246</v>
      </c>
      <c r="E1272" t="s">
        <v>10388</v>
      </c>
      <c r="F1272" t="s">
        <v>10389</v>
      </c>
      <c r="G1272" t="s">
        <v>6586</v>
      </c>
    </row>
    <row r="1273" spans="1:7">
      <c r="A1273" t="s">
        <v>6581</v>
      </c>
      <c r="B1273" s="1">
        <v>1272</v>
      </c>
      <c r="C1273" t="s">
        <v>10390</v>
      </c>
      <c r="D1273" t="s">
        <v>6605</v>
      </c>
      <c r="E1273" t="s">
        <v>10391</v>
      </c>
      <c r="F1273" t="s">
        <v>10392</v>
      </c>
      <c r="G1273" t="s">
        <v>6586</v>
      </c>
    </row>
    <row r="1274" spans="1:7">
      <c r="A1274" t="s">
        <v>6581</v>
      </c>
      <c r="B1274" s="1">
        <v>1273</v>
      </c>
      <c r="C1274" t="s">
        <v>10393</v>
      </c>
      <c r="D1274" t="s">
        <v>10246</v>
      </c>
      <c r="E1274" t="s">
        <v>10394</v>
      </c>
      <c r="F1274" t="s">
        <v>10395</v>
      </c>
      <c r="G1274" t="s">
        <v>6586</v>
      </c>
    </row>
    <row r="1275" spans="1:7">
      <c r="A1275" t="s">
        <v>6581</v>
      </c>
      <c r="B1275" s="1">
        <v>1274</v>
      </c>
      <c r="C1275" t="s">
        <v>10396</v>
      </c>
      <c r="D1275" t="s">
        <v>6598</v>
      </c>
      <c r="E1275" t="s">
        <v>10397</v>
      </c>
      <c r="F1275" t="s">
        <v>10398</v>
      </c>
      <c r="G1275" t="s">
        <v>6586</v>
      </c>
    </row>
    <row r="1276" spans="1:7">
      <c r="A1276" t="s">
        <v>6581</v>
      </c>
      <c r="B1276" s="1">
        <v>1275</v>
      </c>
      <c r="C1276" t="s">
        <v>10399</v>
      </c>
      <c r="D1276" t="s">
        <v>10246</v>
      </c>
      <c r="E1276" t="s">
        <v>10400</v>
      </c>
      <c r="F1276" t="s">
        <v>10401</v>
      </c>
      <c r="G1276" t="s">
        <v>6586</v>
      </c>
    </row>
    <row r="1277" spans="1:7">
      <c r="A1277" t="s">
        <v>6581</v>
      </c>
      <c r="B1277" s="1">
        <v>1276</v>
      </c>
      <c r="C1277" t="s">
        <v>10402</v>
      </c>
      <c r="D1277" t="s">
        <v>6598</v>
      </c>
      <c r="E1277" t="s">
        <v>10403</v>
      </c>
      <c r="F1277" t="s">
        <v>10404</v>
      </c>
      <c r="G1277" t="s">
        <v>6586</v>
      </c>
    </row>
    <row r="1278" spans="1:7">
      <c r="A1278" t="s">
        <v>6581</v>
      </c>
      <c r="B1278" s="1">
        <v>1277</v>
      </c>
      <c r="C1278" t="s">
        <v>10405</v>
      </c>
      <c r="D1278" t="s">
        <v>6609</v>
      </c>
      <c r="E1278" t="s">
        <v>10406</v>
      </c>
      <c r="F1278" t="s">
        <v>10407</v>
      </c>
      <c r="G1278" t="s">
        <v>6586</v>
      </c>
    </row>
    <row r="1279" spans="1:7">
      <c r="A1279" t="s">
        <v>6581</v>
      </c>
      <c r="B1279" s="1">
        <v>1278</v>
      </c>
      <c r="C1279" t="s">
        <v>10312</v>
      </c>
      <c r="D1279" t="s">
        <v>6598</v>
      </c>
      <c r="E1279" t="s">
        <v>10408</v>
      </c>
      <c r="F1279" t="s">
        <v>10409</v>
      </c>
      <c r="G1279" t="s">
        <v>6586</v>
      </c>
    </row>
    <row r="1280" spans="1:7">
      <c r="A1280" t="s">
        <v>6581</v>
      </c>
      <c r="B1280" s="1">
        <v>1279</v>
      </c>
      <c r="C1280" t="s">
        <v>10410</v>
      </c>
      <c r="D1280" t="s">
        <v>6654</v>
      </c>
      <c r="E1280" t="s">
        <v>10411</v>
      </c>
      <c r="F1280" t="s">
        <v>10412</v>
      </c>
      <c r="G1280" t="s">
        <v>6586</v>
      </c>
    </row>
    <row r="1281" spans="1:7">
      <c r="A1281" t="s">
        <v>6581</v>
      </c>
      <c r="B1281" s="1">
        <v>1280</v>
      </c>
      <c r="C1281" t="s">
        <v>10413</v>
      </c>
      <c r="D1281" t="s">
        <v>10246</v>
      </c>
      <c r="E1281" t="s">
        <v>10414</v>
      </c>
      <c r="F1281" t="s">
        <v>10415</v>
      </c>
      <c r="G1281" t="s">
        <v>6586</v>
      </c>
    </row>
    <row r="1282" spans="1:7">
      <c r="A1282" t="s">
        <v>6581</v>
      </c>
      <c r="B1282" s="1">
        <v>1281</v>
      </c>
      <c r="C1282" t="s">
        <v>10416</v>
      </c>
      <c r="D1282" t="s">
        <v>6609</v>
      </c>
      <c r="E1282" t="s">
        <v>10417</v>
      </c>
      <c r="F1282" t="s">
        <v>10418</v>
      </c>
      <c r="G1282" t="s">
        <v>6586</v>
      </c>
    </row>
    <row r="1283" spans="1:7">
      <c r="A1283" t="s">
        <v>6581</v>
      </c>
      <c r="B1283" s="1">
        <v>1282</v>
      </c>
      <c r="C1283" t="s">
        <v>10419</v>
      </c>
      <c r="D1283" t="s">
        <v>6598</v>
      </c>
      <c r="E1283" t="s">
        <v>10420</v>
      </c>
      <c r="F1283" t="s">
        <v>10421</v>
      </c>
      <c r="G1283" t="s">
        <v>6586</v>
      </c>
    </row>
    <row r="1284" spans="1:7">
      <c r="A1284" t="s">
        <v>6581</v>
      </c>
      <c r="B1284" s="1">
        <v>1283</v>
      </c>
      <c r="C1284" t="s">
        <v>10422</v>
      </c>
      <c r="D1284" t="s">
        <v>10246</v>
      </c>
      <c r="E1284" t="s">
        <v>10423</v>
      </c>
      <c r="F1284" t="s">
        <v>10424</v>
      </c>
      <c r="G1284" t="s">
        <v>6586</v>
      </c>
    </row>
    <row r="1285" spans="1:7">
      <c r="A1285" t="s">
        <v>6581</v>
      </c>
      <c r="B1285" s="1">
        <v>1284</v>
      </c>
      <c r="C1285" t="s">
        <v>10425</v>
      </c>
      <c r="D1285" t="s">
        <v>6654</v>
      </c>
      <c r="E1285" t="s">
        <v>10426</v>
      </c>
      <c r="F1285" t="s">
        <v>10427</v>
      </c>
      <c r="G1285" t="s">
        <v>6586</v>
      </c>
    </row>
    <row r="1286" spans="1:7">
      <c r="A1286" t="s">
        <v>6581</v>
      </c>
      <c r="B1286" s="1">
        <v>1285</v>
      </c>
      <c r="C1286" t="s">
        <v>10428</v>
      </c>
      <c r="D1286" t="s">
        <v>6598</v>
      </c>
      <c r="E1286" t="s">
        <v>10429</v>
      </c>
      <c r="F1286" t="s">
        <v>10430</v>
      </c>
      <c r="G1286" t="s">
        <v>6586</v>
      </c>
    </row>
    <row r="1287" spans="1:7">
      <c r="A1287" t="s">
        <v>6581</v>
      </c>
      <c r="B1287" s="1">
        <v>1286</v>
      </c>
      <c r="C1287" t="s">
        <v>10431</v>
      </c>
      <c r="D1287" t="s">
        <v>6598</v>
      </c>
      <c r="E1287" t="s">
        <v>10432</v>
      </c>
      <c r="F1287" t="s">
        <v>10433</v>
      </c>
      <c r="G1287" t="s">
        <v>6586</v>
      </c>
    </row>
    <row r="1288" spans="1:7">
      <c r="A1288" t="s">
        <v>6581</v>
      </c>
      <c r="B1288" s="1">
        <v>1287</v>
      </c>
      <c r="C1288" t="s">
        <v>10434</v>
      </c>
      <c r="D1288" t="s">
        <v>10246</v>
      </c>
      <c r="E1288" t="s">
        <v>10435</v>
      </c>
      <c r="F1288" t="s">
        <v>10436</v>
      </c>
      <c r="G1288" t="s">
        <v>6586</v>
      </c>
    </row>
    <row r="1289" spans="1:7">
      <c r="A1289" t="s">
        <v>6581</v>
      </c>
      <c r="B1289" s="1">
        <v>1288</v>
      </c>
      <c r="C1289" t="s">
        <v>10437</v>
      </c>
      <c r="D1289" t="s">
        <v>10246</v>
      </c>
      <c r="E1289" t="s">
        <v>10438</v>
      </c>
      <c r="F1289" t="s">
        <v>10439</v>
      </c>
      <c r="G1289" t="s">
        <v>6586</v>
      </c>
    </row>
    <row r="1290" spans="1:7">
      <c r="A1290" t="s">
        <v>6581</v>
      </c>
      <c r="B1290" s="1">
        <v>1289</v>
      </c>
      <c r="C1290" t="s">
        <v>10440</v>
      </c>
      <c r="D1290" t="s">
        <v>10246</v>
      </c>
      <c r="E1290" t="s">
        <v>10441</v>
      </c>
      <c r="F1290" t="s">
        <v>10442</v>
      </c>
      <c r="G1290" t="s">
        <v>6586</v>
      </c>
    </row>
    <row r="1291" spans="1:7">
      <c r="A1291" t="s">
        <v>6581</v>
      </c>
      <c r="B1291" s="1">
        <v>1290</v>
      </c>
      <c r="C1291" t="s">
        <v>10443</v>
      </c>
      <c r="D1291" t="s">
        <v>6654</v>
      </c>
      <c r="E1291" t="s">
        <v>10444</v>
      </c>
      <c r="F1291" t="s">
        <v>10445</v>
      </c>
      <c r="G1291" t="s">
        <v>6586</v>
      </c>
    </row>
    <row r="1292" spans="1:7">
      <c r="A1292" t="s">
        <v>6581</v>
      </c>
      <c r="B1292" s="1">
        <v>1291</v>
      </c>
      <c r="C1292" t="s">
        <v>10446</v>
      </c>
      <c r="D1292" t="s">
        <v>10246</v>
      </c>
      <c r="E1292" t="s">
        <v>10447</v>
      </c>
      <c r="F1292" t="s">
        <v>10448</v>
      </c>
      <c r="G1292" t="s">
        <v>6586</v>
      </c>
    </row>
    <row r="1293" spans="1:7">
      <c r="A1293" t="s">
        <v>6581</v>
      </c>
      <c r="B1293" s="1">
        <v>1292</v>
      </c>
      <c r="C1293" t="s">
        <v>10449</v>
      </c>
      <c r="D1293" t="s">
        <v>6605</v>
      </c>
      <c r="E1293" t="s">
        <v>10450</v>
      </c>
      <c r="F1293" t="s">
        <v>10451</v>
      </c>
      <c r="G1293" t="s">
        <v>6586</v>
      </c>
    </row>
    <row r="1294" spans="1:7">
      <c r="A1294" t="s">
        <v>6581</v>
      </c>
      <c r="B1294" s="1">
        <v>1293</v>
      </c>
      <c r="C1294" t="s">
        <v>10452</v>
      </c>
      <c r="D1294" t="s">
        <v>10246</v>
      </c>
      <c r="E1294" t="s">
        <v>10453</v>
      </c>
      <c r="F1294" t="s">
        <v>10454</v>
      </c>
      <c r="G1294" t="s">
        <v>6586</v>
      </c>
    </row>
    <row r="1295" spans="1:7">
      <c r="A1295" t="s">
        <v>6581</v>
      </c>
      <c r="B1295" s="1">
        <v>1294</v>
      </c>
      <c r="C1295" t="s">
        <v>10455</v>
      </c>
      <c r="D1295" t="s">
        <v>10246</v>
      </c>
      <c r="E1295" t="s">
        <v>10456</v>
      </c>
      <c r="F1295" t="s">
        <v>10457</v>
      </c>
      <c r="G1295" t="s">
        <v>6586</v>
      </c>
    </row>
    <row r="1296" spans="1:7">
      <c r="A1296" t="s">
        <v>6581</v>
      </c>
      <c r="B1296" s="1">
        <v>1295</v>
      </c>
      <c r="C1296" t="s">
        <v>10458</v>
      </c>
      <c r="D1296" t="s">
        <v>10246</v>
      </c>
      <c r="E1296" t="s">
        <v>10459</v>
      </c>
      <c r="F1296" t="s">
        <v>10460</v>
      </c>
      <c r="G1296" t="s">
        <v>6586</v>
      </c>
    </row>
    <row r="1297" spans="1:7">
      <c r="A1297" t="s">
        <v>6581</v>
      </c>
      <c r="B1297" s="1">
        <v>1296</v>
      </c>
      <c r="C1297" t="s">
        <v>10461</v>
      </c>
      <c r="D1297" t="s">
        <v>10246</v>
      </c>
      <c r="E1297" t="s">
        <v>10462</v>
      </c>
      <c r="F1297" t="s">
        <v>10463</v>
      </c>
      <c r="G1297" t="s">
        <v>6586</v>
      </c>
    </row>
    <row r="1298" spans="1:7">
      <c r="A1298" t="s">
        <v>6581</v>
      </c>
      <c r="B1298" s="1">
        <v>1297</v>
      </c>
      <c r="C1298" t="s">
        <v>10464</v>
      </c>
      <c r="D1298" t="s">
        <v>10246</v>
      </c>
      <c r="E1298" t="s">
        <v>10465</v>
      </c>
      <c r="F1298" t="s">
        <v>10466</v>
      </c>
      <c r="G1298" t="s">
        <v>6586</v>
      </c>
    </row>
    <row r="1299" spans="1:7">
      <c r="A1299" t="s">
        <v>6581</v>
      </c>
      <c r="B1299" s="1">
        <v>1298</v>
      </c>
      <c r="C1299" t="s">
        <v>10467</v>
      </c>
      <c r="D1299" t="s">
        <v>6695</v>
      </c>
      <c r="E1299" t="s">
        <v>10468</v>
      </c>
      <c r="F1299" t="s">
        <v>10469</v>
      </c>
      <c r="G1299" t="s">
        <v>6586</v>
      </c>
    </row>
    <row r="1300" spans="1:7">
      <c r="A1300" t="s">
        <v>6581</v>
      </c>
      <c r="B1300" s="1">
        <v>1299</v>
      </c>
      <c r="C1300" t="s">
        <v>10470</v>
      </c>
      <c r="D1300" t="s">
        <v>10246</v>
      </c>
      <c r="E1300" t="s">
        <v>10471</v>
      </c>
      <c r="F1300" t="s">
        <v>10472</v>
      </c>
      <c r="G1300" t="s">
        <v>6586</v>
      </c>
    </row>
    <row r="1301" spans="1:7">
      <c r="A1301" t="s">
        <v>6581</v>
      </c>
      <c r="B1301" s="1">
        <v>1300</v>
      </c>
      <c r="C1301" t="s">
        <v>10473</v>
      </c>
      <c r="D1301" t="s">
        <v>6654</v>
      </c>
      <c r="E1301" t="s">
        <v>10474</v>
      </c>
      <c r="F1301" t="s">
        <v>10475</v>
      </c>
      <c r="G1301" t="s">
        <v>6586</v>
      </c>
    </row>
    <row r="1302" spans="1:7">
      <c r="A1302" t="s">
        <v>6581</v>
      </c>
      <c r="B1302" s="1">
        <v>1301</v>
      </c>
      <c r="C1302" t="s">
        <v>10476</v>
      </c>
      <c r="D1302" t="s">
        <v>6598</v>
      </c>
      <c r="E1302" t="s">
        <v>10477</v>
      </c>
      <c r="F1302" t="s">
        <v>10478</v>
      </c>
      <c r="G1302" t="s">
        <v>6586</v>
      </c>
    </row>
    <row r="1303" spans="1:7">
      <c r="A1303" t="s">
        <v>6581</v>
      </c>
      <c r="B1303" s="1">
        <v>1302</v>
      </c>
      <c r="C1303" t="s">
        <v>10479</v>
      </c>
      <c r="D1303" t="s">
        <v>6654</v>
      </c>
      <c r="E1303" t="s">
        <v>10480</v>
      </c>
      <c r="F1303" t="s">
        <v>10481</v>
      </c>
      <c r="G1303" t="s">
        <v>6586</v>
      </c>
    </row>
    <row r="1304" spans="1:7">
      <c r="A1304" t="s">
        <v>6581</v>
      </c>
      <c r="B1304" s="1">
        <v>1303</v>
      </c>
      <c r="C1304" t="s">
        <v>10482</v>
      </c>
      <c r="D1304" t="s">
        <v>6705</v>
      </c>
      <c r="E1304" t="s">
        <v>10483</v>
      </c>
      <c r="F1304" t="s">
        <v>10484</v>
      </c>
      <c r="G1304" t="s">
        <v>6586</v>
      </c>
    </row>
    <row r="1305" spans="1:7">
      <c r="A1305" t="s">
        <v>6581</v>
      </c>
      <c r="B1305" s="1">
        <v>1304</v>
      </c>
      <c r="C1305" t="s">
        <v>10485</v>
      </c>
      <c r="D1305" t="s">
        <v>6609</v>
      </c>
      <c r="E1305" t="s">
        <v>10486</v>
      </c>
      <c r="F1305" t="s">
        <v>10487</v>
      </c>
      <c r="G1305" t="s">
        <v>6586</v>
      </c>
    </row>
    <row r="1306" spans="1:7">
      <c r="A1306" t="s">
        <v>6581</v>
      </c>
      <c r="B1306" s="1">
        <v>1305</v>
      </c>
      <c r="C1306" t="s">
        <v>10488</v>
      </c>
      <c r="D1306" t="s">
        <v>6598</v>
      </c>
      <c r="E1306" t="s">
        <v>10489</v>
      </c>
      <c r="F1306" t="s">
        <v>10490</v>
      </c>
      <c r="G1306" t="s">
        <v>6586</v>
      </c>
    </row>
    <row r="1307" spans="1:7">
      <c r="A1307" t="s">
        <v>6581</v>
      </c>
      <c r="B1307" s="1">
        <v>1306</v>
      </c>
      <c r="C1307" t="s">
        <v>10491</v>
      </c>
      <c r="D1307" t="s">
        <v>10246</v>
      </c>
      <c r="E1307" t="s">
        <v>10492</v>
      </c>
      <c r="F1307" t="s">
        <v>10493</v>
      </c>
      <c r="G1307" t="s">
        <v>6586</v>
      </c>
    </row>
    <row r="1308" spans="1:7">
      <c r="A1308" t="s">
        <v>6581</v>
      </c>
      <c r="B1308" s="1">
        <v>1307</v>
      </c>
      <c r="C1308" t="s">
        <v>10494</v>
      </c>
      <c r="D1308" t="s">
        <v>10246</v>
      </c>
      <c r="E1308" t="s">
        <v>10495</v>
      </c>
      <c r="F1308" t="s">
        <v>10496</v>
      </c>
      <c r="G1308" t="s">
        <v>6586</v>
      </c>
    </row>
    <row r="1309" spans="1:7">
      <c r="A1309" t="s">
        <v>6581</v>
      </c>
      <c r="B1309" s="1">
        <v>1308</v>
      </c>
      <c r="C1309" t="s">
        <v>10497</v>
      </c>
      <c r="D1309" t="s">
        <v>10246</v>
      </c>
      <c r="E1309" t="s">
        <v>10498</v>
      </c>
      <c r="F1309" t="s">
        <v>10499</v>
      </c>
      <c r="G1309" t="s">
        <v>6586</v>
      </c>
    </row>
    <row r="1310" spans="1:7">
      <c r="A1310" t="s">
        <v>6581</v>
      </c>
      <c r="B1310" s="1">
        <v>1309</v>
      </c>
      <c r="C1310" t="s">
        <v>10500</v>
      </c>
      <c r="D1310" t="s">
        <v>10246</v>
      </c>
      <c r="E1310" t="s">
        <v>10501</v>
      </c>
      <c r="F1310" t="s">
        <v>10502</v>
      </c>
      <c r="G1310" t="s">
        <v>6586</v>
      </c>
    </row>
    <row r="1311" spans="1:7">
      <c r="A1311" t="s">
        <v>6581</v>
      </c>
      <c r="B1311" s="1">
        <v>1310</v>
      </c>
      <c r="C1311" t="s">
        <v>10503</v>
      </c>
      <c r="D1311" t="s">
        <v>6598</v>
      </c>
      <c r="E1311" t="s">
        <v>10504</v>
      </c>
      <c r="F1311" t="s">
        <v>10505</v>
      </c>
      <c r="G1311" t="s">
        <v>6586</v>
      </c>
    </row>
    <row r="1312" spans="1:7">
      <c r="A1312" t="s">
        <v>6581</v>
      </c>
      <c r="B1312" s="1">
        <v>1311</v>
      </c>
      <c r="C1312" t="s">
        <v>10506</v>
      </c>
      <c r="D1312" t="s">
        <v>6654</v>
      </c>
      <c r="E1312" t="s">
        <v>10507</v>
      </c>
      <c r="F1312" t="s">
        <v>10508</v>
      </c>
      <c r="G1312" t="s">
        <v>6586</v>
      </c>
    </row>
    <row r="1313" spans="1:7">
      <c r="A1313" t="s">
        <v>6581</v>
      </c>
      <c r="B1313" s="1">
        <v>1312</v>
      </c>
      <c r="C1313" t="s">
        <v>10509</v>
      </c>
      <c r="D1313" t="s">
        <v>6598</v>
      </c>
      <c r="E1313" t="s">
        <v>10510</v>
      </c>
      <c r="F1313" t="s">
        <v>10511</v>
      </c>
      <c r="G1313" t="s">
        <v>6586</v>
      </c>
    </row>
    <row r="1314" spans="1:7">
      <c r="A1314" t="s">
        <v>6581</v>
      </c>
      <c r="B1314" s="1">
        <v>1313</v>
      </c>
      <c r="C1314" t="s">
        <v>10512</v>
      </c>
      <c r="D1314" t="s">
        <v>6654</v>
      </c>
      <c r="E1314" t="s">
        <v>10513</v>
      </c>
      <c r="F1314" t="s">
        <v>10514</v>
      </c>
      <c r="G1314" t="s">
        <v>6586</v>
      </c>
    </row>
    <row r="1315" spans="1:7">
      <c r="A1315" t="s">
        <v>6581</v>
      </c>
      <c r="B1315" s="1">
        <v>1314</v>
      </c>
      <c r="C1315" t="s">
        <v>10515</v>
      </c>
      <c r="D1315" t="s">
        <v>6705</v>
      </c>
      <c r="E1315" t="s">
        <v>10516</v>
      </c>
      <c r="F1315" t="s">
        <v>10517</v>
      </c>
      <c r="G1315" t="s">
        <v>6586</v>
      </c>
    </row>
    <row r="1316" spans="1:7">
      <c r="A1316" t="s">
        <v>6581</v>
      </c>
      <c r="B1316" s="1">
        <v>1315</v>
      </c>
      <c r="C1316" t="s">
        <v>10518</v>
      </c>
      <c r="D1316" t="s">
        <v>6609</v>
      </c>
      <c r="E1316" t="s">
        <v>10519</v>
      </c>
      <c r="F1316" t="s">
        <v>10520</v>
      </c>
      <c r="G1316" t="s">
        <v>6586</v>
      </c>
    </row>
    <row r="1317" spans="1:7">
      <c r="A1317" t="s">
        <v>6581</v>
      </c>
      <c r="B1317" s="1">
        <v>1316</v>
      </c>
      <c r="C1317" t="s">
        <v>10521</v>
      </c>
      <c r="D1317" t="s">
        <v>6654</v>
      </c>
      <c r="E1317" t="s">
        <v>10522</v>
      </c>
      <c r="F1317" t="s">
        <v>10523</v>
      </c>
      <c r="G1317" t="s">
        <v>6586</v>
      </c>
    </row>
    <row r="1318" spans="1:7">
      <c r="A1318" t="s">
        <v>6581</v>
      </c>
      <c r="B1318" s="1">
        <v>1317</v>
      </c>
      <c r="C1318" t="s">
        <v>10524</v>
      </c>
      <c r="D1318" t="s">
        <v>6598</v>
      </c>
      <c r="E1318" t="s">
        <v>10525</v>
      </c>
      <c r="F1318" t="s">
        <v>10526</v>
      </c>
      <c r="G1318" t="s">
        <v>6586</v>
      </c>
    </row>
    <row r="1319" spans="1:7">
      <c r="A1319" t="s">
        <v>6581</v>
      </c>
      <c r="B1319" s="1">
        <v>1318</v>
      </c>
      <c r="C1319" t="s">
        <v>10527</v>
      </c>
      <c r="D1319" t="s">
        <v>6609</v>
      </c>
      <c r="E1319" t="s">
        <v>10528</v>
      </c>
      <c r="F1319" t="s">
        <v>10529</v>
      </c>
      <c r="G1319" t="s">
        <v>6586</v>
      </c>
    </row>
    <row r="1320" spans="1:7">
      <c r="A1320" t="s">
        <v>6581</v>
      </c>
      <c r="B1320" s="1">
        <v>1319</v>
      </c>
      <c r="C1320" t="s">
        <v>10530</v>
      </c>
      <c r="D1320" t="s">
        <v>6598</v>
      </c>
      <c r="E1320" t="s">
        <v>10531</v>
      </c>
      <c r="F1320" t="s">
        <v>10532</v>
      </c>
      <c r="G1320" t="s">
        <v>6586</v>
      </c>
    </row>
    <row r="1321" spans="1:7">
      <c r="A1321" t="s">
        <v>6581</v>
      </c>
      <c r="B1321" s="1">
        <v>1320</v>
      </c>
      <c r="C1321" t="s">
        <v>10533</v>
      </c>
      <c r="D1321" t="s">
        <v>6609</v>
      </c>
      <c r="E1321" t="s">
        <v>10534</v>
      </c>
      <c r="F1321" t="s">
        <v>10535</v>
      </c>
      <c r="G1321" t="s">
        <v>6586</v>
      </c>
    </row>
    <row r="1322" spans="1:7">
      <c r="A1322" t="s">
        <v>6581</v>
      </c>
      <c r="B1322" s="1">
        <v>1321</v>
      </c>
      <c r="C1322" t="s">
        <v>10536</v>
      </c>
      <c r="D1322" t="s">
        <v>6598</v>
      </c>
      <c r="E1322" t="s">
        <v>10537</v>
      </c>
      <c r="F1322" t="s">
        <v>10538</v>
      </c>
      <c r="G1322" t="s">
        <v>6586</v>
      </c>
    </row>
    <row r="1323" spans="1:7">
      <c r="A1323" t="s">
        <v>6581</v>
      </c>
      <c r="B1323" s="1">
        <v>1322</v>
      </c>
      <c r="C1323" t="s">
        <v>10539</v>
      </c>
      <c r="D1323" t="s">
        <v>6598</v>
      </c>
      <c r="E1323" t="s">
        <v>10540</v>
      </c>
      <c r="F1323" t="s">
        <v>10541</v>
      </c>
      <c r="G1323" t="s">
        <v>6586</v>
      </c>
    </row>
    <row r="1324" spans="1:7">
      <c r="A1324" t="s">
        <v>6581</v>
      </c>
      <c r="B1324" s="1">
        <v>1323</v>
      </c>
      <c r="C1324" t="s">
        <v>10542</v>
      </c>
      <c r="D1324" t="s">
        <v>6609</v>
      </c>
      <c r="E1324" t="s">
        <v>10543</v>
      </c>
      <c r="F1324" t="s">
        <v>10544</v>
      </c>
      <c r="G1324" t="s">
        <v>6586</v>
      </c>
    </row>
    <row r="1325" spans="1:7">
      <c r="A1325" t="s">
        <v>6581</v>
      </c>
      <c r="B1325" s="1">
        <v>1324</v>
      </c>
      <c r="C1325" t="s">
        <v>10545</v>
      </c>
      <c r="D1325" t="s">
        <v>6609</v>
      </c>
      <c r="E1325" t="s">
        <v>10546</v>
      </c>
      <c r="F1325" t="s">
        <v>10547</v>
      </c>
      <c r="G1325" t="s">
        <v>6586</v>
      </c>
    </row>
    <row r="1326" spans="1:7">
      <c r="A1326" t="s">
        <v>6581</v>
      </c>
      <c r="B1326" s="1">
        <v>1325</v>
      </c>
      <c r="C1326" t="s">
        <v>10548</v>
      </c>
      <c r="D1326" t="s">
        <v>6598</v>
      </c>
      <c r="E1326" t="s">
        <v>10549</v>
      </c>
      <c r="F1326" t="s">
        <v>10550</v>
      </c>
      <c r="G1326" t="s">
        <v>6586</v>
      </c>
    </row>
    <row r="1327" spans="1:7">
      <c r="A1327" t="s">
        <v>6581</v>
      </c>
      <c r="B1327" s="1">
        <v>1326</v>
      </c>
      <c r="C1327" t="s">
        <v>10551</v>
      </c>
      <c r="D1327" t="s">
        <v>6598</v>
      </c>
      <c r="E1327" t="s">
        <v>10552</v>
      </c>
      <c r="F1327" t="s">
        <v>10553</v>
      </c>
      <c r="G1327" t="s">
        <v>6586</v>
      </c>
    </row>
    <row r="1328" spans="1:7">
      <c r="A1328" t="s">
        <v>6581</v>
      </c>
      <c r="B1328" s="1">
        <v>1327</v>
      </c>
      <c r="C1328" t="s">
        <v>10554</v>
      </c>
      <c r="D1328" t="s">
        <v>6705</v>
      </c>
      <c r="E1328" t="s">
        <v>10555</v>
      </c>
      <c r="F1328" t="s">
        <v>10556</v>
      </c>
      <c r="G1328" t="s">
        <v>6586</v>
      </c>
    </row>
    <row r="1329" spans="1:7">
      <c r="A1329" t="s">
        <v>6581</v>
      </c>
      <c r="B1329" s="1">
        <v>1328</v>
      </c>
      <c r="C1329" t="s">
        <v>10557</v>
      </c>
      <c r="D1329" t="s">
        <v>6609</v>
      </c>
      <c r="E1329" t="s">
        <v>10558</v>
      </c>
      <c r="F1329" t="s">
        <v>10559</v>
      </c>
      <c r="G1329" t="s">
        <v>6586</v>
      </c>
    </row>
    <row r="1330" spans="1:7">
      <c r="A1330" t="s">
        <v>6581</v>
      </c>
      <c r="B1330" s="1">
        <v>1329</v>
      </c>
      <c r="C1330" t="s">
        <v>10560</v>
      </c>
      <c r="D1330" t="s">
        <v>6654</v>
      </c>
      <c r="E1330" t="s">
        <v>10561</v>
      </c>
      <c r="F1330" t="s">
        <v>10562</v>
      </c>
      <c r="G1330" t="s">
        <v>6586</v>
      </c>
    </row>
    <row r="1331" spans="1:7">
      <c r="A1331" t="s">
        <v>6581</v>
      </c>
      <c r="B1331" s="1">
        <v>1330</v>
      </c>
      <c r="C1331" t="s">
        <v>10563</v>
      </c>
      <c r="D1331" t="s">
        <v>6654</v>
      </c>
      <c r="E1331" t="s">
        <v>10564</v>
      </c>
      <c r="F1331" t="s">
        <v>10565</v>
      </c>
      <c r="G1331" t="s">
        <v>6586</v>
      </c>
    </row>
    <row r="1332" spans="1:7">
      <c r="A1332" t="s">
        <v>6581</v>
      </c>
      <c r="B1332" s="1">
        <v>1331</v>
      </c>
      <c r="C1332" t="s">
        <v>10566</v>
      </c>
      <c r="D1332" t="s">
        <v>6609</v>
      </c>
      <c r="E1332" t="s">
        <v>10567</v>
      </c>
      <c r="F1332" t="s">
        <v>10568</v>
      </c>
      <c r="G1332" t="s">
        <v>6586</v>
      </c>
    </row>
    <row r="1333" spans="1:7">
      <c r="A1333" t="s">
        <v>6581</v>
      </c>
      <c r="B1333" s="1">
        <v>1332</v>
      </c>
      <c r="C1333" t="s">
        <v>10569</v>
      </c>
      <c r="D1333" t="s">
        <v>6705</v>
      </c>
      <c r="E1333" t="s">
        <v>10570</v>
      </c>
      <c r="F1333" t="s">
        <v>10571</v>
      </c>
      <c r="G1333" t="s">
        <v>6586</v>
      </c>
    </row>
    <row r="1334" spans="1:7">
      <c r="A1334" t="s">
        <v>6581</v>
      </c>
      <c r="B1334" s="1">
        <v>1333</v>
      </c>
      <c r="C1334" t="s">
        <v>10572</v>
      </c>
      <c r="D1334" t="s">
        <v>6605</v>
      </c>
      <c r="E1334" t="s">
        <v>10573</v>
      </c>
      <c r="F1334" t="s">
        <v>10574</v>
      </c>
      <c r="G1334" t="s">
        <v>6586</v>
      </c>
    </row>
    <row r="1335" spans="1:7">
      <c r="A1335" t="s">
        <v>6581</v>
      </c>
      <c r="B1335" s="1">
        <v>1334</v>
      </c>
      <c r="C1335" t="s">
        <v>10575</v>
      </c>
      <c r="D1335" t="s">
        <v>6598</v>
      </c>
      <c r="E1335" t="s">
        <v>10576</v>
      </c>
      <c r="F1335" t="s">
        <v>10577</v>
      </c>
      <c r="G1335" t="s">
        <v>6586</v>
      </c>
    </row>
    <row r="1336" spans="1:7">
      <c r="A1336" t="s">
        <v>6581</v>
      </c>
      <c r="B1336" s="1">
        <v>1335</v>
      </c>
      <c r="C1336" t="s">
        <v>10578</v>
      </c>
      <c r="D1336" t="s">
        <v>6609</v>
      </c>
      <c r="E1336" t="s">
        <v>10579</v>
      </c>
      <c r="F1336" t="s">
        <v>10580</v>
      </c>
      <c r="G1336" t="s">
        <v>6586</v>
      </c>
    </row>
    <row r="1337" spans="1:7">
      <c r="A1337" t="s">
        <v>6581</v>
      </c>
      <c r="B1337" s="1">
        <v>1336</v>
      </c>
      <c r="C1337" t="s">
        <v>10581</v>
      </c>
      <c r="D1337" t="s">
        <v>6654</v>
      </c>
      <c r="E1337" t="s">
        <v>10582</v>
      </c>
      <c r="F1337" t="s">
        <v>10583</v>
      </c>
      <c r="G1337" t="s">
        <v>6586</v>
      </c>
    </row>
    <row r="1338" spans="1:7">
      <c r="A1338" t="s">
        <v>6581</v>
      </c>
      <c r="B1338" s="1">
        <v>1337</v>
      </c>
      <c r="C1338" t="s">
        <v>10584</v>
      </c>
      <c r="D1338" t="s">
        <v>6598</v>
      </c>
      <c r="E1338" t="s">
        <v>10585</v>
      </c>
      <c r="F1338" t="s">
        <v>10586</v>
      </c>
      <c r="G1338" t="s">
        <v>6586</v>
      </c>
    </row>
    <row r="1339" spans="1:7">
      <c r="A1339" t="s">
        <v>6581</v>
      </c>
      <c r="B1339" s="1">
        <v>1338</v>
      </c>
      <c r="C1339" t="s">
        <v>10587</v>
      </c>
      <c r="D1339" t="s">
        <v>10246</v>
      </c>
      <c r="E1339" t="s">
        <v>10588</v>
      </c>
      <c r="F1339" t="s">
        <v>10589</v>
      </c>
      <c r="G1339" t="s">
        <v>6586</v>
      </c>
    </row>
    <row r="1340" spans="1:7">
      <c r="A1340" t="s">
        <v>6581</v>
      </c>
      <c r="B1340" s="1">
        <v>1339</v>
      </c>
      <c r="C1340" t="s">
        <v>10590</v>
      </c>
      <c r="D1340" t="s">
        <v>6598</v>
      </c>
      <c r="E1340" t="s">
        <v>10591</v>
      </c>
      <c r="F1340" t="s">
        <v>10592</v>
      </c>
      <c r="G1340" t="s">
        <v>6586</v>
      </c>
    </row>
    <row r="1341" spans="1:7">
      <c r="A1341" t="s">
        <v>6581</v>
      </c>
      <c r="B1341" s="1">
        <v>1340</v>
      </c>
      <c r="C1341" t="s">
        <v>10593</v>
      </c>
      <c r="D1341" t="s">
        <v>6609</v>
      </c>
      <c r="E1341" t="s">
        <v>10594</v>
      </c>
      <c r="F1341" t="s">
        <v>10595</v>
      </c>
      <c r="G1341" t="s">
        <v>6586</v>
      </c>
    </row>
    <row r="1342" spans="1:7">
      <c r="A1342" t="s">
        <v>6581</v>
      </c>
      <c r="B1342" s="1">
        <v>1341</v>
      </c>
      <c r="C1342" t="s">
        <v>10596</v>
      </c>
      <c r="D1342" t="s">
        <v>6598</v>
      </c>
      <c r="E1342" t="s">
        <v>10597</v>
      </c>
      <c r="F1342" t="s">
        <v>10598</v>
      </c>
      <c r="G1342" t="s">
        <v>6586</v>
      </c>
    </row>
    <row r="1343" spans="1:7">
      <c r="A1343" t="s">
        <v>6581</v>
      </c>
      <c r="B1343" s="1">
        <v>1342</v>
      </c>
      <c r="C1343" t="s">
        <v>10599</v>
      </c>
      <c r="D1343" t="s">
        <v>10246</v>
      </c>
      <c r="E1343" t="s">
        <v>10600</v>
      </c>
      <c r="F1343" t="s">
        <v>10601</v>
      </c>
      <c r="G1343" t="s">
        <v>6586</v>
      </c>
    </row>
    <row r="1344" spans="1:7">
      <c r="A1344" t="s">
        <v>6581</v>
      </c>
      <c r="B1344" s="1">
        <v>1343</v>
      </c>
      <c r="C1344" t="s">
        <v>10602</v>
      </c>
      <c r="D1344" t="s">
        <v>10246</v>
      </c>
      <c r="E1344" t="s">
        <v>10603</v>
      </c>
      <c r="F1344" t="s">
        <v>10604</v>
      </c>
      <c r="G1344" t="s">
        <v>6586</v>
      </c>
    </row>
    <row r="1345" spans="1:7">
      <c r="A1345" t="s">
        <v>6581</v>
      </c>
      <c r="B1345" s="1">
        <v>1344</v>
      </c>
      <c r="C1345" t="s">
        <v>10605</v>
      </c>
      <c r="D1345" t="s">
        <v>6609</v>
      </c>
      <c r="E1345" t="s">
        <v>10606</v>
      </c>
      <c r="F1345" t="s">
        <v>10607</v>
      </c>
      <c r="G1345" t="s">
        <v>6586</v>
      </c>
    </row>
    <row r="1346" spans="1:7">
      <c r="A1346" t="s">
        <v>6581</v>
      </c>
      <c r="B1346" s="1">
        <v>1345</v>
      </c>
      <c r="C1346" t="s">
        <v>10608</v>
      </c>
      <c r="D1346" t="s">
        <v>6705</v>
      </c>
      <c r="E1346" t="s">
        <v>10609</v>
      </c>
      <c r="F1346" t="s">
        <v>10610</v>
      </c>
      <c r="G1346" t="s">
        <v>6586</v>
      </c>
    </row>
    <row r="1347" spans="1:7">
      <c r="A1347" t="s">
        <v>6581</v>
      </c>
      <c r="B1347" s="1">
        <v>1346</v>
      </c>
      <c r="C1347" t="s">
        <v>10611</v>
      </c>
      <c r="D1347" t="s">
        <v>6705</v>
      </c>
      <c r="E1347" t="s">
        <v>10612</v>
      </c>
      <c r="F1347" t="s">
        <v>10613</v>
      </c>
      <c r="G1347" t="s">
        <v>6586</v>
      </c>
    </row>
    <row r="1348" spans="1:7">
      <c r="A1348" t="s">
        <v>6581</v>
      </c>
      <c r="B1348" s="1">
        <v>1347</v>
      </c>
      <c r="C1348" t="s">
        <v>10614</v>
      </c>
      <c r="D1348" t="s">
        <v>6705</v>
      </c>
      <c r="E1348" t="s">
        <v>10615</v>
      </c>
      <c r="F1348" t="s">
        <v>10616</v>
      </c>
      <c r="G1348" t="s">
        <v>6586</v>
      </c>
    </row>
    <row r="1349" spans="1:7">
      <c r="A1349" t="s">
        <v>6581</v>
      </c>
      <c r="B1349" s="1">
        <v>1348</v>
      </c>
      <c r="C1349" t="s">
        <v>10617</v>
      </c>
      <c r="D1349" t="s">
        <v>6705</v>
      </c>
      <c r="E1349" t="s">
        <v>10618</v>
      </c>
      <c r="F1349" t="s">
        <v>10619</v>
      </c>
      <c r="G1349" t="s">
        <v>6586</v>
      </c>
    </row>
    <row r="1350" spans="1:7">
      <c r="A1350" t="s">
        <v>6581</v>
      </c>
      <c r="B1350" s="1">
        <v>1349</v>
      </c>
      <c r="C1350" t="s">
        <v>10620</v>
      </c>
      <c r="D1350" t="s">
        <v>6705</v>
      </c>
      <c r="E1350" t="s">
        <v>10621</v>
      </c>
      <c r="F1350" t="s">
        <v>10622</v>
      </c>
      <c r="G1350" t="s">
        <v>6586</v>
      </c>
    </row>
    <row r="1351" spans="1:7">
      <c r="A1351" t="s">
        <v>6581</v>
      </c>
      <c r="B1351" s="1">
        <v>1350</v>
      </c>
      <c r="C1351" t="s">
        <v>10623</v>
      </c>
      <c r="D1351" t="s">
        <v>6654</v>
      </c>
      <c r="E1351" t="s">
        <v>10624</v>
      </c>
      <c r="F1351" t="s">
        <v>10625</v>
      </c>
      <c r="G1351" t="s">
        <v>6586</v>
      </c>
    </row>
    <row r="1352" spans="1:7">
      <c r="A1352" t="s">
        <v>6581</v>
      </c>
      <c r="B1352" s="1">
        <v>1351</v>
      </c>
      <c r="C1352" t="s">
        <v>10626</v>
      </c>
      <c r="D1352" t="s">
        <v>10246</v>
      </c>
      <c r="E1352" t="s">
        <v>10471</v>
      </c>
      <c r="F1352" t="s">
        <v>10627</v>
      </c>
      <c r="G1352" t="s">
        <v>6586</v>
      </c>
    </row>
    <row r="1353" spans="1:7">
      <c r="A1353" t="s">
        <v>6581</v>
      </c>
      <c r="B1353" s="1">
        <v>1352</v>
      </c>
      <c r="C1353" t="s">
        <v>10628</v>
      </c>
      <c r="D1353" t="s">
        <v>6654</v>
      </c>
      <c r="E1353" t="s">
        <v>10629</v>
      </c>
      <c r="F1353" t="s">
        <v>10630</v>
      </c>
      <c r="G1353" t="s">
        <v>6586</v>
      </c>
    </row>
    <row r="1354" spans="1:7">
      <c r="A1354" t="s">
        <v>6581</v>
      </c>
      <c r="B1354" s="1">
        <v>1353</v>
      </c>
      <c r="C1354" t="s">
        <v>10631</v>
      </c>
      <c r="D1354" t="s">
        <v>6598</v>
      </c>
      <c r="E1354" t="s">
        <v>10632</v>
      </c>
      <c r="F1354" t="s">
        <v>10633</v>
      </c>
      <c r="G1354" t="s">
        <v>6586</v>
      </c>
    </row>
    <row r="1355" spans="1:7">
      <c r="A1355" t="s">
        <v>6581</v>
      </c>
      <c r="B1355" s="1">
        <v>1354</v>
      </c>
      <c r="C1355" t="s">
        <v>10634</v>
      </c>
      <c r="D1355" t="s">
        <v>6598</v>
      </c>
      <c r="E1355" t="s">
        <v>10635</v>
      </c>
      <c r="F1355" t="s">
        <v>10636</v>
      </c>
      <c r="G1355" t="s">
        <v>6586</v>
      </c>
    </row>
    <row r="1356" spans="1:7">
      <c r="A1356" t="s">
        <v>6581</v>
      </c>
      <c r="B1356" s="1">
        <v>1355</v>
      </c>
      <c r="C1356" t="s">
        <v>10637</v>
      </c>
      <c r="D1356" t="s">
        <v>6609</v>
      </c>
      <c r="E1356" t="s">
        <v>10638</v>
      </c>
      <c r="F1356" t="s">
        <v>10639</v>
      </c>
      <c r="G1356" t="s">
        <v>6586</v>
      </c>
    </row>
    <row r="1357" spans="1:7">
      <c r="A1357" t="s">
        <v>6581</v>
      </c>
      <c r="B1357" s="1">
        <v>1356</v>
      </c>
      <c r="C1357" t="s">
        <v>10640</v>
      </c>
      <c r="D1357" t="s">
        <v>6605</v>
      </c>
      <c r="E1357" t="s">
        <v>10641</v>
      </c>
      <c r="F1357" t="s">
        <v>10642</v>
      </c>
      <c r="G1357" t="s">
        <v>6586</v>
      </c>
    </row>
    <row r="1358" spans="1:7">
      <c r="A1358" t="s">
        <v>6581</v>
      </c>
      <c r="B1358" s="1">
        <v>1357</v>
      </c>
      <c r="C1358" t="s">
        <v>10643</v>
      </c>
      <c r="D1358" t="s">
        <v>6609</v>
      </c>
      <c r="E1358" t="s">
        <v>10644</v>
      </c>
      <c r="F1358" t="s">
        <v>10645</v>
      </c>
      <c r="G1358" t="s">
        <v>6586</v>
      </c>
    </row>
    <row r="1359" spans="1:7">
      <c r="A1359" t="s">
        <v>6581</v>
      </c>
      <c r="B1359" s="1">
        <v>1358</v>
      </c>
      <c r="C1359" t="s">
        <v>10646</v>
      </c>
      <c r="D1359" t="s">
        <v>6654</v>
      </c>
      <c r="E1359" t="s">
        <v>10647</v>
      </c>
      <c r="F1359" t="s">
        <v>10648</v>
      </c>
      <c r="G1359" t="s">
        <v>6586</v>
      </c>
    </row>
    <row r="1360" spans="1:7">
      <c r="A1360" t="s">
        <v>6581</v>
      </c>
      <c r="B1360" s="1">
        <v>1359</v>
      </c>
      <c r="C1360" t="s">
        <v>10649</v>
      </c>
      <c r="D1360" t="s">
        <v>6654</v>
      </c>
      <c r="E1360" t="s">
        <v>10650</v>
      </c>
      <c r="F1360" t="s">
        <v>10651</v>
      </c>
      <c r="G1360" t="s">
        <v>6586</v>
      </c>
    </row>
    <row r="1361" spans="1:7">
      <c r="A1361" t="s">
        <v>6581</v>
      </c>
      <c r="B1361" s="1">
        <v>1360</v>
      </c>
      <c r="C1361" t="s">
        <v>10652</v>
      </c>
      <c r="D1361" t="s">
        <v>6654</v>
      </c>
      <c r="E1361" t="s">
        <v>10653</v>
      </c>
      <c r="F1361" t="s">
        <v>10654</v>
      </c>
      <c r="G1361" t="s">
        <v>6586</v>
      </c>
    </row>
    <row r="1362" spans="1:7">
      <c r="A1362" t="s">
        <v>6581</v>
      </c>
      <c r="B1362" s="1">
        <v>1361</v>
      </c>
      <c r="C1362" t="s">
        <v>10655</v>
      </c>
      <c r="D1362" t="s">
        <v>6654</v>
      </c>
      <c r="E1362" t="s">
        <v>10656</v>
      </c>
      <c r="F1362" t="s">
        <v>10657</v>
      </c>
      <c r="G1362" t="s">
        <v>6586</v>
      </c>
    </row>
    <row r="1363" spans="1:7">
      <c r="A1363" t="s">
        <v>6581</v>
      </c>
      <c r="B1363" s="1">
        <v>1362</v>
      </c>
      <c r="C1363" t="s">
        <v>10658</v>
      </c>
      <c r="D1363" t="s">
        <v>6705</v>
      </c>
      <c r="E1363" t="s">
        <v>10659</v>
      </c>
      <c r="F1363" t="s">
        <v>10660</v>
      </c>
      <c r="G1363" t="s">
        <v>6586</v>
      </c>
    </row>
    <row r="1364" spans="1:7">
      <c r="A1364" t="s">
        <v>6581</v>
      </c>
      <c r="B1364" s="1">
        <v>1363</v>
      </c>
      <c r="C1364" t="s">
        <v>10661</v>
      </c>
      <c r="D1364" t="s">
        <v>6598</v>
      </c>
      <c r="E1364" t="s">
        <v>10662</v>
      </c>
      <c r="F1364" t="s">
        <v>10663</v>
      </c>
      <c r="G1364" t="s">
        <v>6586</v>
      </c>
    </row>
    <row r="1365" spans="1:7">
      <c r="A1365" t="s">
        <v>6581</v>
      </c>
      <c r="B1365" s="1">
        <v>1364</v>
      </c>
      <c r="C1365" t="s">
        <v>10664</v>
      </c>
      <c r="D1365" t="s">
        <v>6609</v>
      </c>
      <c r="E1365" t="s">
        <v>10665</v>
      </c>
      <c r="F1365" t="s">
        <v>10666</v>
      </c>
      <c r="G1365" t="s">
        <v>6586</v>
      </c>
    </row>
    <row r="1366" spans="1:7">
      <c r="A1366" t="s">
        <v>6581</v>
      </c>
      <c r="B1366" s="1">
        <v>1365</v>
      </c>
      <c r="C1366" t="s">
        <v>10667</v>
      </c>
      <c r="D1366" t="s">
        <v>6609</v>
      </c>
      <c r="E1366" t="s">
        <v>10668</v>
      </c>
      <c r="F1366" t="s">
        <v>10669</v>
      </c>
      <c r="G1366" t="s">
        <v>6586</v>
      </c>
    </row>
    <row r="1367" spans="1:7">
      <c r="A1367" t="s">
        <v>6581</v>
      </c>
      <c r="B1367" s="1">
        <v>1366</v>
      </c>
      <c r="C1367" t="s">
        <v>10670</v>
      </c>
      <c r="D1367" t="s">
        <v>6598</v>
      </c>
      <c r="E1367" t="s">
        <v>10671</v>
      </c>
      <c r="F1367" t="s">
        <v>10672</v>
      </c>
      <c r="G1367" t="s">
        <v>6586</v>
      </c>
    </row>
    <row r="1368" spans="1:7">
      <c r="A1368" t="s">
        <v>6581</v>
      </c>
      <c r="B1368" s="1">
        <v>1367</v>
      </c>
      <c r="C1368" t="s">
        <v>10673</v>
      </c>
      <c r="D1368" t="s">
        <v>6605</v>
      </c>
      <c r="E1368" t="s">
        <v>10674</v>
      </c>
      <c r="F1368" t="s">
        <v>10675</v>
      </c>
      <c r="G1368" t="s">
        <v>6586</v>
      </c>
    </row>
    <row r="1369" spans="1:7">
      <c r="A1369" t="s">
        <v>6581</v>
      </c>
      <c r="B1369" s="1">
        <v>1368</v>
      </c>
      <c r="C1369" t="s">
        <v>10676</v>
      </c>
      <c r="D1369" t="s">
        <v>6598</v>
      </c>
      <c r="E1369" t="s">
        <v>10677</v>
      </c>
      <c r="F1369" t="s">
        <v>10678</v>
      </c>
      <c r="G1369" t="s">
        <v>6586</v>
      </c>
    </row>
    <row r="1370" spans="1:7">
      <c r="A1370" t="s">
        <v>6581</v>
      </c>
      <c r="B1370" s="1">
        <v>1369</v>
      </c>
      <c r="C1370" t="s">
        <v>10679</v>
      </c>
      <c r="D1370" t="s">
        <v>6598</v>
      </c>
      <c r="E1370" t="s">
        <v>10680</v>
      </c>
      <c r="F1370" t="s">
        <v>10681</v>
      </c>
      <c r="G1370" t="s">
        <v>6586</v>
      </c>
    </row>
    <row r="1371" spans="1:7">
      <c r="A1371" t="s">
        <v>6581</v>
      </c>
      <c r="B1371" s="1">
        <v>1370</v>
      </c>
      <c r="C1371" t="s">
        <v>10682</v>
      </c>
      <c r="D1371" t="s">
        <v>6609</v>
      </c>
      <c r="E1371" t="s">
        <v>10683</v>
      </c>
      <c r="F1371" t="s">
        <v>10684</v>
      </c>
      <c r="G1371" t="s">
        <v>6586</v>
      </c>
    </row>
    <row r="1372" spans="1:7">
      <c r="A1372" t="s">
        <v>6581</v>
      </c>
      <c r="B1372" s="1">
        <v>1371</v>
      </c>
      <c r="C1372" t="s">
        <v>10685</v>
      </c>
      <c r="D1372" t="s">
        <v>6654</v>
      </c>
      <c r="E1372" t="s">
        <v>10686</v>
      </c>
      <c r="F1372" t="s">
        <v>10687</v>
      </c>
      <c r="G1372" t="s">
        <v>6586</v>
      </c>
    </row>
    <row r="1373" spans="1:7">
      <c r="A1373" t="s">
        <v>6581</v>
      </c>
      <c r="B1373" s="1">
        <v>1372</v>
      </c>
      <c r="C1373" t="s">
        <v>10688</v>
      </c>
      <c r="D1373" t="s">
        <v>6609</v>
      </c>
      <c r="E1373" t="s">
        <v>10689</v>
      </c>
      <c r="F1373" t="s">
        <v>10690</v>
      </c>
      <c r="G1373" t="s">
        <v>6586</v>
      </c>
    </row>
    <row r="1374" spans="1:7">
      <c r="A1374" t="s">
        <v>6581</v>
      </c>
      <c r="B1374" s="1">
        <v>1373</v>
      </c>
      <c r="C1374" t="s">
        <v>10691</v>
      </c>
      <c r="D1374" t="s">
        <v>6598</v>
      </c>
      <c r="E1374" t="s">
        <v>10692</v>
      </c>
      <c r="F1374" t="s">
        <v>10693</v>
      </c>
      <c r="G1374" t="s">
        <v>6586</v>
      </c>
    </row>
    <row r="1375" spans="1:7">
      <c r="A1375" t="s">
        <v>6581</v>
      </c>
      <c r="B1375" s="1">
        <v>1374</v>
      </c>
      <c r="C1375" t="s">
        <v>10694</v>
      </c>
      <c r="D1375" t="s">
        <v>6598</v>
      </c>
      <c r="E1375" t="s">
        <v>10695</v>
      </c>
      <c r="F1375" t="s">
        <v>10696</v>
      </c>
      <c r="G1375" t="s">
        <v>6586</v>
      </c>
    </row>
    <row r="1376" spans="1:7">
      <c r="A1376" t="s">
        <v>6581</v>
      </c>
      <c r="B1376" s="1">
        <v>1375</v>
      </c>
      <c r="C1376" t="s">
        <v>10697</v>
      </c>
      <c r="D1376" t="s">
        <v>6609</v>
      </c>
      <c r="E1376" t="s">
        <v>10698</v>
      </c>
      <c r="F1376" t="s">
        <v>10699</v>
      </c>
      <c r="G1376" t="s">
        <v>6586</v>
      </c>
    </row>
    <row r="1377" spans="1:7">
      <c r="A1377" t="s">
        <v>6581</v>
      </c>
      <c r="B1377" s="1">
        <v>1376</v>
      </c>
      <c r="C1377" t="s">
        <v>10700</v>
      </c>
      <c r="D1377" t="s">
        <v>6695</v>
      </c>
      <c r="E1377" t="s">
        <v>10701</v>
      </c>
      <c r="F1377" t="s">
        <v>10702</v>
      </c>
      <c r="G1377" t="s">
        <v>6586</v>
      </c>
    </row>
    <row r="1378" spans="1:7">
      <c r="A1378" t="s">
        <v>6581</v>
      </c>
      <c r="B1378" s="1">
        <v>1377</v>
      </c>
      <c r="C1378" t="s">
        <v>10703</v>
      </c>
      <c r="D1378" t="s">
        <v>6705</v>
      </c>
      <c r="E1378" t="s">
        <v>10704</v>
      </c>
      <c r="F1378" t="s">
        <v>10705</v>
      </c>
      <c r="G1378" t="s">
        <v>6586</v>
      </c>
    </row>
    <row r="1379" spans="1:7">
      <c r="A1379" t="s">
        <v>6581</v>
      </c>
      <c r="B1379" s="1">
        <v>1378</v>
      </c>
      <c r="C1379" t="s">
        <v>10706</v>
      </c>
      <c r="D1379" t="s">
        <v>6609</v>
      </c>
      <c r="E1379" t="s">
        <v>10707</v>
      </c>
      <c r="F1379" t="s">
        <v>10708</v>
      </c>
      <c r="G1379" t="s">
        <v>6586</v>
      </c>
    </row>
    <row r="1380" spans="1:7">
      <c r="A1380" t="s">
        <v>6581</v>
      </c>
      <c r="B1380" s="1">
        <v>1379</v>
      </c>
      <c r="C1380" t="s">
        <v>10709</v>
      </c>
      <c r="D1380" t="s">
        <v>10246</v>
      </c>
      <c r="E1380" t="s">
        <v>10710</v>
      </c>
      <c r="F1380" t="s">
        <v>10711</v>
      </c>
      <c r="G1380" t="s">
        <v>6586</v>
      </c>
    </row>
    <row r="1381" spans="1:7">
      <c r="A1381" t="s">
        <v>6581</v>
      </c>
      <c r="B1381" s="1">
        <v>1380</v>
      </c>
      <c r="C1381" t="s">
        <v>10712</v>
      </c>
      <c r="D1381" t="s">
        <v>10246</v>
      </c>
      <c r="E1381" t="s">
        <v>10713</v>
      </c>
      <c r="F1381" t="s">
        <v>10714</v>
      </c>
      <c r="G1381" t="s">
        <v>6586</v>
      </c>
    </row>
    <row r="1382" spans="1:7">
      <c r="A1382" t="s">
        <v>6581</v>
      </c>
      <c r="B1382" s="1">
        <v>1381</v>
      </c>
      <c r="C1382" t="s">
        <v>10715</v>
      </c>
      <c r="D1382" t="s">
        <v>10246</v>
      </c>
      <c r="E1382" t="s">
        <v>10716</v>
      </c>
      <c r="F1382" t="s">
        <v>10717</v>
      </c>
      <c r="G1382" t="s">
        <v>6586</v>
      </c>
    </row>
    <row r="1383" spans="1:7">
      <c r="A1383" t="s">
        <v>6581</v>
      </c>
      <c r="B1383" s="1">
        <v>1382</v>
      </c>
      <c r="C1383" t="s">
        <v>10718</v>
      </c>
      <c r="D1383" t="s">
        <v>10246</v>
      </c>
      <c r="E1383" t="s">
        <v>10719</v>
      </c>
      <c r="F1383" t="s">
        <v>10720</v>
      </c>
      <c r="G1383" t="s">
        <v>6586</v>
      </c>
    </row>
    <row r="1384" spans="1:7">
      <c r="A1384" t="s">
        <v>6581</v>
      </c>
      <c r="B1384" s="1">
        <v>1383</v>
      </c>
      <c r="C1384" t="s">
        <v>10721</v>
      </c>
      <c r="D1384" t="s">
        <v>10246</v>
      </c>
      <c r="E1384" t="s">
        <v>10722</v>
      </c>
      <c r="F1384" t="s">
        <v>10723</v>
      </c>
      <c r="G1384" t="s">
        <v>6586</v>
      </c>
    </row>
    <row r="1385" spans="1:7">
      <c r="A1385" t="s">
        <v>6581</v>
      </c>
      <c r="B1385" s="1">
        <v>1384</v>
      </c>
      <c r="C1385" t="s">
        <v>10724</v>
      </c>
      <c r="D1385" t="s">
        <v>10246</v>
      </c>
      <c r="E1385" t="s">
        <v>10725</v>
      </c>
      <c r="F1385" t="s">
        <v>10726</v>
      </c>
      <c r="G1385" t="s">
        <v>6586</v>
      </c>
    </row>
    <row r="1386" spans="1:7">
      <c r="A1386" t="s">
        <v>6581</v>
      </c>
      <c r="B1386" s="1">
        <v>1385</v>
      </c>
      <c r="C1386" t="s">
        <v>10727</v>
      </c>
      <c r="D1386" t="s">
        <v>10246</v>
      </c>
      <c r="E1386" t="s">
        <v>10728</v>
      </c>
      <c r="F1386" t="s">
        <v>10729</v>
      </c>
      <c r="G1386" t="s">
        <v>6586</v>
      </c>
    </row>
    <row r="1387" spans="1:7">
      <c r="A1387" t="s">
        <v>6581</v>
      </c>
      <c r="B1387" s="1">
        <v>1386</v>
      </c>
      <c r="C1387" t="s">
        <v>10730</v>
      </c>
      <c r="D1387" t="s">
        <v>10246</v>
      </c>
      <c r="E1387" t="s">
        <v>10731</v>
      </c>
      <c r="F1387" t="s">
        <v>10732</v>
      </c>
      <c r="G1387" t="s">
        <v>6586</v>
      </c>
    </row>
    <row r="1388" spans="1:7">
      <c r="A1388" t="s">
        <v>6581</v>
      </c>
      <c r="B1388" s="1">
        <v>1387</v>
      </c>
      <c r="C1388" t="s">
        <v>10733</v>
      </c>
      <c r="D1388" t="s">
        <v>10246</v>
      </c>
      <c r="E1388" t="s">
        <v>10734</v>
      </c>
      <c r="F1388" t="s">
        <v>10735</v>
      </c>
      <c r="G1388" t="s">
        <v>6586</v>
      </c>
    </row>
    <row r="1389" spans="1:7">
      <c r="A1389" t="s">
        <v>6581</v>
      </c>
      <c r="B1389" s="1">
        <v>1388</v>
      </c>
      <c r="C1389" t="s">
        <v>10736</v>
      </c>
      <c r="D1389" t="s">
        <v>10246</v>
      </c>
      <c r="E1389" t="s">
        <v>10737</v>
      </c>
      <c r="F1389" t="s">
        <v>10738</v>
      </c>
      <c r="G1389" t="s">
        <v>6586</v>
      </c>
    </row>
    <row r="1390" spans="1:7">
      <c r="A1390" t="s">
        <v>6581</v>
      </c>
      <c r="B1390" s="1">
        <v>1389</v>
      </c>
      <c r="C1390" t="s">
        <v>10739</v>
      </c>
      <c r="D1390" t="s">
        <v>10246</v>
      </c>
      <c r="E1390" t="s">
        <v>10740</v>
      </c>
      <c r="F1390" t="s">
        <v>10741</v>
      </c>
      <c r="G1390" t="s">
        <v>6586</v>
      </c>
    </row>
    <row r="1391" spans="1:7">
      <c r="A1391" t="s">
        <v>6581</v>
      </c>
      <c r="B1391" s="1">
        <v>1390</v>
      </c>
      <c r="C1391" t="s">
        <v>10742</v>
      </c>
      <c r="D1391" t="s">
        <v>10246</v>
      </c>
      <c r="E1391" t="s">
        <v>10743</v>
      </c>
      <c r="F1391" t="s">
        <v>10744</v>
      </c>
      <c r="G1391" t="s">
        <v>6586</v>
      </c>
    </row>
    <row r="1392" spans="1:7">
      <c r="A1392" t="s">
        <v>6581</v>
      </c>
      <c r="B1392" s="1">
        <v>1391</v>
      </c>
      <c r="C1392" t="s">
        <v>10745</v>
      </c>
      <c r="D1392" t="s">
        <v>10246</v>
      </c>
      <c r="E1392" t="s">
        <v>10746</v>
      </c>
      <c r="F1392" t="s">
        <v>10747</v>
      </c>
      <c r="G1392" t="s">
        <v>6586</v>
      </c>
    </row>
    <row r="1393" spans="1:7">
      <c r="A1393" t="s">
        <v>6581</v>
      </c>
      <c r="B1393" s="1">
        <v>1392</v>
      </c>
      <c r="C1393" t="s">
        <v>10748</v>
      </c>
      <c r="D1393" t="s">
        <v>6654</v>
      </c>
      <c r="E1393" t="s">
        <v>10749</v>
      </c>
      <c r="F1393" t="s">
        <v>10750</v>
      </c>
      <c r="G1393" t="s">
        <v>6586</v>
      </c>
    </row>
    <row r="1394" spans="1:7">
      <c r="A1394" t="s">
        <v>6581</v>
      </c>
      <c r="B1394" s="1">
        <v>1393</v>
      </c>
      <c r="C1394" t="s">
        <v>10751</v>
      </c>
      <c r="D1394" t="s">
        <v>6598</v>
      </c>
      <c r="E1394" t="s">
        <v>10752</v>
      </c>
      <c r="F1394" t="s">
        <v>10753</v>
      </c>
      <c r="G1394" t="s">
        <v>6586</v>
      </c>
    </row>
    <row r="1395" spans="1:7">
      <c r="A1395" t="s">
        <v>6581</v>
      </c>
      <c r="B1395" s="1">
        <v>1394</v>
      </c>
      <c r="C1395" t="s">
        <v>10754</v>
      </c>
      <c r="D1395" t="s">
        <v>6654</v>
      </c>
      <c r="E1395" t="s">
        <v>10755</v>
      </c>
      <c r="F1395" t="s">
        <v>10756</v>
      </c>
      <c r="G1395" t="s">
        <v>6586</v>
      </c>
    </row>
    <row r="1396" spans="1:7">
      <c r="A1396" t="s">
        <v>6581</v>
      </c>
      <c r="B1396" s="1">
        <v>1395</v>
      </c>
      <c r="C1396" t="s">
        <v>10757</v>
      </c>
      <c r="D1396" t="s">
        <v>6598</v>
      </c>
      <c r="E1396" t="s">
        <v>10758</v>
      </c>
      <c r="F1396" t="s">
        <v>10759</v>
      </c>
      <c r="G1396" t="s">
        <v>6586</v>
      </c>
    </row>
    <row r="1397" spans="1:7">
      <c r="A1397" t="s">
        <v>6581</v>
      </c>
      <c r="B1397" s="1">
        <v>1396</v>
      </c>
      <c r="C1397" t="s">
        <v>10760</v>
      </c>
      <c r="D1397" t="s">
        <v>6654</v>
      </c>
      <c r="E1397" t="s">
        <v>10761</v>
      </c>
      <c r="F1397" t="s">
        <v>10762</v>
      </c>
      <c r="G1397" t="s">
        <v>6586</v>
      </c>
    </row>
    <row r="1398" spans="1:7">
      <c r="A1398" t="s">
        <v>6581</v>
      </c>
      <c r="B1398" s="1">
        <v>1397</v>
      </c>
      <c r="C1398" t="s">
        <v>10763</v>
      </c>
      <c r="D1398" t="s">
        <v>6654</v>
      </c>
      <c r="E1398" t="s">
        <v>10764</v>
      </c>
      <c r="F1398" t="s">
        <v>10765</v>
      </c>
      <c r="G1398" t="s">
        <v>6586</v>
      </c>
    </row>
    <row r="1399" spans="1:7">
      <c r="A1399" t="s">
        <v>6581</v>
      </c>
      <c r="B1399" s="1">
        <v>1398</v>
      </c>
      <c r="C1399" t="s">
        <v>10766</v>
      </c>
      <c r="D1399" t="s">
        <v>6654</v>
      </c>
      <c r="E1399" t="s">
        <v>10767</v>
      </c>
      <c r="F1399" t="s">
        <v>10768</v>
      </c>
      <c r="G1399" t="s">
        <v>6586</v>
      </c>
    </row>
    <row r="1400" spans="1:7">
      <c r="A1400" t="s">
        <v>6581</v>
      </c>
      <c r="B1400" s="1">
        <v>1399</v>
      </c>
      <c r="C1400" t="s">
        <v>10769</v>
      </c>
      <c r="D1400" t="s">
        <v>6598</v>
      </c>
      <c r="E1400" t="s">
        <v>10770</v>
      </c>
      <c r="F1400" t="s">
        <v>10771</v>
      </c>
      <c r="G1400" t="s">
        <v>6586</v>
      </c>
    </row>
    <row r="1401" spans="1:7">
      <c r="A1401" t="s">
        <v>6581</v>
      </c>
      <c r="B1401" s="1">
        <v>1400</v>
      </c>
      <c r="C1401" t="s">
        <v>10772</v>
      </c>
      <c r="D1401" t="s">
        <v>6609</v>
      </c>
      <c r="E1401" t="s">
        <v>10773</v>
      </c>
      <c r="F1401" t="s">
        <v>10774</v>
      </c>
      <c r="G1401" t="s">
        <v>6586</v>
      </c>
    </row>
    <row r="1402" spans="1:7">
      <c r="A1402" t="s">
        <v>6581</v>
      </c>
      <c r="B1402" s="1">
        <v>1401</v>
      </c>
      <c r="C1402" t="s">
        <v>10775</v>
      </c>
      <c r="D1402" t="s">
        <v>6609</v>
      </c>
      <c r="E1402" t="s">
        <v>10776</v>
      </c>
      <c r="F1402" t="s">
        <v>10777</v>
      </c>
      <c r="G1402" t="s">
        <v>6586</v>
      </c>
    </row>
    <row r="1403" spans="1:7">
      <c r="A1403" t="s">
        <v>6581</v>
      </c>
      <c r="B1403" s="1">
        <v>1402</v>
      </c>
      <c r="C1403" t="s">
        <v>6840</v>
      </c>
      <c r="D1403" t="s">
        <v>6609</v>
      </c>
      <c r="E1403" t="s">
        <v>10778</v>
      </c>
      <c r="F1403" t="s">
        <v>10779</v>
      </c>
      <c r="G1403" t="s">
        <v>6586</v>
      </c>
    </row>
    <row r="1404" spans="1:7">
      <c r="A1404" t="s">
        <v>6581</v>
      </c>
      <c r="B1404" s="1">
        <v>1403</v>
      </c>
      <c r="C1404" t="s">
        <v>10780</v>
      </c>
      <c r="D1404" t="s">
        <v>6609</v>
      </c>
      <c r="E1404" t="s">
        <v>10781</v>
      </c>
      <c r="F1404" t="s">
        <v>10782</v>
      </c>
      <c r="G1404" t="s">
        <v>6586</v>
      </c>
    </row>
    <row r="1405" spans="1:7">
      <c r="A1405" t="s">
        <v>6581</v>
      </c>
      <c r="B1405" s="1">
        <v>1404</v>
      </c>
      <c r="C1405" t="s">
        <v>10783</v>
      </c>
      <c r="D1405" t="s">
        <v>6609</v>
      </c>
      <c r="E1405" t="s">
        <v>10784</v>
      </c>
      <c r="F1405" t="s">
        <v>10785</v>
      </c>
      <c r="G1405" t="s">
        <v>6586</v>
      </c>
    </row>
    <row r="1406" spans="1:7">
      <c r="A1406" t="s">
        <v>6581</v>
      </c>
      <c r="B1406" s="1">
        <v>1405</v>
      </c>
      <c r="C1406" t="s">
        <v>10786</v>
      </c>
      <c r="D1406" t="s">
        <v>6609</v>
      </c>
      <c r="E1406" t="s">
        <v>10787</v>
      </c>
      <c r="F1406" t="s">
        <v>10788</v>
      </c>
      <c r="G1406" t="s">
        <v>6586</v>
      </c>
    </row>
    <row r="1407" spans="1:7">
      <c r="A1407" t="s">
        <v>6581</v>
      </c>
      <c r="B1407" s="1">
        <v>1406</v>
      </c>
      <c r="C1407" t="s">
        <v>10789</v>
      </c>
      <c r="D1407" t="s">
        <v>6609</v>
      </c>
      <c r="E1407" t="s">
        <v>10790</v>
      </c>
      <c r="F1407" t="s">
        <v>10791</v>
      </c>
      <c r="G1407" t="s">
        <v>6586</v>
      </c>
    </row>
    <row r="1408" spans="1:7">
      <c r="A1408" t="s">
        <v>6581</v>
      </c>
      <c r="B1408" s="1">
        <v>1407</v>
      </c>
      <c r="C1408" t="s">
        <v>10792</v>
      </c>
      <c r="D1408" t="s">
        <v>6705</v>
      </c>
      <c r="E1408" t="s">
        <v>10793</v>
      </c>
      <c r="F1408" t="s">
        <v>10794</v>
      </c>
      <c r="G1408" t="s">
        <v>6586</v>
      </c>
    </row>
    <row r="1409" spans="1:7">
      <c r="A1409" t="s">
        <v>6581</v>
      </c>
      <c r="B1409" s="1">
        <v>1408</v>
      </c>
      <c r="C1409" t="s">
        <v>10795</v>
      </c>
      <c r="D1409" t="s">
        <v>6654</v>
      </c>
      <c r="E1409" t="s">
        <v>10796</v>
      </c>
      <c r="F1409" t="s">
        <v>10797</v>
      </c>
      <c r="G1409" t="s">
        <v>6586</v>
      </c>
    </row>
    <row r="1410" spans="1:7">
      <c r="A1410" t="s">
        <v>6581</v>
      </c>
      <c r="B1410" s="1">
        <v>1409</v>
      </c>
      <c r="C1410" t="s">
        <v>10798</v>
      </c>
      <c r="D1410" t="s">
        <v>6654</v>
      </c>
      <c r="E1410" t="s">
        <v>10799</v>
      </c>
      <c r="F1410" t="s">
        <v>10800</v>
      </c>
      <c r="G1410" t="s">
        <v>6586</v>
      </c>
    </row>
    <row r="1411" spans="1:7">
      <c r="A1411" t="s">
        <v>6581</v>
      </c>
      <c r="B1411" s="1">
        <v>1410</v>
      </c>
      <c r="C1411" t="s">
        <v>10801</v>
      </c>
      <c r="D1411" t="s">
        <v>6609</v>
      </c>
      <c r="E1411" t="s">
        <v>10802</v>
      </c>
      <c r="F1411" t="s">
        <v>10803</v>
      </c>
      <c r="G1411" t="s">
        <v>6586</v>
      </c>
    </row>
    <row r="1412" spans="1:7">
      <c r="A1412" t="s">
        <v>6581</v>
      </c>
      <c r="B1412" s="1">
        <v>1411</v>
      </c>
      <c r="C1412" t="s">
        <v>10804</v>
      </c>
      <c r="D1412" t="s">
        <v>6598</v>
      </c>
      <c r="E1412" t="s">
        <v>10805</v>
      </c>
      <c r="F1412" t="s">
        <v>10806</v>
      </c>
      <c r="G1412" t="s">
        <v>6586</v>
      </c>
    </row>
    <row r="1413" spans="1:7">
      <c r="A1413" t="s">
        <v>6581</v>
      </c>
      <c r="B1413" s="1">
        <v>1412</v>
      </c>
      <c r="C1413" t="s">
        <v>10807</v>
      </c>
      <c r="D1413" t="s">
        <v>6654</v>
      </c>
      <c r="E1413" t="s">
        <v>10808</v>
      </c>
      <c r="F1413" t="s">
        <v>10809</v>
      </c>
      <c r="G1413" t="s">
        <v>6586</v>
      </c>
    </row>
    <row r="1414" spans="1:7">
      <c r="A1414" t="s">
        <v>6581</v>
      </c>
      <c r="B1414" s="1">
        <v>1413</v>
      </c>
      <c r="C1414" t="s">
        <v>10810</v>
      </c>
      <c r="D1414" t="s">
        <v>6609</v>
      </c>
      <c r="E1414" t="s">
        <v>10811</v>
      </c>
      <c r="F1414" t="s">
        <v>10812</v>
      </c>
      <c r="G1414" t="s">
        <v>6586</v>
      </c>
    </row>
    <row r="1415" spans="1:7">
      <c r="A1415" t="s">
        <v>6581</v>
      </c>
      <c r="B1415" s="1">
        <v>1414</v>
      </c>
      <c r="C1415" t="s">
        <v>10813</v>
      </c>
      <c r="D1415" t="s">
        <v>6705</v>
      </c>
      <c r="E1415" t="s">
        <v>10814</v>
      </c>
      <c r="F1415" t="s">
        <v>10815</v>
      </c>
      <c r="G1415" t="s">
        <v>6586</v>
      </c>
    </row>
    <row r="1416" spans="1:7">
      <c r="A1416" t="s">
        <v>6581</v>
      </c>
      <c r="B1416" s="1">
        <v>1415</v>
      </c>
      <c r="C1416" t="s">
        <v>10816</v>
      </c>
      <c r="D1416" t="s">
        <v>6654</v>
      </c>
      <c r="E1416" t="s">
        <v>10817</v>
      </c>
      <c r="F1416" t="s">
        <v>10818</v>
      </c>
      <c r="G1416" t="s">
        <v>6586</v>
      </c>
    </row>
    <row r="1417" spans="1:7">
      <c r="A1417" t="s">
        <v>6581</v>
      </c>
      <c r="B1417" s="1">
        <v>1416</v>
      </c>
      <c r="C1417" t="s">
        <v>10819</v>
      </c>
      <c r="D1417" t="s">
        <v>6654</v>
      </c>
      <c r="E1417" t="s">
        <v>10820</v>
      </c>
      <c r="F1417" t="s">
        <v>10821</v>
      </c>
      <c r="G1417" t="s">
        <v>6586</v>
      </c>
    </row>
    <row r="1418" spans="1:7">
      <c r="A1418" t="s">
        <v>6581</v>
      </c>
      <c r="B1418" s="1">
        <v>1417</v>
      </c>
      <c r="C1418" t="s">
        <v>8272</v>
      </c>
      <c r="D1418" t="s">
        <v>6609</v>
      </c>
      <c r="E1418" t="s">
        <v>10822</v>
      </c>
      <c r="F1418" t="s">
        <v>10823</v>
      </c>
      <c r="G1418" t="s">
        <v>6586</v>
      </c>
    </row>
    <row r="1419" spans="1:7">
      <c r="A1419" t="s">
        <v>6581</v>
      </c>
      <c r="B1419" s="1">
        <v>1418</v>
      </c>
      <c r="C1419" t="s">
        <v>10824</v>
      </c>
      <c r="D1419" t="s">
        <v>6654</v>
      </c>
      <c r="E1419" t="s">
        <v>10825</v>
      </c>
      <c r="F1419" t="s">
        <v>10826</v>
      </c>
      <c r="G1419" t="s">
        <v>6586</v>
      </c>
    </row>
    <row r="1420" spans="1:7">
      <c r="A1420" t="s">
        <v>6581</v>
      </c>
      <c r="B1420" s="1">
        <v>1419</v>
      </c>
      <c r="C1420" t="s">
        <v>10827</v>
      </c>
      <c r="D1420" t="s">
        <v>6605</v>
      </c>
      <c r="E1420" t="s">
        <v>10828</v>
      </c>
      <c r="F1420" t="s">
        <v>10829</v>
      </c>
      <c r="G1420" t="s">
        <v>6586</v>
      </c>
    </row>
    <row r="1421" spans="1:7">
      <c r="A1421" t="s">
        <v>6581</v>
      </c>
      <c r="B1421" s="1">
        <v>1420</v>
      </c>
      <c r="C1421" t="s">
        <v>10830</v>
      </c>
      <c r="D1421" t="s">
        <v>6598</v>
      </c>
      <c r="E1421" t="s">
        <v>10831</v>
      </c>
      <c r="F1421" t="s">
        <v>10832</v>
      </c>
      <c r="G1421" t="s">
        <v>6586</v>
      </c>
    </row>
    <row r="1422" spans="1:7">
      <c r="A1422" t="s">
        <v>6581</v>
      </c>
      <c r="B1422" s="1">
        <v>1421</v>
      </c>
      <c r="C1422" t="s">
        <v>10833</v>
      </c>
      <c r="D1422" t="s">
        <v>6598</v>
      </c>
      <c r="E1422" t="s">
        <v>10834</v>
      </c>
      <c r="F1422" t="s">
        <v>10835</v>
      </c>
      <c r="G1422" t="s">
        <v>6586</v>
      </c>
    </row>
    <row r="1423" spans="1:7">
      <c r="A1423" t="s">
        <v>6581</v>
      </c>
      <c r="B1423" s="1">
        <v>1422</v>
      </c>
      <c r="C1423" t="s">
        <v>10836</v>
      </c>
      <c r="D1423" t="s">
        <v>6598</v>
      </c>
      <c r="E1423" t="s">
        <v>10837</v>
      </c>
      <c r="F1423" t="s">
        <v>10838</v>
      </c>
      <c r="G1423" t="s">
        <v>6586</v>
      </c>
    </row>
    <row r="1424" spans="1:7">
      <c r="A1424" t="s">
        <v>6581</v>
      </c>
      <c r="B1424" s="1">
        <v>1423</v>
      </c>
      <c r="C1424" t="s">
        <v>10839</v>
      </c>
      <c r="D1424" t="s">
        <v>6654</v>
      </c>
      <c r="E1424" t="s">
        <v>10840</v>
      </c>
      <c r="F1424" t="s">
        <v>10841</v>
      </c>
      <c r="G1424" t="s">
        <v>6586</v>
      </c>
    </row>
    <row r="1425" spans="1:7">
      <c r="A1425" t="s">
        <v>6581</v>
      </c>
      <c r="B1425" s="1">
        <v>1424</v>
      </c>
      <c r="C1425" t="s">
        <v>10842</v>
      </c>
      <c r="D1425" t="s">
        <v>6654</v>
      </c>
      <c r="E1425" t="s">
        <v>10843</v>
      </c>
      <c r="F1425" t="s">
        <v>10844</v>
      </c>
      <c r="G1425" t="s">
        <v>6586</v>
      </c>
    </row>
    <row r="1426" spans="1:7">
      <c r="A1426" t="s">
        <v>6581</v>
      </c>
      <c r="B1426" s="1">
        <v>1425</v>
      </c>
      <c r="C1426" t="s">
        <v>10845</v>
      </c>
      <c r="D1426" t="s">
        <v>6705</v>
      </c>
      <c r="E1426" t="s">
        <v>10846</v>
      </c>
      <c r="F1426" t="s">
        <v>10847</v>
      </c>
      <c r="G1426" t="s">
        <v>6586</v>
      </c>
    </row>
    <row r="1427" spans="1:7">
      <c r="A1427" t="s">
        <v>6581</v>
      </c>
      <c r="B1427" s="1">
        <v>1426</v>
      </c>
      <c r="C1427" t="s">
        <v>7910</v>
      </c>
      <c r="D1427" t="s">
        <v>6695</v>
      </c>
      <c r="E1427" t="s">
        <v>10848</v>
      </c>
      <c r="F1427" t="s">
        <v>10849</v>
      </c>
      <c r="G1427" t="s">
        <v>6586</v>
      </c>
    </row>
    <row r="1428" spans="1:7">
      <c r="A1428" t="s">
        <v>6581</v>
      </c>
      <c r="B1428" s="1">
        <v>1427</v>
      </c>
      <c r="C1428" t="s">
        <v>10850</v>
      </c>
      <c r="D1428" t="s">
        <v>6705</v>
      </c>
      <c r="E1428" t="s">
        <v>10851</v>
      </c>
      <c r="F1428" t="s">
        <v>10852</v>
      </c>
      <c r="G1428" t="s">
        <v>6586</v>
      </c>
    </row>
    <row r="1429" spans="1:7">
      <c r="A1429" t="s">
        <v>6581</v>
      </c>
      <c r="B1429" s="1">
        <v>1428</v>
      </c>
      <c r="C1429" t="s">
        <v>10853</v>
      </c>
      <c r="D1429" t="s">
        <v>6695</v>
      </c>
      <c r="E1429" t="s">
        <v>10854</v>
      </c>
      <c r="F1429" t="s">
        <v>10855</v>
      </c>
      <c r="G1429" t="s">
        <v>6586</v>
      </c>
    </row>
    <row r="1430" spans="1:7">
      <c r="A1430" t="s">
        <v>6581</v>
      </c>
      <c r="B1430" s="1">
        <v>1429</v>
      </c>
      <c r="C1430" t="s">
        <v>10111</v>
      </c>
      <c r="D1430" t="s">
        <v>6598</v>
      </c>
      <c r="E1430" t="s">
        <v>10856</v>
      </c>
      <c r="F1430" t="s">
        <v>10857</v>
      </c>
      <c r="G1430" t="s">
        <v>6586</v>
      </c>
    </row>
    <row r="1431" spans="1:7">
      <c r="A1431" t="s">
        <v>6581</v>
      </c>
      <c r="B1431" s="1">
        <v>1430</v>
      </c>
      <c r="C1431" t="s">
        <v>10858</v>
      </c>
      <c r="D1431" t="s">
        <v>10246</v>
      </c>
      <c r="E1431" t="s">
        <v>10859</v>
      </c>
      <c r="F1431" t="s">
        <v>10860</v>
      </c>
      <c r="G1431" t="s">
        <v>6586</v>
      </c>
    </row>
    <row r="1432" spans="1:7">
      <c r="A1432" t="s">
        <v>6581</v>
      </c>
      <c r="B1432" s="1">
        <v>1431</v>
      </c>
      <c r="C1432" t="s">
        <v>10861</v>
      </c>
      <c r="D1432" t="s">
        <v>6598</v>
      </c>
      <c r="E1432" t="s">
        <v>10862</v>
      </c>
      <c r="F1432" t="s">
        <v>10863</v>
      </c>
      <c r="G1432" t="s">
        <v>6586</v>
      </c>
    </row>
    <row r="1433" spans="1:7">
      <c r="A1433" t="s">
        <v>6581</v>
      </c>
      <c r="B1433" s="1">
        <v>1432</v>
      </c>
      <c r="C1433" t="s">
        <v>10864</v>
      </c>
      <c r="D1433" t="s">
        <v>6654</v>
      </c>
      <c r="E1433" t="s">
        <v>10865</v>
      </c>
      <c r="F1433" t="s">
        <v>10866</v>
      </c>
      <c r="G1433" t="s">
        <v>6586</v>
      </c>
    </row>
    <row r="1434" spans="1:7">
      <c r="A1434" t="s">
        <v>6581</v>
      </c>
      <c r="B1434" s="1">
        <v>1433</v>
      </c>
      <c r="C1434" t="s">
        <v>10867</v>
      </c>
      <c r="D1434" t="s">
        <v>10246</v>
      </c>
      <c r="E1434" t="s">
        <v>10868</v>
      </c>
      <c r="F1434" t="s">
        <v>10869</v>
      </c>
      <c r="G1434" t="s">
        <v>6586</v>
      </c>
    </row>
    <row r="1435" spans="1:7">
      <c r="A1435" t="s">
        <v>6581</v>
      </c>
      <c r="B1435" s="1">
        <v>1434</v>
      </c>
      <c r="C1435" t="s">
        <v>10870</v>
      </c>
      <c r="D1435" t="s">
        <v>6654</v>
      </c>
      <c r="E1435" t="s">
        <v>10871</v>
      </c>
      <c r="F1435" t="s">
        <v>10872</v>
      </c>
      <c r="G1435" t="s">
        <v>6586</v>
      </c>
    </row>
    <row r="1436" spans="1:7">
      <c r="A1436" t="s">
        <v>6581</v>
      </c>
      <c r="B1436" s="1">
        <v>1435</v>
      </c>
      <c r="C1436" t="s">
        <v>10873</v>
      </c>
      <c r="D1436" t="s">
        <v>6609</v>
      </c>
      <c r="E1436" t="s">
        <v>10874</v>
      </c>
      <c r="F1436" t="s">
        <v>10875</v>
      </c>
      <c r="G1436" t="s">
        <v>6586</v>
      </c>
    </row>
    <row r="1437" spans="1:7">
      <c r="A1437" t="s">
        <v>6581</v>
      </c>
      <c r="B1437" s="1">
        <v>1436</v>
      </c>
      <c r="C1437" t="s">
        <v>10876</v>
      </c>
      <c r="D1437" t="s">
        <v>10246</v>
      </c>
      <c r="E1437" t="s">
        <v>10877</v>
      </c>
      <c r="F1437" t="s">
        <v>10878</v>
      </c>
      <c r="G1437" t="s">
        <v>6586</v>
      </c>
    </row>
    <row r="1438" spans="1:7">
      <c r="A1438" t="s">
        <v>6581</v>
      </c>
      <c r="B1438" s="1">
        <v>1437</v>
      </c>
      <c r="C1438" t="s">
        <v>10879</v>
      </c>
      <c r="D1438" t="s">
        <v>6598</v>
      </c>
      <c r="E1438" t="s">
        <v>10880</v>
      </c>
      <c r="F1438" t="s">
        <v>10881</v>
      </c>
      <c r="G1438" t="s">
        <v>6586</v>
      </c>
    </row>
    <row r="1439" spans="1:7">
      <c r="A1439" t="s">
        <v>6581</v>
      </c>
      <c r="B1439" s="1">
        <v>1438</v>
      </c>
      <c r="C1439" t="s">
        <v>10882</v>
      </c>
      <c r="D1439" t="s">
        <v>6609</v>
      </c>
      <c r="E1439" t="s">
        <v>10883</v>
      </c>
      <c r="F1439" t="s">
        <v>10884</v>
      </c>
      <c r="G1439" t="s">
        <v>6586</v>
      </c>
    </row>
    <row r="1440" spans="1:7">
      <c r="A1440" t="s">
        <v>6581</v>
      </c>
      <c r="B1440" s="1">
        <v>1439</v>
      </c>
      <c r="C1440" t="s">
        <v>10885</v>
      </c>
      <c r="D1440" t="s">
        <v>6609</v>
      </c>
      <c r="E1440" t="s">
        <v>10886</v>
      </c>
      <c r="F1440" t="s">
        <v>10887</v>
      </c>
      <c r="G1440" t="s">
        <v>6586</v>
      </c>
    </row>
    <row r="1441" spans="1:7">
      <c r="A1441" t="s">
        <v>6581</v>
      </c>
      <c r="B1441" s="1">
        <v>1440</v>
      </c>
      <c r="C1441" t="s">
        <v>10888</v>
      </c>
      <c r="D1441" t="s">
        <v>6654</v>
      </c>
      <c r="E1441" t="s">
        <v>10889</v>
      </c>
      <c r="F1441" t="s">
        <v>10890</v>
      </c>
      <c r="G1441" t="s">
        <v>6586</v>
      </c>
    </row>
    <row r="1442" spans="1:7">
      <c r="A1442" t="s">
        <v>6581</v>
      </c>
      <c r="B1442" s="1">
        <v>1441</v>
      </c>
      <c r="C1442" t="s">
        <v>10891</v>
      </c>
      <c r="D1442" t="s">
        <v>6654</v>
      </c>
      <c r="E1442" t="s">
        <v>10892</v>
      </c>
      <c r="F1442" t="s">
        <v>10893</v>
      </c>
      <c r="G1442" t="s">
        <v>6586</v>
      </c>
    </row>
    <row r="1443" spans="1:7">
      <c r="A1443" t="s">
        <v>6581</v>
      </c>
      <c r="B1443" s="1">
        <v>1442</v>
      </c>
      <c r="C1443" t="s">
        <v>10894</v>
      </c>
      <c r="D1443" t="s">
        <v>6705</v>
      </c>
      <c r="E1443" t="s">
        <v>10895</v>
      </c>
      <c r="F1443" t="s">
        <v>10896</v>
      </c>
      <c r="G1443" t="s">
        <v>6586</v>
      </c>
    </row>
    <row r="1444" spans="1:7">
      <c r="A1444" t="s">
        <v>6581</v>
      </c>
      <c r="B1444" s="1">
        <v>1443</v>
      </c>
      <c r="C1444" t="s">
        <v>10897</v>
      </c>
      <c r="D1444" t="s">
        <v>6705</v>
      </c>
      <c r="E1444" t="s">
        <v>10898</v>
      </c>
      <c r="F1444" t="s">
        <v>10899</v>
      </c>
      <c r="G1444" t="s">
        <v>6586</v>
      </c>
    </row>
    <row r="1445" spans="1:7">
      <c r="A1445" t="s">
        <v>6581</v>
      </c>
      <c r="B1445" s="1">
        <v>1444</v>
      </c>
      <c r="C1445" t="s">
        <v>10900</v>
      </c>
      <c r="D1445" t="s">
        <v>10246</v>
      </c>
      <c r="E1445" t="s">
        <v>10901</v>
      </c>
      <c r="F1445" t="s">
        <v>10902</v>
      </c>
      <c r="G1445" t="s">
        <v>6586</v>
      </c>
    </row>
    <row r="1446" spans="1:7">
      <c r="A1446" t="s">
        <v>6581</v>
      </c>
      <c r="B1446" s="1">
        <v>1445</v>
      </c>
      <c r="C1446" t="s">
        <v>10903</v>
      </c>
      <c r="D1446" t="s">
        <v>6598</v>
      </c>
      <c r="E1446" t="s">
        <v>10904</v>
      </c>
      <c r="F1446" t="s">
        <v>10905</v>
      </c>
      <c r="G1446" t="s">
        <v>6586</v>
      </c>
    </row>
    <row r="1447" spans="1:7">
      <c r="A1447" t="s">
        <v>6581</v>
      </c>
      <c r="B1447" s="1">
        <v>1446</v>
      </c>
      <c r="C1447" t="s">
        <v>10906</v>
      </c>
      <c r="D1447" t="s">
        <v>6598</v>
      </c>
      <c r="E1447" t="s">
        <v>10907</v>
      </c>
      <c r="F1447" t="s">
        <v>10908</v>
      </c>
      <c r="G1447" t="s">
        <v>6586</v>
      </c>
    </row>
    <row r="1448" spans="1:7">
      <c r="A1448" t="s">
        <v>6581</v>
      </c>
      <c r="B1448" s="1">
        <v>1447</v>
      </c>
      <c r="C1448" t="s">
        <v>10909</v>
      </c>
      <c r="D1448" t="s">
        <v>6654</v>
      </c>
      <c r="E1448" t="s">
        <v>10910</v>
      </c>
      <c r="F1448" t="s">
        <v>10911</v>
      </c>
      <c r="G1448" t="s">
        <v>6586</v>
      </c>
    </row>
    <row r="1449" spans="1:7">
      <c r="A1449" t="s">
        <v>6581</v>
      </c>
      <c r="B1449" s="1">
        <v>1448</v>
      </c>
      <c r="C1449" t="s">
        <v>10912</v>
      </c>
      <c r="D1449" t="s">
        <v>6598</v>
      </c>
      <c r="E1449" t="s">
        <v>10913</v>
      </c>
      <c r="F1449" t="s">
        <v>10914</v>
      </c>
      <c r="G1449" t="s">
        <v>6586</v>
      </c>
    </row>
    <row r="1450" spans="1:7">
      <c r="A1450" t="s">
        <v>6581</v>
      </c>
      <c r="B1450" s="1">
        <v>1449</v>
      </c>
      <c r="C1450" t="s">
        <v>10915</v>
      </c>
      <c r="D1450" t="s">
        <v>6598</v>
      </c>
      <c r="E1450" t="s">
        <v>10916</v>
      </c>
      <c r="F1450" t="s">
        <v>10917</v>
      </c>
      <c r="G1450" t="s">
        <v>6586</v>
      </c>
    </row>
    <row r="1451" spans="1:7">
      <c r="A1451" t="s">
        <v>6581</v>
      </c>
      <c r="B1451" s="1">
        <v>1450</v>
      </c>
      <c r="C1451" t="s">
        <v>10918</v>
      </c>
      <c r="D1451" t="s">
        <v>6598</v>
      </c>
      <c r="E1451" t="s">
        <v>10919</v>
      </c>
      <c r="F1451" t="s">
        <v>10920</v>
      </c>
      <c r="G1451" t="s">
        <v>6586</v>
      </c>
    </row>
    <row r="1452" spans="1:7">
      <c r="A1452" t="s">
        <v>6581</v>
      </c>
      <c r="B1452" s="1">
        <v>1451</v>
      </c>
      <c r="C1452" t="s">
        <v>10921</v>
      </c>
      <c r="D1452" t="s">
        <v>6654</v>
      </c>
      <c r="E1452" t="s">
        <v>10922</v>
      </c>
      <c r="F1452" t="s">
        <v>10923</v>
      </c>
      <c r="G1452" t="s">
        <v>6586</v>
      </c>
    </row>
    <row r="1453" spans="1:7">
      <c r="A1453" t="s">
        <v>6581</v>
      </c>
      <c r="B1453" s="1">
        <v>1452</v>
      </c>
      <c r="C1453" t="s">
        <v>10924</v>
      </c>
      <c r="D1453" t="s">
        <v>6654</v>
      </c>
      <c r="E1453" t="s">
        <v>10925</v>
      </c>
      <c r="F1453" t="s">
        <v>10926</v>
      </c>
      <c r="G1453" t="s">
        <v>6586</v>
      </c>
    </row>
    <row r="1454" spans="1:7">
      <c r="A1454" t="s">
        <v>6581</v>
      </c>
      <c r="B1454" s="1">
        <v>1453</v>
      </c>
      <c r="C1454" t="s">
        <v>10927</v>
      </c>
      <c r="D1454" t="s">
        <v>10246</v>
      </c>
      <c r="E1454" t="s">
        <v>10928</v>
      </c>
      <c r="F1454" t="s">
        <v>10929</v>
      </c>
      <c r="G1454" t="s">
        <v>6586</v>
      </c>
    </row>
    <row r="1455" spans="1:7">
      <c r="A1455" t="s">
        <v>6581</v>
      </c>
      <c r="B1455" s="1">
        <v>1454</v>
      </c>
      <c r="C1455" t="s">
        <v>10930</v>
      </c>
      <c r="D1455" t="s">
        <v>10246</v>
      </c>
      <c r="E1455" t="s">
        <v>10931</v>
      </c>
      <c r="F1455" t="s">
        <v>10932</v>
      </c>
      <c r="G1455" t="s">
        <v>6586</v>
      </c>
    </row>
    <row r="1456" spans="1:7">
      <c r="A1456" t="s">
        <v>6581</v>
      </c>
      <c r="B1456" s="1">
        <v>1455</v>
      </c>
      <c r="C1456" t="s">
        <v>9011</v>
      </c>
      <c r="D1456" t="s">
        <v>6598</v>
      </c>
      <c r="E1456" t="s">
        <v>10933</v>
      </c>
      <c r="F1456" t="s">
        <v>10934</v>
      </c>
      <c r="G1456" t="s">
        <v>6586</v>
      </c>
    </row>
    <row r="1457" spans="1:7">
      <c r="A1457" t="s">
        <v>6581</v>
      </c>
      <c r="B1457" s="1">
        <v>1456</v>
      </c>
      <c r="C1457" t="s">
        <v>10935</v>
      </c>
      <c r="D1457" t="s">
        <v>6598</v>
      </c>
      <c r="E1457" t="s">
        <v>10936</v>
      </c>
      <c r="F1457" t="s">
        <v>10937</v>
      </c>
      <c r="G1457" t="s">
        <v>6586</v>
      </c>
    </row>
    <row r="1458" spans="1:7">
      <c r="A1458" t="s">
        <v>6581</v>
      </c>
      <c r="B1458" s="1">
        <v>1457</v>
      </c>
      <c r="C1458" t="s">
        <v>10938</v>
      </c>
      <c r="D1458" t="s">
        <v>6654</v>
      </c>
      <c r="E1458" t="s">
        <v>10939</v>
      </c>
      <c r="F1458" t="s">
        <v>10940</v>
      </c>
      <c r="G1458" t="s">
        <v>6586</v>
      </c>
    </row>
    <row r="1459" spans="1:7">
      <c r="A1459" t="s">
        <v>6581</v>
      </c>
      <c r="B1459" s="1">
        <v>1458</v>
      </c>
      <c r="C1459" t="s">
        <v>10941</v>
      </c>
      <c r="D1459" t="s">
        <v>6654</v>
      </c>
      <c r="E1459" t="s">
        <v>10942</v>
      </c>
      <c r="F1459" t="s">
        <v>10943</v>
      </c>
      <c r="G1459" t="s">
        <v>6586</v>
      </c>
    </row>
    <row r="1460" spans="1:7">
      <c r="A1460" t="s">
        <v>6581</v>
      </c>
      <c r="B1460" s="1">
        <v>1459</v>
      </c>
      <c r="C1460" t="s">
        <v>10944</v>
      </c>
      <c r="D1460" t="s">
        <v>6654</v>
      </c>
      <c r="E1460" t="s">
        <v>10945</v>
      </c>
      <c r="F1460" t="s">
        <v>10946</v>
      </c>
      <c r="G1460" t="s">
        <v>6586</v>
      </c>
    </row>
    <row r="1461" spans="1:7">
      <c r="A1461" t="s">
        <v>6581</v>
      </c>
      <c r="B1461" s="1">
        <v>1460</v>
      </c>
      <c r="C1461" t="s">
        <v>10947</v>
      </c>
      <c r="D1461" t="s">
        <v>6598</v>
      </c>
      <c r="E1461" t="s">
        <v>10948</v>
      </c>
      <c r="F1461" t="s">
        <v>10949</v>
      </c>
      <c r="G1461" t="s">
        <v>6586</v>
      </c>
    </row>
    <row r="1462" spans="1:7">
      <c r="A1462" t="s">
        <v>6581</v>
      </c>
      <c r="B1462" s="1">
        <v>1461</v>
      </c>
      <c r="C1462" t="s">
        <v>10950</v>
      </c>
      <c r="D1462" t="s">
        <v>6598</v>
      </c>
      <c r="E1462" t="s">
        <v>10951</v>
      </c>
      <c r="F1462" t="s">
        <v>10952</v>
      </c>
      <c r="G1462" t="s">
        <v>6586</v>
      </c>
    </row>
    <row r="1463" spans="1:7">
      <c r="A1463" t="s">
        <v>6581</v>
      </c>
      <c r="B1463" s="1">
        <v>1462</v>
      </c>
      <c r="C1463" t="s">
        <v>10953</v>
      </c>
      <c r="D1463" t="s">
        <v>10246</v>
      </c>
      <c r="E1463" t="s">
        <v>10954</v>
      </c>
      <c r="F1463" t="s">
        <v>10955</v>
      </c>
      <c r="G1463" t="s">
        <v>6586</v>
      </c>
    </row>
    <row r="1464" spans="1:7">
      <c r="A1464" t="s">
        <v>6581</v>
      </c>
      <c r="B1464" s="1">
        <v>1463</v>
      </c>
      <c r="C1464" t="s">
        <v>10956</v>
      </c>
      <c r="D1464" t="s">
        <v>6598</v>
      </c>
      <c r="E1464" t="s">
        <v>10957</v>
      </c>
      <c r="F1464" t="s">
        <v>10958</v>
      </c>
      <c r="G1464" t="s">
        <v>6586</v>
      </c>
    </row>
    <row r="1465" spans="1:7">
      <c r="A1465" t="s">
        <v>6581</v>
      </c>
      <c r="B1465" s="1">
        <v>1464</v>
      </c>
      <c r="C1465" t="s">
        <v>9329</v>
      </c>
      <c r="D1465" t="s">
        <v>10246</v>
      </c>
      <c r="E1465" t="s">
        <v>10959</v>
      </c>
      <c r="F1465" t="s">
        <v>10960</v>
      </c>
      <c r="G1465" t="s">
        <v>6586</v>
      </c>
    </row>
    <row r="1466" spans="1:7">
      <c r="A1466" t="s">
        <v>6581</v>
      </c>
      <c r="B1466" s="1">
        <v>1465</v>
      </c>
      <c r="C1466" t="s">
        <v>10961</v>
      </c>
      <c r="D1466" t="s">
        <v>10246</v>
      </c>
      <c r="E1466" t="s">
        <v>10962</v>
      </c>
      <c r="F1466" t="s">
        <v>10963</v>
      </c>
      <c r="G1466" t="s">
        <v>6586</v>
      </c>
    </row>
    <row r="1467" spans="1:7">
      <c r="A1467" t="s">
        <v>6581</v>
      </c>
      <c r="B1467" s="1">
        <v>1466</v>
      </c>
      <c r="C1467" t="s">
        <v>10964</v>
      </c>
      <c r="D1467" t="s">
        <v>6654</v>
      </c>
      <c r="E1467" t="s">
        <v>10965</v>
      </c>
      <c r="F1467" t="s">
        <v>10966</v>
      </c>
      <c r="G1467" t="s">
        <v>6586</v>
      </c>
    </row>
    <row r="1468" spans="1:7">
      <c r="A1468" t="s">
        <v>6581</v>
      </c>
      <c r="B1468" s="1">
        <v>1467</v>
      </c>
      <c r="C1468" t="s">
        <v>10967</v>
      </c>
      <c r="D1468" t="s">
        <v>6654</v>
      </c>
      <c r="E1468" t="s">
        <v>10968</v>
      </c>
      <c r="F1468" t="s">
        <v>10969</v>
      </c>
      <c r="G1468" t="s">
        <v>6586</v>
      </c>
    </row>
    <row r="1469" spans="1:7">
      <c r="A1469" t="s">
        <v>6581</v>
      </c>
      <c r="B1469" s="1">
        <v>1468</v>
      </c>
      <c r="C1469" t="s">
        <v>10970</v>
      </c>
      <c r="D1469" t="s">
        <v>10246</v>
      </c>
      <c r="E1469" t="s">
        <v>10971</v>
      </c>
      <c r="F1469" t="s">
        <v>10972</v>
      </c>
      <c r="G1469" t="s">
        <v>6586</v>
      </c>
    </row>
    <row r="1470" spans="1:7">
      <c r="A1470" t="s">
        <v>6581</v>
      </c>
      <c r="B1470" s="1">
        <v>1469</v>
      </c>
      <c r="C1470" t="s">
        <v>10973</v>
      </c>
      <c r="D1470" t="s">
        <v>6609</v>
      </c>
      <c r="E1470" t="s">
        <v>10974</v>
      </c>
      <c r="F1470" t="s">
        <v>10975</v>
      </c>
      <c r="G1470" t="s">
        <v>6586</v>
      </c>
    </row>
    <row r="1471" spans="1:7">
      <c r="A1471" t="s">
        <v>6581</v>
      </c>
      <c r="B1471" s="1">
        <v>1470</v>
      </c>
      <c r="C1471" t="s">
        <v>10976</v>
      </c>
      <c r="D1471" t="s">
        <v>6654</v>
      </c>
      <c r="E1471" t="s">
        <v>10977</v>
      </c>
      <c r="F1471" t="s">
        <v>10978</v>
      </c>
      <c r="G1471" t="s">
        <v>6586</v>
      </c>
    </row>
    <row r="1472" spans="1:7">
      <c r="A1472" t="s">
        <v>6581</v>
      </c>
      <c r="B1472" s="1">
        <v>1471</v>
      </c>
      <c r="C1472" t="s">
        <v>10979</v>
      </c>
      <c r="D1472" t="s">
        <v>10246</v>
      </c>
      <c r="E1472" t="s">
        <v>10980</v>
      </c>
      <c r="F1472" t="s">
        <v>10981</v>
      </c>
      <c r="G1472" t="s">
        <v>6586</v>
      </c>
    </row>
    <row r="1473" spans="1:7">
      <c r="A1473" t="s">
        <v>6581</v>
      </c>
      <c r="B1473" s="1">
        <v>1472</v>
      </c>
      <c r="C1473" t="s">
        <v>10982</v>
      </c>
      <c r="D1473" t="s">
        <v>6605</v>
      </c>
      <c r="E1473" t="s">
        <v>10983</v>
      </c>
      <c r="F1473" t="s">
        <v>10984</v>
      </c>
      <c r="G1473" t="s">
        <v>6586</v>
      </c>
    </row>
    <row r="1474" spans="1:7">
      <c r="A1474" t="s">
        <v>6581</v>
      </c>
      <c r="B1474" s="1">
        <v>1473</v>
      </c>
      <c r="C1474" t="s">
        <v>10985</v>
      </c>
      <c r="D1474" t="s">
        <v>6609</v>
      </c>
      <c r="E1474" t="s">
        <v>10986</v>
      </c>
      <c r="F1474" t="s">
        <v>10987</v>
      </c>
      <c r="G1474" t="s">
        <v>6586</v>
      </c>
    </row>
    <row r="1475" spans="1:7">
      <c r="A1475" t="s">
        <v>6581</v>
      </c>
      <c r="B1475" s="1">
        <v>1474</v>
      </c>
      <c r="C1475" t="s">
        <v>10988</v>
      </c>
      <c r="D1475" t="s">
        <v>6605</v>
      </c>
      <c r="E1475" t="s">
        <v>10989</v>
      </c>
      <c r="F1475" t="s">
        <v>10990</v>
      </c>
      <c r="G1475" t="s">
        <v>6586</v>
      </c>
    </row>
    <row r="1476" spans="1:7">
      <c r="A1476" t="s">
        <v>6581</v>
      </c>
      <c r="B1476" s="1">
        <v>1475</v>
      </c>
      <c r="C1476" t="s">
        <v>10991</v>
      </c>
      <c r="D1476" t="s">
        <v>6598</v>
      </c>
      <c r="E1476" t="s">
        <v>10992</v>
      </c>
      <c r="F1476" t="s">
        <v>10993</v>
      </c>
      <c r="G1476" t="s">
        <v>6586</v>
      </c>
    </row>
    <row r="1477" spans="1:7">
      <c r="A1477" t="s">
        <v>6581</v>
      </c>
      <c r="B1477" s="1">
        <v>1476</v>
      </c>
      <c r="C1477" t="s">
        <v>10994</v>
      </c>
      <c r="D1477" t="s">
        <v>6605</v>
      </c>
      <c r="E1477" t="s">
        <v>10995</v>
      </c>
      <c r="F1477" t="s">
        <v>10996</v>
      </c>
      <c r="G1477" t="s">
        <v>6586</v>
      </c>
    </row>
    <row r="1478" spans="1:7">
      <c r="A1478" t="s">
        <v>6581</v>
      </c>
      <c r="B1478" s="1">
        <v>1477</v>
      </c>
      <c r="C1478" t="s">
        <v>10997</v>
      </c>
      <c r="D1478" t="s">
        <v>6609</v>
      </c>
      <c r="E1478" t="s">
        <v>10998</v>
      </c>
      <c r="F1478" t="s">
        <v>10999</v>
      </c>
      <c r="G1478" t="s">
        <v>6586</v>
      </c>
    </row>
    <row r="1479" spans="1:7">
      <c r="A1479" t="s">
        <v>6581</v>
      </c>
      <c r="B1479" s="1">
        <v>1478</v>
      </c>
      <c r="C1479" t="s">
        <v>11000</v>
      </c>
      <c r="D1479" t="s">
        <v>10246</v>
      </c>
      <c r="E1479" t="s">
        <v>11001</v>
      </c>
      <c r="F1479" t="s">
        <v>11002</v>
      </c>
      <c r="G1479" t="s">
        <v>6586</v>
      </c>
    </row>
    <row r="1480" spans="1:7">
      <c r="A1480" t="s">
        <v>6581</v>
      </c>
      <c r="B1480" s="1">
        <v>1479</v>
      </c>
      <c r="C1480" t="s">
        <v>11003</v>
      </c>
      <c r="D1480" t="s">
        <v>6609</v>
      </c>
      <c r="E1480" t="s">
        <v>11004</v>
      </c>
      <c r="F1480" t="s">
        <v>11005</v>
      </c>
      <c r="G1480" t="s">
        <v>6586</v>
      </c>
    </row>
    <row r="1481" spans="1:7">
      <c r="A1481" t="s">
        <v>6581</v>
      </c>
      <c r="B1481" s="1">
        <v>1480</v>
      </c>
      <c r="C1481" t="s">
        <v>11006</v>
      </c>
      <c r="D1481" t="s">
        <v>6609</v>
      </c>
      <c r="E1481" t="s">
        <v>11007</v>
      </c>
      <c r="F1481" t="s">
        <v>11008</v>
      </c>
      <c r="G1481" t="s">
        <v>6586</v>
      </c>
    </row>
    <row r="1482" spans="1:7">
      <c r="A1482" t="s">
        <v>6581</v>
      </c>
      <c r="B1482" s="1">
        <v>1481</v>
      </c>
      <c r="C1482" t="s">
        <v>11009</v>
      </c>
      <c r="D1482" t="s">
        <v>6609</v>
      </c>
      <c r="E1482" t="s">
        <v>11010</v>
      </c>
      <c r="F1482" t="s">
        <v>11011</v>
      </c>
      <c r="G1482" t="s">
        <v>6586</v>
      </c>
    </row>
    <row r="1483" spans="1:7">
      <c r="A1483" t="s">
        <v>6581</v>
      </c>
      <c r="B1483" s="1">
        <v>1482</v>
      </c>
      <c r="C1483" t="s">
        <v>11012</v>
      </c>
      <c r="D1483" t="s">
        <v>6609</v>
      </c>
      <c r="E1483" t="s">
        <v>11013</v>
      </c>
      <c r="F1483" t="s">
        <v>11014</v>
      </c>
      <c r="G1483" t="s">
        <v>6586</v>
      </c>
    </row>
    <row r="1484" spans="1:7">
      <c r="A1484" t="s">
        <v>6581</v>
      </c>
      <c r="B1484" s="1">
        <v>1483</v>
      </c>
      <c r="C1484" t="s">
        <v>11015</v>
      </c>
      <c r="D1484" t="s">
        <v>6609</v>
      </c>
      <c r="E1484" t="s">
        <v>11016</v>
      </c>
      <c r="F1484" t="s">
        <v>11017</v>
      </c>
      <c r="G1484" t="s">
        <v>6586</v>
      </c>
    </row>
    <row r="1485" spans="1:7">
      <c r="A1485" t="s">
        <v>6581</v>
      </c>
      <c r="B1485" s="1">
        <v>1484</v>
      </c>
      <c r="C1485" t="s">
        <v>11018</v>
      </c>
      <c r="D1485" t="s">
        <v>10246</v>
      </c>
      <c r="E1485" t="s">
        <v>11019</v>
      </c>
      <c r="F1485" t="s">
        <v>11020</v>
      </c>
      <c r="G1485" t="s">
        <v>6586</v>
      </c>
    </row>
    <row r="1486" spans="1:7">
      <c r="A1486" t="s">
        <v>6581</v>
      </c>
      <c r="B1486" s="1">
        <v>1485</v>
      </c>
      <c r="C1486" t="s">
        <v>11021</v>
      </c>
      <c r="D1486" t="s">
        <v>6654</v>
      </c>
      <c r="E1486" t="s">
        <v>11022</v>
      </c>
      <c r="F1486" t="s">
        <v>11023</v>
      </c>
      <c r="G1486" t="s">
        <v>6586</v>
      </c>
    </row>
    <row r="1487" spans="1:7">
      <c r="A1487" t="s">
        <v>6581</v>
      </c>
      <c r="B1487" s="1">
        <v>1486</v>
      </c>
      <c r="C1487" t="s">
        <v>11024</v>
      </c>
      <c r="D1487" t="s">
        <v>10246</v>
      </c>
      <c r="E1487" t="s">
        <v>11025</v>
      </c>
      <c r="F1487" t="s">
        <v>11026</v>
      </c>
      <c r="G1487" t="s">
        <v>6586</v>
      </c>
    </row>
    <row r="1488" spans="1:7">
      <c r="A1488" t="s">
        <v>6581</v>
      </c>
      <c r="B1488" s="1">
        <v>1487</v>
      </c>
      <c r="C1488" t="s">
        <v>7141</v>
      </c>
      <c r="D1488" t="s">
        <v>6695</v>
      </c>
      <c r="E1488" t="s">
        <v>11027</v>
      </c>
      <c r="F1488" t="s">
        <v>11028</v>
      </c>
      <c r="G1488" t="s">
        <v>6586</v>
      </c>
    </row>
    <row r="1489" spans="1:7">
      <c r="A1489" t="s">
        <v>6581</v>
      </c>
      <c r="B1489" s="1">
        <v>1488</v>
      </c>
      <c r="C1489" t="s">
        <v>11029</v>
      </c>
      <c r="D1489" t="s">
        <v>6609</v>
      </c>
      <c r="E1489" t="s">
        <v>11030</v>
      </c>
      <c r="F1489" t="s">
        <v>11031</v>
      </c>
      <c r="G1489" t="s">
        <v>6586</v>
      </c>
    </row>
    <row r="1490" spans="1:7">
      <c r="A1490" t="s">
        <v>6581</v>
      </c>
      <c r="B1490" s="1">
        <v>1489</v>
      </c>
      <c r="C1490" t="s">
        <v>10419</v>
      </c>
      <c r="D1490" t="s">
        <v>6654</v>
      </c>
      <c r="E1490" t="s">
        <v>11032</v>
      </c>
      <c r="F1490" t="s">
        <v>11033</v>
      </c>
      <c r="G1490" t="s">
        <v>6586</v>
      </c>
    </row>
    <row r="1491" spans="1:7">
      <c r="A1491" t="s">
        <v>6581</v>
      </c>
      <c r="B1491" s="1">
        <v>1490</v>
      </c>
      <c r="C1491" t="s">
        <v>11034</v>
      </c>
      <c r="D1491" t="s">
        <v>6605</v>
      </c>
      <c r="E1491" t="s">
        <v>11035</v>
      </c>
      <c r="F1491" t="s">
        <v>11036</v>
      </c>
      <c r="G1491" t="s">
        <v>6586</v>
      </c>
    </row>
    <row r="1492" spans="1:7">
      <c r="A1492" t="s">
        <v>6581</v>
      </c>
      <c r="B1492" s="1">
        <v>1491</v>
      </c>
      <c r="C1492" t="s">
        <v>11037</v>
      </c>
      <c r="D1492" t="s">
        <v>6609</v>
      </c>
      <c r="E1492" t="s">
        <v>11038</v>
      </c>
      <c r="F1492" t="s">
        <v>11039</v>
      </c>
      <c r="G1492" t="s">
        <v>6586</v>
      </c>
    </row>
    <row r="1493" spans="1:7">
      <c r="A1493" t="s">
        <v>6581</v>
      </c>
      <c r="B1493" s="1">
        <v>1492</v>
      </c>
      <c r="C1493" t="s">
        <v>11040</v>
      </c>
      <c r="D1493" t="s">
        <v>6695</v>
      </c>
      <c r="E1493" t="s">
        <v>11041</v>
      </c>
      <c r="F1493" t="s">
        <v>11042</v>
      </c>
      <c r="G1493" t="s">
        <v>6586</v>
      </c>
    </row>
    <row r="1494" spans="1:7">
      <c r="A1494" t="s">
        <v>6581</v>
      </c>
      <c r="B1494" s="1">
        <v>1493</v>
      </c>
      <c r="C1494" t="s">
        <v>11043</v>
      </c>
      <c r="D1494" t="s">
        <v>6609</v>
      </c>
      <c r="E1494" t="s">
        <v>11044</v>
      </c>
      <c r="F1494" t="s">
        <v>11045</v>
      </c>
      <c r="G1494" t="s">
        <v>6586</v>
      </c>
    </row>
    <row r="1495" spans="1:7">
      <c r="A1495" t="s">
        <v>6581</v>
      </c>
      <c r="B1495" s="1">
        <v>1494</v>
      </c>
      <c r="C1495" t="s">
        <v>11046</v>
      </c>
      <c r="D1495" t="s">
        <v>6609</v>
      </c>
      <c r="E1495" t="s">
        <v>11047</v>
      </c>
      <c r="F1495" t="s">
        <v>11048</v>
      </c>
      <c r="G1495" t="s">
        <v>6586</v>
      </c>
    </row>
    <row r="1496" spans="1:7">
      <c r="A1496" t="s">
        <v>6581</v>
      </c>
      <c r="B1496" s="1">
        <v>1495</v>
      </c>
      <c r="C1496" t="s">
        <v>11049</v>
      </c>
      <c r="D1496" t="s">
        <v>6609</v>
      </c>
      <c r="E1496" t="s">
        <v>11050</v>
      </c>
      <c r="F1496" t="s">
        <v>11051</v>
      </c>
      <c r="G1496" t="s">
        <v>6586</v>
      </c>
    </row>
    <row r="1497" spans="1:7">
      <c r="A1497" t="s">
        <v>6581</v>
      </c>
      <c r="B1497" s="1">
        <v>1496</v>
      </c>
      <c r="C1497" t="s">
        <v>11052</v>
      </c>
      <c r="D1497" t="s">
        <v>6609</v>
      </c>
      <c r="E1497" t="s">
        <v>11053</v>
      </c>
      <c r="F1497" t="s">
        <v>11054</v>
      </c>
      <c r="G1497" t="s">
        <v>6586</v>
      </c>
    </row>
    <row r="1498" spans="1:7">
      <c r="A1498" t="s">
        <v>6581</v>
      </c>
      <c r="B1498" s="1">
        <v>1497</v>
      </c>
      <c r="C1498" t="s">
        <v>11055</v>
      </c>
      <c r="D1498" t="s">
        <v>6609</v>
      </c>
      <c r="E1498" t="s">
        <v>11056</v>
      </c>
      <c r="F1498" t="s">
        <v>11057</v>
      </c>
      <c r="G1498" t="s">
        <v>6586</v>
      </c>
    </row>
    <row r="1499" spans="1:7">
      <c r="A1499" t="s">
        <v>6581</v>
      </c>
      <c r="B1499" s="1">
        <v>1498</v>
      </c>
      <c r="C1499" t="s">
        <v>11058</v>
      </c>
      <c r="D1499" t="s">
        <v>6609</v>
      </c>
      <c r="E1499" t="s">
        <v>11059</v>
      </c>
      <c r="F1499" t="s">
        <v>11060</v>
      </c>
      <c r="G1499" t="s">
        <v>6586</v>
      </c>
    </row>
    <row r="1500" spans="1:7">
      <c r="A1500" t="s">
        <v>6581</v>
      </c>
      <c r="B1500" s="1">
        <v>1499</v>
      </c>
      <c r="C1500" t="s">
        <v>11061</v>
      </c>
      <c r="D1500" t="s">
        <v>6609</v>
      </c>
      <c r="E1500" t="s">
        <v>11062</v>
      </c>
      <c r="F1500" t="s">
        <v>11063</v>
      </c>
      <c r="G1500" t="s">
        <v>6586</v>
      </c>
    </row>
    <row r="1501" spans="1:7">
      <c r="A1501" t="s">
        <v>6581</v>
      </c>
      <c r="B1501" s="1">
        <v>1500</v>
      </c>
      <c r="C1501" t="s">
        <v>11064</v>
      </c>
      <c r="D1501" t="s">
        <v>10246</v>
      </c>
      <c r="E1501" t="s">
        <v>11065</v>
      </c>
      <c r="F1501" t="s">
        <v>11066</v>
      </c>
      <c r="G1501" t="s">
        <v>6586</v>
      </c>
    </row>
    <row r="1502" spans="1:7">
      <c r="A1502" t="s">
        <v>6581</v>
      </c>
      <c r="B1502" s="1">
        <v>1501</v>
      </c>
      <c r="C1502" t="s">
        <v>11067</v>
      </c>
      <c r="D1502" t="s">
        <v>6609</v>
      </c>
      <c r="E1502" t="s">
        <v>11068</v>
      </c>
      <c r="F1502" t="s">
        <v>11069</v>
      </c>
      <c r="G1502" t="s">
        <v>6586</v>
      </c>
    </row>
    <row r="1503" spans="1:7">
      <c r="A1503" t="s">
        <v>6581</v>
      </c>
      <c r="B1503" s="1">
        <v>1502</v>
      </c>
      <c r="C1503" t="s">
        <v>11070</v>
      </c>
      <c r="D1503" t="s">
        <v>6598</v>
      </c>
      <c r="E1503" t="s">
        <v>11071</v>
      </c>
      <c r="F1503" t="s">
        <v>11072</v>
      </c>
      <c r="G1503" t="s">
        <v>6586</v>
      </c>
    </row>
    <row r="1504" spans="1:7">
      <c r="A1504" t="s">
        <v>6581</v>
      </c>
      <c r="B1504" s="1">
        <v>1503</v>
      </c>
      <c r="C1504" t="s">
        <v>11073</v>
      </c>
      <c r="D1504" t="s">
        <v>6609</v>
      </c>
      <c r="E1504" t="s">
        <v>11074</v>
      </c>
      <c r="F1504" t="s">
        <v>11075</v>
      </c>
      <c r="G1504" t="s">
        <v>6586</v>
      </c>
    </row>
    <row r="1505" spans="1:7">
      <c r="A1505" t="s">
        <v>6581</v>
      </c>
      <c r="B1505" s="1">
        <v>1504</v>
      </c>
      <c r="C1505" t="s">
        <v>11076</v>
      </c>
      <c r="D1505" t="s">
        <v>6609</v>
      </c>
      <c r="E1505" t="s">
        <v>11077</v>
      </c>
      <c r="F1505" t="s">
        <v>11078</v>
      </c>
      <c r="G1505" t="s">
        <v>6586</v>
      </c>
    </row>
    <row r="1506" spans="1:7">
      <c r="A1506" t="s">
        <v>6581</v>
      </c>
      <c r="B1506" s="1">
        <v>1505</v>
      </c>
      <c r="C1506" t="s">
        <v>11079</v>
      </c>
      <c r="D1506" t="s">
        <v>6598</v>
      </c>
      <c r="E1506" t="s">
        <v>11080</v>
      </c>
      <c r="F1506" t="s">
        <v>11081</v>
      </c>
      <c r="G1506" t="s">
        <v>6586</v>
      </c>
    </row>
    <row r="1507" spans="1:7">
      <c r="A1507" t="s">
        <v>6581</v>
      </c>
      <c r="B1507" s="1">
        <v>1506</v>
      </c>
      <c r="C1507" t="s">
        <v>11082</v>
      </c>
      <c r="D1507" t="s">
        <v>6605</v>
      </c>
      <c r="E1507" t="s">
        <v>11083</v>
      </c>
      <c r="F1507" t="s">
        <v>11084</v>
      </c>
      <c r="G1507" t="s">
        <v>6586</v>
      </c>
    </row>
    <row r="1508" spans="1:7">
      <c r="A1508" t="s">
        <v>6581</v>
      </c>
      <c r="B1508" s="1">
        <v>1507</v>
      </c>
      <c r="C1508" t="s">
        <v>7033</v>
      </c>
      <c r="D1508" t="s">
        <v>6605</v>
      </c>
      <c r="E1508" t="s">
        <v>11085</v>
      </c>
      <c r="F1508" t="s">
        <v>11086</v>
      </c>
      <c r="G1508" t="s">
        <v>6586</v>
      </c>
    </row>
    <row r="1509" spans="1:7">
      <c r="A1509" t="s">
        <v>6581</v>
      </c>
      <c r="B1509" s="1">
        <v>1508</v>
      </c>
      <c r="C1509" t="s">
        <v>11087</v>
      </c>
      <c r="D1509" t="s">
        <v>6605</v>
      </c>
      <c r="E1509" t="s">
        <v>11088</v>
      </c>
      <c r="F1509" t="s">
        <v>11089</v>
      </c>
      <c r="G1509" t="s">
        <v>6586</v>
      </c>
    </row>
    <row r="1510" spans="1:7">
      <c r="A1510" t="s">
        <v>6581</v>
      </c>
      <c r="B1510" s="1">
        <v>1509</v>
      </c>
      <c r="C1510" t="s">
        <v>11090</v>
      </c>
      <c r="D1510" t="s">
        <v>6605</v>
      </c>
      <c r="E1510" t="s">
        <v>11091</v>
      </c>
      <c r="F1510" t="s">
        <v>11092</v>
      </c>
      <c r="G1510" t="s">
        <v>6586</v>
      </c>
    </row>
    <row r="1511" spans="1:7">
      <c r="A1511" t="s">
        <v>6581</v>
      </c>
      <c r="B1511" s="1">
        <v>1510</v>
      </c>
      <c r="C1511" t="s">
        <v>11093</v>
      </c>
      <c r="D1511" t="s">
        <v>6605</v>
      </c>
      <c r="E1511" t="s">
        <v>11094</v>
      </c>
      <c r="F1511" t="s">
        <v>11095</v>
      </c>
      <c r="G1511" t="s">
        <v>6586</v>
      </c>
    </row>
    <row r="1512" spans="1:7">
      <c r="A1512" t="s">
        <v>6581</v>
      </c>
      <c r="B1512" s="1">
        <v>1511</v>
      </c>
      <c r="C1512" t="s">
        <v>11096</v>
      </c>
      <c r="D1512" t="s">
        <v>6654</v>
      </c>
      <c r="E1512" t="s">
        <v>11097</v>
      </c>
      <c r="F1512" t="s">
        <v>11098</v>
      </c>
      <c r="G1512" t="s">
        <v>6586</v>
      </c>
    </row>
    <row r="1513" spans="1:7">
      <c r="A1513" t="s">
        <v>6581</v>
      </c>
      <c r="B1513" s="1">
        <v>1512</v>
      </c>
      <c r="C1513" t="s">
        <v>11099</v>
      </c>
      <c r="D1513" t="s">
        <v>6654</v>
      </c>
      <c r="E1513" t="s">
        <v>11100</v>
      </c>
      <c r="F1513" t="s">
        <v>11101</v>
      </c>
      <c r="G1513" t="s">
        <v>6586</v>
      </c>
    </row>
    <row r="1514" spans="1:7">
      <c r="A1514" t="s">
        <v>6581</v>
      </c>
      <c r="B1514" s="1">
        <v>1513</v>
      </c>
      <c r="C1514" t="s">
        <v>11102</v>
      </c>
      <c r="D1514" t="s">
        <v>6654</v>
      </c>
      <c r="E1514" t="s">
        <v>11103</v>
      </c>
      <c r="F1514" t="s">
        <v>11104</v>
      </c>
      <c r="G1514" t="s">
        <v>6586</v>
      </c>
    </row>
    <row r="1515" spans="1:7">
      <c r="A1515" t="s">
        <v>6581</v>
      </c>
      <c r="B1515" s="1">
        <v>1514</v>
      </c>
      <c r="C1515" t="s">
        <v>11105</v>
      </c>
      <c r="D1515" t="s">
        <v>6654</v>
      </c>
      <c r="E1515" t="s">
        <v>11106</v>
      </c>
      <c r="F1515" t="s">
        <v>11107</v>
      </c>
      <c r="G1515" t="s">
        <v>6586</v>
      </c>
    </row>
    <row r="1516" spans="1:7">
      <c r="A1516" t="s">
        <v>6581</v>
      </c>
      <c r="B1516" s="1">
        <v>1515</v>
      </c>
      <c r="C1516" t="s">
        <v>11108</v>
      </c>
      <c r="D1516" t="s">
        <v>6654</v>
      </c>
      <c r="E1516" t="s">
        <v>11109</v>
      </c>
      <c r="F1516" t="s">
        <v>11110</v>
      </c>
      <c r="G1516" t="s">
        <v>6586</v>
      </c>
    </row>
    <row r="1517" spans="1:7">
      <c r="A1517" t="s">
        <v>6581</v>
      </c>
      <c r="B1517" s="1">
        <v>1516</v>
      </c>
      <c r="C1517" t="s">
        <v>11111</v>
      </c>
      <c r="D1517" t="s">
        <v>6598</v>
      </c>
      <c r="E1517" t="s">
        <v>11112</v>
      </c>
      <c r="F1517" t="s">
        <v>11113</v>
      </c>
      <c r="G1517" t="s">
        <v>6586</v>
      </c>
    </row>
    <row r="1518" spans="1:7">
      <c r="A1518" t="s">
        <v>6581</v>
      </c>
      <c r="B1518" s="1">
        <v>1517</v>
      </c>
      <c r="C1518" t="s">
        <v>11114</v>
      </c>
      <c r="D1518" t="s">
        <v>6598</v>
      </c>
      <c r="E1518" t="s">
        <v>11115</v>
      </c>
      <c r="F1518" t="s">
        <v>11116</v>
      </c>
      <c r="G1518" t="s">
        <v>6586</v>
      </c>
    </row>
    <row r="1519" spans="1:7">
      <c r="A1519" t="s">
        <v>6581</v>
      </c>
      <c r="B1519" s="1">
        <v>1518</v>
      </c>
      <c r="C1519" t="s">
        <v>10111</v>
      </c>
      <c r="D1519" t="s">
        <v>6598</v>
      </c>
      <c r="E1519" t="s">
        <v>11117</v>
      </c>
      <c r="F1519" t="s">
        <v>11118</v>
      </c>
      <c r="G1519" t="s">
        <v>6586</v>
      </c>
    </row>
    <row r="1520" spans="1:7">
      <c r="A1520" t="s">
        <v>6581</v>
      </c>
      <c r="B1520" s="1">
        <v>1519</v>
      </c>
      <c r="C1520" t="s">
        <v>10099</v>
      </c>
      <c r="D1520" t="s">
        <v>6598</v>
      </c>
      <c r="E1520" t="s">
        <v>11119</v>
      </c>
      <c r="F1520" t="s">
        <v>11120</v>
      </c>
      <c r="G1520" t="s">
        <v>6586</v>
      </c>
    </row>
    <row r="1521" spans="1:7">
      <c r="A1521" t="s">
        <v>6581</v>
      </c>
      <c r="B1521" s="1">
        <v>1520</v>
      </c>
      <c r="C1521" t="s">
        <v>11121</v>
      </c>
      <c r="D1521" t="s">
        <v>6609</v>
      </c>
      <c r="E1521" t="s">
        <v>11122</v>
      </c>
      <c r="F1521" t="s">
        <v>11123</v>
      </c>
      <c r="G1521" t="s">
        <v>6586</v>
      </c>
    </row>
    <row r="1522" spans="1:7">
      <c r="A1522" t="s">
        <v>6581</v>
      </c>
      <c r="B1522" s="1">
        <v>1521</v>
      </c>
      <c r="C1522" t="s">
        <v>11124</v>
      </c>
      <c r="D1522" t="s">
        <v>6605</v>
      </c>
      <c r="E1522" t="s">
        <v>11125</v>
      </c>
      <c r="F1522" t="s">
        <v>11126</v>
      </c>
      <c r="G1522" t="s">
        <v>6586</v>
      </c>
    </row>
    <row r="1523" spans="1:7">
      <c r="A1523" t="s">
        <v>6581</v>
      </c>
      <c r="B1523" s="1">
        <v>1522</v>
      </c>
      <c r="C1523" t="s">
        <v>11127</v>
      </c>
      <c r="D1523" t="s">
        <v>6609</v>
      </c>
      <c r="E1523" t="s">
        <v>11128</v>
      </c>
      <c r="F1523" t="s">
        <v>11129</v>
      </c>
      <c r="G1523" t="s">
        <v>6586</v>
      </c>
    </row>
    <row r="1524" spans="1:7">
      <c r="A1524" t="s">
        <v>6581</v>
      </c>
      <c r="B1524" s="1">
        <v>1523</v>
      </c>
      <c r="C1524" t="s">
        <v>11130</v>
      </c>
      <c r="D1524" t="s">
        <v>6598</v>
      </c>
      <c r="E1524" t="s">
        <v>11131</v>
      </c>
      <c r="F1524" t="s">
        <v>11132</v>
      </c>
      <c r="G1524" t="s">
        <v>6586</v>
      </c>
    </row>
    <row r="1525" spans="1:7">
      <c r="A1525" t="s">
        <v>6581</v>
      </c>
      <c r="B1525" s="1">
        <v>1524</v>
      </c>
      <c r="C1525" t="s">
        <v>11133</v>
      </c>
      <c r="D1525" t="s">
        <v>6598</v>
      </c>
      <c r="E1525" t="s">
        <v>11134</v>
      </c>
      <c r="F1525" t="s">
        <v>11135</v>
      </c>
      <c r="G1525" t="s">
        <v>6586</v>
      </c>
    </row>
    <row r="1526" spans="1:7">
      <c r="A1526" t="s">
        <v>6581</v>
      </c>
      <c r="B1526" s="1">
        <v>1525</v>
      </c>
      <c r="C1526" t="s">
        <v>11136</v>
      </c>
      <c r="D1526" t="s">
        <v>6598</v>
      </c>
      <c r="E1526" t="s">
        <v>11137</v>
      </c>
      <c r="F1526" t="s">
        <v>11138</v>
      </c>
      <c r="G1526" t="s">
        <v>6586</v>
      </c>
    </row>
    <row r="1527" spans="1:7">
      <c r="A1527" t="s">
        <v>6581</v>
      </c>
      <c r="B1527" s="1">
        <v>1526</v>
      </c>
      <c r="C1527" t="s">
        <v>11139</v>
      </c>
      <c r="D1527" t="s">
        <v>6598</v>
      </c>
      <c r="E1527" t="s">
        <v>11140</v>
      </c>
      <c r="F1527" t="s">
        <v>11141</v>
      </c>
      <c r="G1527" t="s">
        <v>6586</v>
      </c>
    </row>
    <row r="1528" spans="1:7">
      <c r="A1528" t="s">
        <v>6581</v>
      </c>
      <c r="B1528" s="1">
        <v>1527</v>
      </c>
      <c r="C1528" t="s">
        <v>11142</v>
      </c>
      <c r="D1528" t="s">
        <v>6598</v>
      </c>
      <c r="E1528" t="s">
        <v>11143</v>
      </c>
      <c r="F1528" t="s">
        <v>11144</v>
      </c>
      <c r="G1528" t="s">
        <v>6586</v>
      </c>
    </row>
    <row r="1529" spans="1:7">
      <c r="A1529" t="s">
        <v>6581</v>
      </c>
      <c r="B1529" s="1">
        <v>1528</v>
      </c>
      <c r="C1529" t="s">
        <v>11145</v>
      </c>
      <c r="D1529" t="s">
        <v>6598</v>
      </c>
      <c r="E1529" t="s">
        <v>11146</v>
      </c>
      <c r="F1529" t="s">
        <v>11147</v>
      </c>
      <c r="G1529" t="s">
        <v>6586</v>
      </c>
    </row>
    <row r="1530" spans="1:7">
      <c r="A1530" t="s">
        <v>6581</v>
      </c>
      <c r="B1530" s="1">
        <v>1529</v>
      </c>
      <c r="C1530" t="s">
        <v>11148</v>
      </c>
      <c r="D1530" t="s">
        <v>10246</v>
      </c>
      <c r="E1530" t="s">
        <v>11149</v>
      </c>
      <c r="F1530" t="s">
        <v>11150</v>
      </c>
      <c r="G1530" t="s">
        <v>6586</v>
      </c>
    </row>
    <row r="1531" spans="1:7">
      <c r="A1531" t="s">
        <v>6581</v>
      </c>
      <c r="B1531" s="1">
        <v>1530</v>
      </c>
      <c r="C1531" t="s">
        <v>11151</v>
      </c>
      <c r="D1531" t="s">
        <v>6609</v>
      </c>
      <c r="E1531" t="s">
        <v>11152</v>
      </c>
      <c r="F1531" t="s">
        <v>11153</v>
      </c>
      <c r="G1531" t="s">
        <v>6586</v>
      </c>
    </row>
    <row r="1532" spans="1:7">
      <c r="A1532" t="s">
        <v>6581</v>
      </c>
      <c r="B1532" s="1">
        <v>1531</v>
      </c>
      <c r="C1532" t="s">
        <v>11154</v>
      </c>
      <c r="D1532" t="s">
        <v>6609</v>
      </c>
      <c r="E1532" t="s">
        <v>11155</v>
      </c>
      <c r="F1532" t="s">
        <v>11156</v>
      </c>
      <c r="G1532" t="s">
        <v>6586</v>
      </c>
    </row>
    <row r="1533" spans="1:7">
      <c r="A1533" t="s">
        <v>6581</v>
      </c>
      <c r="B1533" s="1">
        <v>1532</v>
      </c>
      <c r="C1533" t="s">
        <v>11157</v>
      </c>
      <c r="D1533" t="s">
        <v>6605</v>
      </c>
      <c r="E1533" t="s">
        <v>11158</v>
      </c>
      <c r="F1533" t="s">
        <v>11159</v>
      </c>
      <c r="G1533" t="s">
        <v>6586</v>
      </c>
    </row>
    <row r="1534" spans="1:7">
      <c r="A1534" t="s">
        <v>6581</v>
      </c>
      <c r="B1534" s="1">
        <v>1533</v>
      </c>
      <c r="C1534" t="s">
        <v>11160</v>
      </c>
      <c r="D1534" t="s">
        <v>6605</v>
      </c>
      <c r="E1534" t="s">
        <v>11161</v>
      </c>
      <c r="F1534" t="s">
        <v>11162</v>
      </c>
      <c r="G1534" t="s">
        <v>6586</v>
      </c>
    </row>
    <row r="1535" spans="1:7">
      <c r="A1535" t="s">
        <v>6581</v>
      </c>
      <c r="B1535" s="1">
        <v>1534</v>
      </c>
      <c r="C1535" t="s">
        <v>11163</v>
      </c>
      <c r="D1535" t="s">
        <v>6605</v>
      </c>
      <c r="E1535" t="s">
        <v>11164</v>
      </c>
      <c r="F1535" t="s">
        <v>11165</v>
      </c>
      <c r="G1535" t="s">
        <v>6586</v>
      </c>
    </row>
    <row r="1536" spans="1:7">
      <c r="A1536" t="s">
        <v>6581</v>
      </c>
      <c r="B1536" s="1">
        <v>1535</v>
      </c>
      <c r="C1536" t="s">
        <v>11166</v>
      </c>
      <c r="D1536" t="s">
        <v>6598</v>
      </c>
      <c r="E1536" t="s">
        <v>11167</v>
      </c>
      <c r="F1536" t="s">
        <v>11168</v>
      </c>
      <c r="G1536" t="s">
        <v>6586</v>
      </c>
    </row>
    <row r="1537" spans="1:7">
      <c r="A1537" t="s">
        <v>6581</v>
      </c>
      <c r="B1537" s="1">
        <v>1536</v>
      </c>
      <c r="C1537" t="s">
        <v>11169</v>
      </c>
      <c r="D1537" t="s">
        <v>6609</v>
      </c>
      <c r="E1537" t="s">
        <v>10417</v>
      </c>
      <c r="F1537" t="s">
        <v>11170</v>
      </c>
      <c r="G1537" t="s">
        <v>6586</v>
      </c>
    </row>
    <row r="1538" spans="1:7">
      <c r="A1538" t="s">
        <v>6581</v>
      </c>
      <c r="B1538" s="1">
        <v>1537</v>
      </c>
      <c r="C1538" t="s">
        <v>11171</v>
      </c>
      <c r="D1538" t="s">
        <v>6609</v>
      </c>
      <c r="E1538" t="s">
        <v>11172</v>
      </c>
      <c r="F1538" t="s">
        <v>11173</v>
      </c>
      <c r="G1538" t="s">
        <v>6586</v>
      </c>
    </row>
    <row r="1539" spans="1:7">
      <c r="A1539" t="s">
        <v>6581</v>
      </c>
      <c r="B1539" s="1">
        <v>1538</v>
      </c>
      <c r="C1539" t="s">
        <v>11174</v>
      </c>
      <c r="D1539" t="s">
        <v>6609</v>
      </c>
      <c r="E1539" t="s">
        <v>11175</v>
      </c>
      <c r="F1539" t="s">
        <v>11176</v>
      </c>
      <c r="G1539" t="s">
        <v>6586</v>
      </c>
    </row>
    <row r="1540" spans="1:7">
      <c r="A1540" t="s">
        <v>6581</v>
      </c>
      <c r="B1540" s="1">
        <v>1539</v>
      </c>
      <c r="C1540" t="s">
        <v>11177</v>
      </c>
      <c r="D1540" t="s">
        <v>6609</v>
      </c>
      <c r="E1540" t="s">
        <v>11178</v>
      </c>
      <c r="F1540" t="s">
        <v>11179</v>
      </c>
      <c r="G1540" t="s">
        <v>6586</v>
      </c>
    </row>
    <row r="1541" spans="1:7">
      <c r="A1541" t="s">
        <v>6581</v>
      </c>
      <c r="B1541" s="1">
        <v>1540</v>
      </c>
      <c r="C1541" t="s">
        <v>11180</v>
      </c>
      <c r="D1541" t="s">
        <v>6609</v>
      </c>
      <c r="E1541" t="s">
        <v>11181</v>
      </c>
      <c r="F1541" t="s">
        <v>11182</v>
      </c>
      <c r="G1541" t="s">
        <v>6586</v>
      </c>
    </row>
    <row r="1542" spans="1:7">
      <c r="A1542" t="s">
        <v>6581</v>
      </c>
      <c r="B1542" s="1">
        <v>1541</v>
      </c>
      <c r="C1542" t="s">
        <v>11183</v>
      </c>
      <c r="D1542" t="s">
        <v>6705</v>
      </c>
      <c r="E1542" t="s">
        <v>11184</v>
      </c>
      <c r="F1542" t="s">
        <v>11185</v>
      </c>
      <c r="G1542" t="s">
        <v>6586</v>
      </c>
    </row>
    <row r="1543" spans="1:7">
      <c r="A1543" t="s">
        <v>6581</v>
      </c>
      <c r="B1543" s="1">
        <v>1542</v>
      </c>
      <c r="C1543" t="s">
        <v>11186</v>
      </c>
      <c r="D1543" t="s">
        <v>6609</v>
      </c>
      <c r="E1543" t="s">
        <v>11187</v>
      </c>
      <c r="F1543" t="s">
        <v>11188</v>
      </c>
      <c r="G1543" t="s">
        <v>6586</v>
      </c>
    </row>
    <row r="1544" spans="1:7">
      <c r="A1544" t="s">
        <v>6581</v>
      </c>
      <c r="B1544" s="1">
        <v>1543</v>
      </c>
      <c r="C1544" t="s">
        <v>11189</v>
      </c>
      <c r="D1544" t="s">
        <v>6605</v>
      </c>
      <c r="E1544" t="s">
        <v>11190</v>
      </c>
      <c r="F1544" t="s">
        <v>11191</v>
      </c>
      <c r="G1544" t="s">
        <v>6586</v>
      </c>
    </row>
    <row r="1545" spans="1:7">
      <c r="A1545" t="s">
        <v>6581</v>
      </c>
      <c r="B1545" s="1">
        <v>1544</v>
      </c>
      <c r="C1545" t="s">
        <v>11192</v>
      </c>
      <c r="D1545" t="s">
        <v>6598</v>
      </c>
      <c r="E1545" t="s">
        <v>11193</v>
      </c>
      <c r="F1545" t="s">
        <v>11194</v>
      </c>
      <c r="G1545" t="s">
        <v>6586</v>
      </c>
    </row>
    <row r="1546" spans="1:7">
      <c r="A1546" t="s">
        <v>6581</v>
      </c>
      <c r="B1546" s="1">
        <v>1545</v>
      </c>
      <c r="C1546" t="s">
        <v>11195</v>
      </c>
      <c r="D1546" t="s">
        <v>6598</v>
      </c>
      <c r="E1546" t="s">
        <v>11196</v>
      </c>
      <c r="F1546" t="s">
        <v>11197</v>
      </c>
      <c r="G1546" t="s">
        <v>6586</v>
      </c>
    </row>
    <row r="1547" spans="1:7">
      <c r="A1547" t="s">
        <v>6581</v>
      </c>
      <c r="B1547" s="1">
        <v>1546</v>
      </c>
      <c r="C1547" t="s">
        <v>11198</v>
      </c>
      <c r="D1547" t="s">
        <v>10246</v>
      </c>
      <c r="E1547" t="s">
        <v>11199</v>
      </c>
      <c r="F1547" t="s">
        <v>11200</v>
      </c>
      <c r="G1547" t="s">
        <v>6586</v>
      </c>
    </row>
    <row r="1548" spans="1:7">
      <c r="A1548" t="s">
        <v>6581</v>
      </c>
      <c r="B1548" s="1">
        <v>1547</v>
      </c>
      <c r="C1548" t="s">
        <v>11201</v>
      </c>
      <c r="D1548" t="s">
        <v>10246</v>
      </c>
      <c r="E1548" t="s">
        <v>11202</v>
      </c>
      <c r="F1548" t="s">
        <v>11203</v>
      </c>
      <c r="G1548" t="s">
        <v>6586</v>
      </c>
    </row>
    <row r="1549" spans="1:7">
      <c r="A1549" t="s">
        <v>6581</v>
      </c>
      <c r="B1549" s="1">
        <v>1548</v>
      </c>
      <c r="C1549" t="s">
        <v>11204</v>
      </c>
      <c r="D1549" t="s">
        <v>6598</v>
      </c>
      <c r="E1549" t="s">
        <v>11205</v>
      </c>
      <c r="F1549" t="s">
        <v>11206</v>
      </c>
      <c r="G1549" t="s">
        <v>6586</v>
      </c>
    </row>
    <row r="1550" spans="1:7">
      <c r="A1550" t="s">
        <v>6581</v>
      </c>
      <c r="B1550" s="1">
        <v>1549</v>
      </c>
      <c r="C1550" t="s">
        <v>11207</v>
      </c>
      <c r="D1550" t="s">
        <v>6705</v>
      </c>
      <c r="E1550" t="s">
        <v>11208</v>
      </c>
      <c r="F1550" t="s">
        <v>11209</v>
      </c>
      <c r="G1550" t="s">
        <v>6586</v>
      </c>
    </row>
    <row r="1551" spans="1:7">
      <c r="A1551" t="s">
        <v>6581</v>
      </c>
      <c r="B1551" s="1">
        <v>1550</v>
      </c>
      <c r="C1551" t="s">
        <v>11210</v>
      </c>
      <c r="D1551" t="s">
        <v>6598</v>
      </c>
      <c r="E1551" t="s">
        <v>11211</v>
      </c>
      <c r="F1551" t="s">
        <v>11212</v>
      </c>
      <c r="G1551" t="s">
        <v>6586</v>
      </c>
    </row>
    <row r="1552" spans="1:7">
      <c r="A1552" t="s">
        <v>6581</v>
      </c>
      <c r="B1552" s="1">
        <v>1551</v>
      </c>
      <c r="C1552" t="s">
        <v>11213</v>
      </c>
      <c r="D1552" t="s">
        <v>6654</v>
      </c>
      <c r="E1552" t="s">
        <v>11214</v>
      </c>
      <c r="F1552" t="s">
        <v>11215</v>
      </c>
      <c r="G1552" t="s">
        <v>6586</v>
      </c>
    </row>
    <row r="1553" spans="1:7">
      <c r="A1553" t="s">
        <v>6581</v>
      </c>
      <c r="B1553" s="1">
        <v>1552</v>
      </c>
      <c r="C1553" t="s">
        <v>11216</v>
      </c>
      <c r="D1553" t="s">
        <v>6609</v>
      </c>
      <c r="E1553" t="s">
        <v>11217</v>
      </c>
      <c r="F1553" t="s">
        <v>11218</v>
      </c>
      <c r="G1553" t="s">
        <v>6586</v>
      </c>
    </row>
    <row r="1554" spans="1:7">
      <c r="A1554" t="s">
        <v>6581</v>
      </c>
      <c r="B1554" s="1">
        <v>1553</v>
      </c>
      <c r="C1554" t="s">
        <v>11219</v>
      </c>
      <c r="D1554" t="s">
        <v>10246</v>
      </c>
      <c r="E1554" t="s">
        <v>11220</v>
      </c>
      <c r="F1554" t="s">
        <v>11221</v>
      </c>
      <c r="G1554" t="s">
        <v>6586</v>
      </c>
    </row>
    <row r="1555" spans="1:7">
      <c r="A1555" t="s">
        <v>6581</v>
      </c>
      <c r="B1555" s="1">
        <v>1554</v>
      </c>
      <c r="C1555" t="s">
        <v>11222</v>
      </c>
      <c r="D1555" t="s">
        <v>10246</v>
      </c>
      <c r="E1555" t="s">
        <v>11223</v>
      </c>
      <c r="F1555" t="s">
        <v>11224</v>
      </c>
      <c r="G1555" t="s">
        <v>6586</v>
      </c>
    </row>
    <row r="1556" spans="1:7">
      <c r="A1556" t="s">
        <v>6581</v>
      </c>
      <c r="B1556" s="1">
        <v>1555</v>
      </c>
      <c r="C1556" t="s">
        <v>11225</v>
      </c>
      <c r="D1556" t="s">
        <v>6598</v>
      </c>
      <c r="E1556" t="s">
        <v>11226</v>
      </c>
      <c r="F1556" t="s">
        <v>11227</v>
      </c>
      <c r="G1556" t="s">
        <v>6586</v>
      </c>
    </row>
    <row r="1557" spans="1:7">
      <c r="A1557" t="s">
        <v>6581</v>
      </c>
      <c r="B1557" s="1">
        <v>1556</v>
      </c>
      <c r="C1557" t="s">
        <v>11228</v>
      </c>
      <c r="D1557" t="s">
        <v>6598</v>
      </c>
      <c r="E1557" t="s">
        <v>11229</v>
      </c>
      <c r="F1557" t="s">
        <v>11230</v>
      </c>
      <c r="G1557" t="s">
        <v>6586</v>
      </c>
    </row>
    <row r="1558" spans="1:7">
      <c r="A1558" t="s">
        <v>6581</v>
      </c>
      <c r="B1558" s="1">
        <v>1557</v>
      </c>
      <c r="C1558" t="s">
        <v>11231</v>
      </c>
      <c r="D1558" t="s">
        <v>6654</v>
      </c>
      <c r="E1558" t="s">
        <v>11232</v>
      </c>
      <c r="F1558" t="s">
        <v>11233</v>
      </c>
      <c r="G1558" t="s">
        <v>6586</v>
      </c>
    </row>
    <row r="1559" spans="1:7">
      <c r="A1559" t="s">
        <v>6581</v>
      </c>
      <c r="B1559" s="1">
        <v>1558</v>
      </c>
      <c r="C1559" t="s">
        <v>11234</v>
      </c>
      <c r="D1559" t="s">
        <v>6605</v>
      </c>
      <c r="E1559" t="s">
        <v>11235</v>
      </c>
      <c r="F1559" t="s">
        <v>11236</v>
      </c>
      <c r="G1559" t="s">
        <v>6586</v>
      </c>
    </row>
    <row r="1560" spans="1:7">
      <c r="A1560" t="s">
        <v>6581</v>
      </c>
      <c r="B1560" s="1">
        <v>1559</v>
      </c>
      <c r="C1560" t="s">
        <v>11237</v>
      </c>
      <c r="D1560" t="s">
        <v>6598</v>
      </c>
      <c r="E1560" t="s">
        <v>11238</v>
      </c>
      <c r="F1560" t="s">
        <v>11239</v>
      </c>
      <c r="G1560" t="s">
        <v>6586</v>
      </c>
    </row>
    <row r="1561" spans="1:7">
      <c r="A1561" t="s">
        <v>6581</v>
      </c>
      <c r="B1561" s="1">
        <v>1560</v>
      </c>
      <c r="C1561" t="s">
        <v>11240</v>
      </c>
      <c r="D1561" t="s">
        <v>6598</v>
      </c>
      <c r="E1561" t="s">
        <v>11241</v>
      </c>
      <c r="F1561" t="s">
        <v>11242</v>
      </c>
      <c r="G1561" t="s">
        <v>6586</v>
      </c>
    </row>
    <row r="1562" spans="1:7">
      <c r="A1562" t="s">
        <v>6581</v>
      </c>
      <c r="B1562" s="1">
        <v>1561</v>
      </c>
      <c r="C1562" t="s">
        <v>11243</v>
      </c>
      <c r="D1562" t="s">
        <v>10246</v>
      </c>
      <c r="E1562" t="s">
        <v>11244</v>
      </c>
      <c r="F1562" t="s">
        <v>11245</v>
      </c>
      <c r="G1562" t="s">
        <v>6586</v>
      </c>
    </row>
    <row r="1563" spans="1:7">
      <c r="A1563" t="s">
        <v>6581</v>
      </c>
      <c r="B1563" s="1">
        <v>1562</v>
      </c>
      <c r="C1563" t="s">
        <v>11246</v>
      </c>
      <c r="D1563" t="s">
        <v>10246</v>
      </c>
      <c r="E1563" t="s">
        <v>11247</v>
      </c>
      <c r="F1563" t="s">
        <v>11248</v>
      </c>
      <c r="G1563" t="s">
        <v>6586</v>
      </c>
    </row>
    <row r="1564" spans="1:7">
      <c r="A1564" t="s">
        <v>6581</v>
      </c>
      <c r="B1564" s="1">
        <v>1563</v>
      </c>
      <c r="C1564" t="s">
        <v>11249</v>
      </c>
      <c r="D1564" t="s">
        <v>6598</v>
      </c>
      <c r="E1564" t="s">
        <v>11250</v>
      </c>
      <c r="F1564" t="s">
        <v>11251</v>
      </c>
      <c r="G1564" t="s">
        <v>6586</v>
      </c>
    </row>
    <row r="1565" spans="1:7">
      <c r="A1565" t="s">
        <v>6581</v>
      </c>
      <c r="B1565" s="1">
        <v>1564</v>
      </c>
      <c r="C1565" t="s">
        <v>11252</v>
      </c>
      <c r="D1565" t="s">
        <v>6654</v>
      </c>
      <c r="E1565" t="s">
        <v>11253</v>
      </c>
      <c r="F1565" t="s">
        <v>11254</v>
      </c>
      <c r="G1565" t="s">
        <v>6586</v>
      </c>
    </row>
    <row r="1566" spans="1:7">
      <c r="A1566" t="s">
        <v>6581</v>
      </c>
      <c r="B1566" s="1">
        <v>1565</v>
      </c>
      <c r="C1566" t="s">
        <v>11255</v>
      </c>
      <c r="D1566" t="s">
        <v>6598</v>
      </c>
      <c r="E1566" t="s">
        <v>11256</v>
      </c>
      <c r="F1566" t="s">
        <v>11257</v>
      </c>
      <c r="G1566" t="s">
        <v>6586</v>
      </c>
    </row>
    <row r="1567" spans="1:7">
      <c r="A1567" t="s">
        <v>6581</v>
      </c>
      <c r="B1567" s="1">
        <v>1566</v>
      </c>
      <c r="C1567" t="s">
        <v>11258</v>
      </c>
      <c r="D1567" t="s">
        <v>6598</v>
      </c>
      <c r="E1567" t="s">
        <v>11259</v>
      </c>
      <c r="F1567" t="s">
        <v>11260</v>
      </c>
      <c r="G1567" t="s">
        <v>6586</v>
      </c>
    </row>
    <row r="1568" spans="1:7">
      <c r="A1568" t="s">
        <v>6581</v>
      </c>
      <c r="B1568" s="1">
        <v>1567</v>
      </c>
      <c r="C1568" t="s">
        <v>11261</v>
      </c>
      <c r="D1568" t="s">
        <v>6598</v>
      </c>
      <c r="E1568" t="s">
        <v>11262</v>
      </c>
      <c r="F1568" t="s">
        <v>11263</v>
      </c>
      <c r="G1568" t="s">
        <v>6586</v>
      </c>
    </row>
    <row r="1569" spans="1:7">
      <c r="A1569" t="s">
        <v>6581</v>
      </c>
      <c r="B1569" s="1">
        <v>1568</v>
      </c>
      <c r="C1569" t="s">
        <v>11264</v>
      </c>
      <c r="D1569" t="s">
        <v>10246</v>
      </c>
      <c r="E1569" t="s">
        <v>11265</v>
      </c>
      <c r="F1569" t="s">
        <v>11266</v>
      </c>
      <c r="G1569" t="s">
        <v>6586</v>
      </c>
    </row>
    <row r="1570" spans="1:7">
      <c r="A1570" t="s">
        <v>6581</v>
      </c>
      <c r="B1570" s="1">
        <v>1569</v>
      </c>
      <c r="C1570" t="s">
        <v>11267</v>
      </c>
      <c r="D1570" t="s">
        <v>10246</v>
      </c>
      <c r="E1570" t="s">
        <v>11268</v>
      </c>
      <c r="F1570" t="s">
        <v>11269</v>
      </c>
      <c r="G1570" t="s">
        <v>6586</v>
      </c>
    </row>
    <row r="1571" spans="1:7">
      <c r="A1571" t="s">
        <v>6581</v>
      </c>
      <c r="B1571" s="1">
        <v>1570</v>
      </c>
      <c r="C1571" t="s">
        <v>11270</v>
      </c>
      <c r="D1571" t="s">
        <v>6598</v>
      </c>
      <c r="E1571" t="s">
        <v>11271</v>
      </c>
      <c r="F1571" t="s">
        <v>11272</v>
      </c>
      <c r="G1571" t="s">
        <v>6586</v>
      </c>
    </row>
    <row r="1572" spans="1:7">
      <c r="A1572" t="s">
        <v>6581</v>
      </c>
      <c r="B1572" s="1">
        <v>1571</v>
      </c>
      <c r="C1572" t="s">
        <v>11273</v>
      </c>
      <c r="D1572" t="s">
        <v>6654</v>
      </c>
      <c r="E1572" t="s">
        <v>11274</v>
      </c>
      <c r="F1572" t="s">
        <v>11275</v>
      </c>
      <c r="G1572" t="s">
        <v>6586</v>
      </c>
    </row>
    <row r="1573" spans="1:7">
      <c r="A1573" t="s">
        <v>6581</v>
      </c>
      <c r="B1573" s="1">
        <v>1572</v>
      </c>
      <c r="C1573" t="s">
        <v>11276</v>
      </c>
      <c r="D1573" t="s">
        <v>10246</v>
      </c>
      <c r="E1573" t="s">
        <v>11277</v>
      </c>
      <c r="F1573" t="s">
        <v>11278</v>
      </c>
      <c r="G1573" t="s">
        <v>6586</v>
      </c>
    </row>
    <row r="1574" spans="1:7">
      <c r="A1574" t="s">
        <v>6581</v>
      </c>
      <c r="B1574" s="1">
        <v>1573</v>
      </c>
      <c r="C1574" t="s">
        <v>11279</v>
      </c>
      <c r="D1574" t="s">
        <v>6598</v>
      </c>
      <c r="E1574" t="s">
        <v>11280</v>
      </c>
      <c r="F1574" t="s">
        <v>11281</v>
      </c>
      <c r="G1574" t="s">
        <v>6586</v>
      </c>
    </row>
    <row r="1575" spans="1:7">
      <c r="A1575" t="s">
        <v>6581</v>
      </c>
      <c r="B1575" s="1">
        <v>1574</v>
      </c>
      <c r="C1575" t="s">
        <v>8704</v>
      </c>
      <c r="D1575" t="s">
        <v>6705</v>
      </c>
      <c r="E1575" t="s">
        <v>11282</v>
      </c>
      <c r="F1575" t="s">
        <v>11283</v>
      </c>
      <c r="G1575" t="s">
        <v>6586</v>
      </c>
    </row>
    <row r="1576" spans="1:7">
      <c r="A1576" t="s">
        <v>6581</v>
      </c>
      <c r="B1576" s="1">
        <v>1575</v>
      </c>
      <c r="C1576" t="s">
        <v>11284</v>
      </c>
      <c r="D1576" t="s">
        <v>6598</v>
      </c>
      <c r="E1576" t="s">
        <v>11285</v>
      </c>
      <c r="F1576" t="s">
        <v>11286</v>
      </c>
      <c r="G1576" t="s">
        <v>6586</v>
      </c>
    </row>
    <row r="1577" spans="1:7">
      <c r="A1577" t="s">
        <v>6581</v>
      </c>
      <c r="B1577" s="1">
        <v>1576</v>
      </c>
      <c r="C1577" t="s">
        <v>11287</v>
      </c>
      <c r="D1577" t="s">
        <v>6705</v>
      </c>
      <c r="E1577" t="s">
        <v>11288</v>
      </c>
      <c r="F1577" t="s">
        <v>11289</v>
      </c>
      <c r="G1577" t="s">
        <v>6586</v>
      </c>
    </row>
    <row r="1578" spans="1:7">
      <c r="A1578" t="s">
        <v>6581</v>
      </c>
      <c r="B1578" s="1">
        <v>1577</v>
      </c>
      <c r="C1578" t="s">
        <v>11290</v>
      </c>
      <c r="D1578" t="s">
        <v>6598</v>
      </c>
      <c r="E1578" t="s">
        <v>11291</v>
      </c>
      <c r="F1578" t="s">
        <v>11292</v>
      </c>
      <c r="G1578" t="s">
        <v>6586</v>
      </c>
    </row>
    <row r="1579" spans="1:7">
      <c r="A1579" t="s">
        <v>6581</v>
      </c>
      <c r="B1579" s="1">
        <v>1578</v>
      </c>
      <c r="C1579" t="s">
        <v>11293</v>
      </c>
      <c r="D1579" t="s">
        <v>6609</v>
      </c>
      <c r="E1579" t="s">
        <v>11294</v>
      </c>
      <c r="F1579" t="s">
        <v>11295</v>
      </c>
      <c r="G1579" t="s">
        <v>6586</v>
      </c>
    </row>
    <row r="1580" spans="1:7">
      <c r="A1580" t="s">
        <v>6581</v>
      </c>
      <c r="B1580" s="1">
        <v>1579</v>
      </c>
      <c r="C1580" t="s">
        <v>11296</v>
      </c>
      <c r="D1580" t="s">
        <v>6609</v>
      </c>
      <c r="E1580" t="s">
        <v>11297</v>
      </c>
      <c r="F1580" t="s">
        <v>11298</v>
      </c>
      <c r="G1580" t="s">
        <v>6586</v>
      </c>
    </row>
    <row r="1581" spans="1:7">
      <c r="A1581" t="s">
        <v>6581</v>
      </c>
      <c r="B1581" s="1">
        <v>1580</v>
      </c>
      <c r="C1581" t="s">
        <v>11299</v>
      </c>
      <c r="D1581" t="s">
        <v>10246</v>
      </c>
      <c r="E1581" t="s">
        <v>11300</v>
      </c>
      <c r="F1581" t="s">
        <v>11301</v>
      </c>
      <c r="G1581" t="s">
        <v>6586</v>
      </c>
    </row>
    <row r="1582" spans="1:7">
      <c r="A1582" t="s">
        <v>6581</v>
      </c>
      <c r="B1582" s="1">
        <v>1581</v>
      </c>
      <c r="C1582" t="s">
        <v>11302</v>
      </c>
      <c r="D1582" t="s">
        <v>6654</v>
      </c>
      <c r="E1582" t="s">
        <v>11303</v>
      </c>
      <c r="F1582" t="s">
        <v>11304</v>
      </c>
      <c r="G1582" t="s">
        <v>6586</v>
      </c>
    </row>
    <row r="1583" spans="1:7">
      <c r="A1583" t="s">
        <v>6581</v>
      </c>
      <c r="B1583" s="1">
        <v>1582</v>
      </c>
      <c r="C1583" t="s">
        <v>9628</v>
      </c>
      <c r="D1583" t="s">
        <v>6695</v>
      </c>
      <c r="E1583" t="s">
        <v>11305</v>
      </c>
      <c r="F1583" t="s">
        <v>11306</v>
      </c>
      <c r="G1583" t="s">
        <v>6586</v>
      </c>
    </row>
    <row r="1584" spans="1:7">
      <c r="A1584" t="s">
        <v>6581</v>
      </c>
      <c r="B1584" s="1">
        <v>1583</v>
      </c>
      <c r="C1584" t="s">
        <v>11307</v>
      </c>
      <c r="D1584" t="s">
        <v>6609</v>
      </c>
      <c r="E1584" t="s">
        <v>11308</v>
      </c>
      <c r="F1584" t="s">
        <v>11309</v>
      </c>
      <c r="G1584" t="s">
        <v>6586</v>
      </c>
    </row>
    <row r="1585" spans="1:7">
      <c r="A1585" t="s">
        <v>6581</v>
      </c>
      <c r="B1585" s="1">
        <v>1584</v>
      </c>
      <c r="C1585" t="s">
        <v>11310</v>
      </c>
      <c r="D1585" t="s">
        <v>6598</v>
      </c>
      <c r="E1585" t="s">
        <v>11311</v>
      </c>
      <c r="F1585" t="s">
        <v>11312</v>
      </c>
      <c r="G1585" t="s">
        <v>6586</v>
      </c>
    </row>
    <row r="1586" spans="1:7">
      <c r="A1586" t="s">
        <v>6581</v>
      </c>
      <c r="B1586" s="1">
        <v>1585</v>
      </c>
      <c r="C1586" t="s">
        <v>11313</v>
      </c>
      <c r="D1586" t="s">
        <v>6598</v>
      </c>
      <c r="E1586" t="s">
        <v>11314</v>
      </c>
      <c r="F1586" t="s">
        <v>11315</v>
      </c>
      <c r="G1586" t="s">
        <v>6586</v>
      </c>
    </row>
    <row r="1587" spans="1:7">
      <c r="A1587" t="s">
        <v>6581</v>
      </c>
      <c r="B1587" s="1">
        <v>1586</v>
      </c>
      <c r="C1587" t="s">
        <v>11316</v>
      </c>
      <c r="D1587" t="s">
        <v>6598</v>
      </c>
      <c r="E1587" t="s">
        <v>11317</v>
      </c>
      <c r="F1587" t="s">
        <v>11318</v>
      </c>
      <c r="G1587" t="s">
        <v>6586</v>
      </c>
    </row>
    <row r="1588" spans="1:7">
      <c r="A1588" t="s">
        <v>6581</v>
      </c>
      <c r="B1588" s="1">
        <v>1587</v>
      </c>
      <c r="C1588" t="s">
        <v>11319</v>
      </c>
      <c r="D1588" t="s">
        <v>6609</v>
      </c>
      <c r="E1588" t="s">
        <v>11320</v>
      </c>
      <c r="F1588" t="s">
        <v>11321</v>
      </c>
      <c r="G1588" t="s">
        <v>6586</v>
      </c>
    </row>
    <row r="1589" spans="1:7">
      <c r="A1589" t="s">
        <v>6581</v>
      </c>
      <c r="B1589" s="1">
        <v>1588</v>
      </c>
      <c r="C1589" t="s">
        <v>11322</v>
      </c>
      <c r="D1589" t="s">
        <v>6695</v>
      </c>
      <c r="E1589" t="s">
        <v>11323</v>
      </c>
      <c r="F1589" t="s">
        <v>11324</v>
      </c>
      <c r="G1589" t="s">
        <v>6586</v>
      </c>
    </row>
    <row r="1590" spans="1:7">
      <c r="A1590" t="s">
        <v>6581</v>
      </c>
      <c r="B1590" s="1">
        <v>1589</v>
      </c>
      <c r="C1590" t="s">
        <v>11325</v>
      </c>
      <c r="D1590" t="s">
        <v>6598</v>
      </c>
      <c r="E1590" t="s">
        <v>11326</v>
      </c>
      <c r="F1590" t="s">
        <v>11327</v>
      </c>
      <c r="G1590" t="s">
        <v>6586</v>
      </c>
    </row>
    <row r="1591" spans="1:7">
      <c r="A1591" t="s">
        <v>6581</v>
      </c>
      <c r="B1591" s="1">
        <v>1590</v>
      </c>
      <c r="C1591" t="s">
        <v>11328</v>
      </c>
      <c r="D1591" t="s">
        <v>10246</v>
      </c>
      <c r="E1591" t="s">
        <v>11329</v>
      </c>
      <c r="F1591" t="s">
        <v>11330</v>
      </c>
      <c r="G1591" t="s">
        <v>6586</v>
      </c>
    </row>
    <row r="1592" spans="1:7">
      <c r="A1592" t="s">
        <v>6581</v>
      </c>
      <c r="B1592" s="1">
        <v>1591</v>
      </c>
      <c r="C1592" t="s">
        <v>11331</v>
      </c>
      <c r="D1592" t="s">
        <v>10246</v>
      </c>
      <c r="E1592" t="s">
        <v>11332</v>
      </c>
      <c r="F1592" t="s">
        <v>11333</v>
      </c>
      <c r="G1592" t="s">
        <v>6586</v>
      </c>
    </row>
    <row r="1593" spans="1:7">
      <c r="A1593" t="s">
        <v>6581</v>
      </c>
      <c r="B1593" s="1">
        <v>1592</v>
      </c>
      <c r="C1593" t="s">
        <v>11334</v>
      </c>
      <c r="D1593" t="s">
        <v>10246</v>
      </c>
      <c r="E1593" t="s">
        <v>11335</v>
      </c>
      <c r="F1593" t="s">
        <v>11336</v>
      </c>
      <c r="G1593" t="s">
        <v>6586</v>
      </c>
    </row>
    <row r="1594" spans="1:7">
      <c r="A1594" t="s">
        <v>6581</v>
      </c>
      <c r="B1594" s="1">
        <v>1593</v>
      </c>
      <c r="C1594" t="s">
        <v>11337</v>
      </c>
      <c r="D1594" t="s">
        <v>6598</v>
      </c>
      <c r="E1594" t="s">
        <v>11338</v>
      </c>
      <c r="F1594" t="s">
        <v>11339</v>
      </c>
      <c r="G1594" t="s">
        <v>6586</v>
      </c>
    </row>
    <row r="1595" spans="1:7">
      <c r="A1595" t="s">
        <v>6581</v>
      </c>
      <c r="B1595" s="1">
        <v>1594</v>
      </c>
      <c r="C1595" t="s">
        <v>11340</v>
      </c>
      <c r="D1595" t="s">
        <v>6598</v>
      </c>
      <c r="E1595" t="s">
        <v>11341</v>
      </c>
      <c r="F1595" t="s">
        <v>11342</v>
      </c>
      <c r="G1595" t="s">
        <v>6586</v>
      </c>
    </row>
    <row r="1596" spans="1:7">
      <c r="A1596" t="s">
        <v>6581</v>
      </c>
      <c r="B1596" s="1">
        <v>1595</v>
      </c>
      <c r="C1596" t="s">
        <v>11343</v>
      </c>
      <c r="D1596" t="s">
        <v>10246</v>
      </c>
      <c r="E1596" t="s">
        <v>11344</v>
      </c>
      <c r="F1596" t="s">
        <v>11345</v>
      </c>
      <c r="G1596" t="s">
        <v>6586</v>
      </c>
    </row>
    <row r="1597" spans="1:7">
      <c r="A1597" t="s">
        <v>6581</v>
      </c>
      <c r="B1597" s="1">
        <v>1596</v>
      </c>
      <c r="C1597" t="s">
        <v>11346</v>
      </c>
      <c r="D1597" t="s">
        <v>10246</v>
      </c>
      <c r="E1597" t="s">
        <v>11347</v>
      </c>
      <c r="F1597" t="s">
        <v>11348</v>
      </c>
      <c r="G1597" t="s">
        <v>6586</v>
      </c>
    </row>
    <row r="1598" spans="1:7">
      <c r="A1598" t="s">
        <v>6581</v>
      </c>
      <c r="B1598" s="1">
        <v>1597</v>
      </c>
      <c r="C1598" t="s">
        <v>11349</v>
      </c>
      <c r="D1598" t="s">
        <v>10246</v>
      </c>
      <c r="E1598" t="s">
        <v>11350</v>
      </c>
      <c r="F1598" t="s">
        <v>11351</v>
      </c>
      <c r="G1598" t="s">
        <v>6586</v>
      </c>
    </row>
    <row r="1599" spans="1:7">
      <c r="A1599" t="s">
        <v>6581</v>
      </c>
      <c r="B1599" s="1">
        <v>1598</v>
      </c>
      <c r="C1599" t="s">
        <v>11352</v>
      </c>
      <c r="D1599" t="s">
        <v>10246</v>
      </c>
      <c r="E1599" t="s">
        <v>11353</v>
      </c>
      <c r="F1599" t="s">
        <v>11354</v>
      </c>
      <c r="G1599" t="s">
        <v>6586</v>
      </c>
    </row>
    <row r="1600" spans="1:7">
      <c r="A1600" t="s">
        <v>6581</v>
      </c>
      <c r="B1600" s="1">
        <v>1599</v>
      </c>
      <c r="C1600" t="s">
        <v>11355</v>
      </c>
      <c r="D1600" t="s">
        <v>6598</v>
      </c>
      <c r="E1600" t="s">
        <v>11356</v>
      </c>
      <c r="F1600" t="s">
        <v>11357</v>
      </c>
      <c r="G1600" t="s">
        <v>6586</v>
      </c>
    </row>
    <row r="1601" spans="1:7">
      <c r="A1601" t="s">
        <v>6581</v>
      </c>
      <c r="B1601" s="1">
        <v>1600</v>
      </c>
      <c r="C1601" t="s">
        <v>11358</v>
      </c>
      <c r="D1601" t="s">
        <v>10246</v>
      </c>
      <c r="E1601" t="s">
        <v>11359</v>
      </c>
      <c r="F1601" t="s">
        <v>11360</v>
      </c>
      <c r="G1601" t="s">
        <v>6586</v>
      </c>
    </row>
    <row r="1602" spans="1:7">
      <c r="A1602" t="s">
        <v>6581</v>
      </c>
      <c r="B1602" s="1">
        <v>1601</v>
      </c>
      <c r="C1602" t="s">
        <v>11361</v>
      </c>
      <c r="D1602" t="s">
        <v>10246</v>
      </c>
      <c r="E1602" t="s">
        <v>11362</v>
      </c>
      <c r="F1602" t="s">
        <v>11363</v>
      </c>
      <c r="G1602" t="s">
        <v>6586</v>
      </c>
    </row>
    <row r="1603" spans="1:7">
      <c r="A1603" t="s">
        <v>6581</v>
      </c>
      <c r="B1603" s="1">
        <v>1602</v>
      </c>
      <c r="C1603" t="s">
        <v>11364</v>
      </c>
      <c r="D1603" t="s">
        <v>10246</v>
      </c>
      <c r="E1603" t="s">
        <v>11365</v>
      </c>
      <c r="F1603" t="s">
        <v>11366</v>
      </c>
      <c r="G1603" t="s">
        <v>6586</v>
      </c>
    </row>
    <row r="1604" spans="1:7">
      <c r="A1604" t="s">
        <v>6581</v>
      </c>
      <c r="B1604" s="1">
        <v>1603</v>
      </c>
      <c r="C1604" t="s">
        <v>11367</v>
      </c>
      <c r="D1604" t="s">
        <v>10246</v>
      </c>
      <c r="E1604" t="s">
        <v>11368</v>
      </c>
      <c r="F1604" t="s">
        <v>11369</v>
      </c>
      <c r="G1604" t="s">
        <v>6586</v>
      </c>
    </row>
    <row r="1605" spans="1:7">
      <c r="A1605" t="s">
        <v>6581</v>
      </c>
      <c r="B1605" s="1">
        <v>1604</v>
      </c>
      <c r="C1605" t="s">
        <v>11370</v>
      </c>
      <c r="D1605" t="s">
        <v>10246</v>
      </c>
      <c r="E1605" t="s">
        <v>11371</v>
      </c>
      <c r="F1605" t="s">
        <v>11372</v>
      </c>
      <c r="G1605" t="s">
        <v>6586</v>
      </c>
    </row>
    <row r="1606" spans="1:7">
      <c r="A1606" t="s">
        <v>6581</v>
      </c>
      <c r="B1606" s="1">
        <v>1605</v>
      </c>
      <c r="C1606" t="s">
        <v>11373</v>
      </c>
      <c r="D1606" t="s">
        <v>6598</v>
      </c>
      <c r="E1606" t="s">
        <v>11374</v>
      </c>
      <c r="F1606" t="s">
        <v>11375</v>
      </c>
      <c r="G1606" t="s">
        <v>6586</v>
      </c>
    </row>
    <row r="1607" spans="1:7">
      <c r="A1607" t="s">
        <v>6581</v>
      </c>
      <c r="B1607" s="1">
        <v>1606</v>
      </c>
      <c r="C1607" t="s">
        <v>11376</v>
      </c>
      <c r="D1607" t="s">
        <v>10246</v>
      </c>
      <c r="E1607" t="s">
        <v>11377</v>
      </c>
      <c r="F1607" t="s">
        <v>11378</v>
      </c>
      <c r="G1607" t="s">
        <v>6586</v>
      </c>
    </row>
    <row r="1608" spans="1:7">
      <c r="A1608" t="s">
        <v>6581</v>
      </c>
      <c r="B1608" s="1">
        <v>1607</v>
      </c>
      <c r="C1608" t="s">
        <v>11379</v>
      </c>
      <c r="D1608" t="s">
        <v>10246</v>
      </c>
      <c r="E1608" t="s">
        <v>11380</v>
      </c>
      <c r="F1608" t="s">
        <v>11381</v>
      </c>
      <c r="G1608" t="s">
        <v>6586</v>
      </c>
    </row>
    <row r="1609" spans="1:7">
      <c r="A1609" t="s">
        <v>6581</v>
      </c>
      <c r="B1609" s="1">
        <v>1608</v>
      </c>
      <c r="C1609" t="s">
        <v>11382</v>
      </c>
      <c r="D1609" t="s">
        <v>6598</v>
      </c>
      <c r="E1609" t="s">
        <v>11383</v>
      </c>
      <c r="F1609" t="s">
        <v>11384</v>
      </c>
      <c r="G1609" t="s">
        <v>6586</v>
      </c>
    </row>
    <row r="1610" spans="1:7">
      <c r="A1610" t="s">
        <v>6581</v>
      </c>
      <c r="B1610" s="1">
        <v>1609</v>
      </c>
      <c r="C1610" t="s">
        <v>11385</v>
      </c>
      <c r="D1610" t="s">
        <v>10246</v>
      </c>
      <c r="E1610" t="s">
        <v>11386</v>
      </c>
      <c r="F1610" t="s">
        <v>11387</v>
      </c>
      <c r="G1610" t="s">
        <v>6586</v>
      </c>
    </row>
    <row r="1611" spans="1:7">
      <c r="A1611" t="s">
        <v>6581</v>
      </c>
      <c r="B1611" s="1">
        <v>1610</v>
      </c>
      <c r="C1611" t="s">
        <v>11388</v>
      </c>
      <c r="D1611" t="s">
        <v>6654</v>
      </c>
      <c r="E1611" t="s">
        <v>11389</v>
      </c>
      <c r="F1611" t="s">
        <v>11390</v>
      </c>
      <c r="G1611" t="s">
        <v>6586</v>
      </c>
    </row>
    <row r="1612" spans="1:7">
      <c r="A1612" t="s">
        <v>6581</v>
      </c>
      <c r="B1612" s="1">
        <v>1611</v>
      </c>
      <c r="C1612" t="s">
        <v>11391</v>
      </c>
      <c r="D1612" t="s">
        <v>10246</v>
      </c>
      <c r="E1612" t="s">
        <v>11392</v>
      </c>
      <c r="F1612" t="s">
        <v>11393</v>
      </c>
      <c r="G1612" t="s">
        <v>6586</v>
      </c>
    </row>
    <row r="1613" spans="1:7">
      <c r="A1613" t="s">
        <v>6581</v>
      </c>
      <c r="B1613" s="1">
        <v>1612</v>
      </c>
      <c r="C1613" t="s">
        <v>11394</v>
      </c>
      <c r="D1613" t="s">
        <v>6609</v>
      </c>
      <c r="E1613" t="s">
        <v>11395</v>
      </c>
      <c r="F1613" t="s">
        <v>11396</v>
      </c>
      <c r="G1613" t="s">
        <v>6586</v>
      </c>
    </row>
    <row r="1614" spans="1:7">
      <c r="A1614" t="s">
        <v>6581</v>
      </c>
      <c r="B1614" s="1">
        <v>1613</v>
      </c>
      <c r="C1614" t="s">
        <v>11397</v>
      </c>
      <c r="D1614" t="s">
        <v>6598</v>
      </c>
      <c r="E1614" t="s">
        <v>11398</v>
      </c>
      <c r="F1614" t="s">
        <v>11399</v>
      </c>
      <c r="G1614" t="s">
        <v>6586</v>
      </c>
    </row>
    <row r="1615" spans="1:7">
      <c r="A1615" t="s">
        <v>6581</v>
      </c>
      <c r="B1615" s="1">
        <v>1614</v>
      </c>
      <c r="C1615" t="s">
        <v>11400</v>
      </c>
      <c r="D1615" t="s">
        <v>6598</v>
      </c>
      <c r="E1615" t="s">
        <v>11401</v>
      </c>
      <c r="F1615" t="s">
        <v>11402</v>
      </c>
      <c r="G1615" t="s">
        <v>6586</v>
      </c>
    </row>
    <row r="1616" spans="1:7">
      <c r="A1616" t="s">
        <v>6581</v>
      </c>
      <c r="B1616" s="1">
        <v>1615</v>
      </c>
      <c r="C1616" t="s">
        <v>11403</v>
      </c>
      <c r="D1616" t="s">
        <v>10246</v>
      </c>
      <c r="E1616" t="s">
        <v>11404</v>
      </c>
      <c r="F1616" t="s">
        <v>11405</v>
      </c>
      <c r="G1616" t="s">
        <v>6586</v>
      </c>
    </row>
    <row r="1617" spans="1:7">
      <c r="A1617" t="s">
        <v>6581</v>
      </c>
      <c r="B1617" s="1">
        <v>1616</v>
      </c>
      <c r="C1617" t="s">
        <v>11406</v>
      </c>
      <c r="D1617" t="s">
        <v>10246</v>
      </c>
      <c r="E1617" t="s">
        <v>11407</v>
      </c>
      <c r="F1617" t="s">
        <v>11408</v>
      </c>
      <c r="G1617" t="s">
        <v>6586</v>
      </c>
    </row>
    <row r="1618" spans="1:7">
      <c r="A1618" t="s">
        <v>6581</v>
      </c>
      <c r="B1618" s="1">
        <v>1617</v>
      </c>
      <c r="C1618" t="s">
        <v>11409</v>
      </c>
      <c r="D1618" t="s">
        <v>6654</v>
      </c>
      <c r="E1618" t="s">
        <v>11410</v>
      </c>
      <c r="F1618" t="s">
        <v>11411</v>
      </c>
      <c r="G1618" t="s">
        <v>6586</v>
      </c>
    </row>
    <row r="1619" spans="1:7">
      <c r="A1619" t="s">
        <v>6581</v>
      </c>
      <c r="B1619" s="1">
        <v>1618</v>
      </c>
      <c r="C1619" t="s">
        <v>11412</v>
      </c>
      <c r="D1619" t="s">
        <v>10246</v>
      </c>
      <c r="E1619" t="s">
        <v>11413</v>
      </c>
      <c r="F1619" t="s">
        <v>11414</v>
      </c>
      <c r="G1619" t="s">
        <v>6586</v>
      </c>
    </row>
    <row r="1620" spans="1:7">
      <c r="A1620" t="s">
        <v>6581</v>
      </c>
      <c r="B1620" s="1">
        <v>1619</v>
      </c>
      <c r="C1620" t="s">
        <v>11415</v>
      </c>
      <c r="D1620" t="s">
        <v>6695</v>
      </c>
      <c r="E1620" t="s">
        <v>11416</v>
      </c>
      <c r="F1620" t="s">
        <v>11417</v>
      </c>
      <c r="G1620" t="s">
        <v>6586</v>
      </c>
    </row>
    <row r="1621" spans="1:7">
      <c r="A1621" t="s">
        <v>6581</v>
      </c>
      <c r="B1621" s="1">
        <v>1620</v>
      </c>
      <c r="C1621" t="s">
        <v>11418</v>
      </c>
      <c r="D1621" t="s">
        <v>6605</v>
      </c>
      <c r="E1621" t="s">
        <v>11419</v>
      </c>
      <c r="F1621" t="s">
        <v>11420</v>
      </c>
      <c r="G1621" t="s">
        <v>6586</v>
      </c>
    </row>
    <row r="1622" spans="1:7">
      <c r="A1622" t="s">
        <v>6581</v>
      </c>
      <c r="B1622" s="1">
        <v>1621</v>
      </c>
      <c r="C1622" t="s">
        <v>11421</v>
      </c>
      <c r="D1622" t="s">
        <v>6654</v>
      </c>
      <c r="E1622" t="s">
        <v>11422</v>
      </c>
      <c r="F1622" t="s">
        <v>11423</v>
      </c>
      <c r="G1622" t="s">
        <v>6586</v>
      </c>
    </row>
    <row r="1623" spans="1:7">
      <c r="A1623" t="s">
        <v>6581</v>
      </c>
      <c r="B1623" s="1">
        <v>1622</v>
      </c>
      <c r="C1623" t="s">
        <v>11424</v>
      </c>
      <c r="D1623" t="s">
        <v>10246</v>
      </c>
      <c r="E1623" t="s">
        <v>11425</v>
      </c>
      <c r="F1623" t="s">
        <v>11426</v>
      </c>
      <c r="G1623" t="s">
        <v>6586</v>
      </c>
    </row>
    <row r="1624" spans="1:7">
      <c r="A1624" t="s">
        <v>6581</v>
      </c>
      <c r="B1624" s="1">
        <v>1623</v>
      </c>
      <c r="C1624" t="s">
        <v>11427</v>
      </c>
      <c r="D1624" t="s">
        <v>6605</v>
      </c>
      <c r="E1624" t="s">
        <v>11428</v>
      </c>
      <c r="F1624" t="s">
        <v>11429</v>
      </c>
      <c r="G1624" t="s">
        <v>6586</v>
      </c>
    </row>
    <row r="1625" spans="1:7">
      <c r="A1625" t="s">
        <v>6581</v>
      </c>
      <c r="B1625" s="1">
        <v>1624</v>
      </c>
      <c r="C1625" t="s">
        <v>11430</v>
      </c>
      <c r="D1625" t="s">
        <v>6598</v>
      </c>
      <c r="E1625" t="s">
        <v>11431</v>
      </c>
      <c r="F1625" t="s">
        <v>11432</v>
      </c>
      <c r="G1625" t="s">
        <v>6586</v>
      </c>
    </row>
    <row r="1626" spans="1:7">
      <c r="A1626" t="s">
        <v>6581</v>
      </c>
      <c r="B1626" s="1">
        <v>1625</v>
      </c>
      <c r="C1626" t="s">
        <v>11433</v>
      </c>
      <c r="D1626" t="s">
        <v>10246</v>
      </c>
      <c r="E1626" t="s">
        <v>11434</v>
      </c>
      <c r="F1626" t="s">
        <v>11435</v>
      </c>
      <c r="G1626" t="s">
        <v>6586</v>
      </c>
    </row>
    <row r="1627" spans="1:7">
      <c r="A1627" t="s">
        <v>6581</v>
      </c>
      <c r="B1627" s="1">
        <v>1626</v>
      </c>
      <c r="C1627" t="s">
        <v>11436</v>
      </c>
      <c r="D1627" t="s">
        <v>10246</v>
      </c>
      <c r="E1627" t="s">
        <v>11437</v>
      </c>
      <c r="F1627" t="s">
        <v>11438</v>
      </c>
      <c r="G1627" t="s">
        <v>6586</v>
      </c>
    </row>
    <row r="1628" spans="1:7">
      <c r="A1628" t="s">
        <v>6581</v>
      </c>
      <c r="B1628" s="1">
        <v>1627</v>
      </c>
      <c r="C1628" t="s">
        <v>11439</v>
      </c>
      <c r="D1628" t="s">
        <v>10246</v>
      </c>
      <c r="E1628" t="s">
        <v>11440</v>
      </c>
      <c r="F1628" t="s">
        <v>11441</v>
      </c>
      <c r="G1628" t="s">
        <v>6586</v>
      </c>
    </row>
    <row r="1629" spans="1:7">
      <c r="A1629" t="s">
        <v>6581</v>
      </c>
      <c r="B1629" s="1">
        <v>1628</v>
      </c>
      <c r="C1629" t="s">
        <v>11442</v>
      </c>
      <c r="D1629" t="s">
        <v>6598</v>
      </c>
      <c r="E1629" t="s">
        <v>11443</v>
      </c>
      <c r="F1629" t="s">
        <v>11444</v>
      </c>
      <c r="G1629" t="s">
        <v>6586</v>
      </c>
    </row>
    <row r="1630" spans="1:7">
      <c r="A1630" t="s">
        <v>6581</v>
      </c>
      <c r="B1630" s="1">
        <v>1629</v>
      </c>
      <c r="C1630" t="s">
        <v>11445</v>
      </c>
      <c r="D1630" t="s">
        <v>6598</v>
      </c>
      <c r="E1630" t="s">
        <v>11446</v>
      </c>
      <c r="F1630" t="s">
        <v>11447</v>
      </c>
      <c r="G1630" t="s">
        <v>6586</v>
      </c>
    </row>
    <row r="1631" spans="1:7">
      <c r="A1631" t="s">
        <v>6581</v>
      </c>
      <c r="B1631" s="1">
        <v>1630</v>
      </c>
      <c r="C1631" t="s">
        <v>11448</v>
      </c>
      <c r="D1631" t="s">
        <v>10246</v>
      </c>
      <c r="E1631" t="s">
        <v>11449</v>
      </c>
      <c r="F1631" t="s">
        <v>11450</v>
      </c>
      <c r="G1631" t="s">
        <v>6586</v>
      </c>
    </row>
    <row r="1632" spans="1:7">
      <c r="A1632" t="s">
        <v>6581</v>
      </c>
      <c r="B1632" s="1">
        <v>1631</v>
      </c>
      <c r="C1632" t="s">
        <v>11451</v>
      </c>
      <c r="D1632" t="s">
        <v>10246</v>
      </c>
      <c r="E1632" t="s">
        <v>11452</v>
      </c>
      <c r="F1632" t="s">
        <v>11453</v>
      </c>
      <c r="G1632" t="s">
        <v>6586</v>
      </c>
    </row>
    <row r="1633" spans="1:7">
      <c r="A1633" t="s">
        <v>6581</v>
      </c>
      <c r="B1633" s="1">
        <v>1632</v>
      </c>
      <c r="C1633" t="s">
        <v>11454</v>
      </c>
      <c r="D1633" t="s">
        <v>10246</v>
      </c>
      <c r="E1633" t="s">
        <v>11455</v>
      </c>
      <c r="F1633" t="s">
        <v>11456</v>
      </c>
      <c r="G1633" t="s">
        <v>6586</v>
      </c>
    </row>
    <row r="1634" spans="1:7">
      <c r="A1634" t="s">
        <v>6581</v>
      </c>
      <c r="B1634" s="1">
        <v>1633</v>
      </c>
      <c r="C1634" t="s">
        <v>11457</v>
      </c>
      <c r="D1634" t="s">
        <v>10246</v>
      </c>
      <c r="E1634" t="s">
        <v>11458</v>
      </c>
      <c r="F1634" t="s">
        <v>11459</v>
      </c>
      <c r="G1634" t="s">
        <v>6586</v>
      </c>
    </row>
    <row r="1635" spans="1:7">
      <c r="A1635" t="s">
        <v>6581</v>
      </c>
      <c r="B1635" s="1">
        <v>1634</v>
      </c>
      <c r="C1635" t="s">
        <v>11460</v>
      </c>
      <c r="D1635" t="s">
        <v>10246</v>
      </c>
      <c r="E1635" t="s">
        <v>11461</v>
      </c>
      <c r="F1635" t="s">
        <v>11462</v>
      </c>
      <c r="G1635" t="s">
        <v>6586</v>
      </c>
    </row>
    <row r="1636" spans="1:7">
      <c r="A1636" t="s">
        <v>6581</v>
      </c>
      <c r="B1636" s="1">
        <v>1635</v>
      </c>
      <c r="C1636" t="s">
        <v>11463</v>
      </c>
      <c r="D1636" t="s">
        <v>6598</v>
      </c>
      <c r="E1636" t="s">
        <v>11464</v>
      </c>
      <c r="F1636" t="s">
        <v>11465</v>
      </c>
      <c r="G1636" t="s">
        <v>6586</v>
      </c>
    </row>
    <row r="1637" spans="1:7">
      <c r="A1637" t="s">
        <v>6581</v>
      </c>
      <c r="B1637" s="1">
        <v>1636</v>
      </c>
      <c r="C1637" t="s">
        <v>11466</v>
      </c>
      <c r="D1637" t="s">
        <v>6605</v>
      </c>
      <c r="E1637" t="s">
        <v>11467</v>
      </c>
      <c r="F1637" t="s">
        <v>11468</v>
      </c>
      <c r="G1637" t="s">
        <v>6586</v>
      </c>
    </row>
    <row r="1638" spans="1:7">
      <c r="A1638" t="s">
        <v>6581</v>
      </c>
      <c r="B1638" s="1">
        <v>1637</v>
      </c>
      <c r="C1638" t="s">
        <v>11469</v>
      </c>
      <c r="D1638" t="s">
        <v>6609</v>
      </c>
      <c r="E1638" t="s">
        <v>11470</v>
      </c>
      <c r="F1638" t="s">
        <v>11471</v>
      </c>
      <c r="G1638" t="s">
        <v>6586</v>
      </c>
    </row>
    <row r="1639" spans="1:7">
      <c r="A1639" t="s">
        <v>6581</v>
      </c>
      <c r="B1639" s="1">
        <v>1638</v>
      </c>
      <c r="C1639" t="s">
        <v>11472</v>
      </c>
      <c r="D1639" t="s">
        <v>10246</v>
      </c>
      <c r="E1639" t="s">
        <v>11473</v>
      </c>
      <c r="F1639" t="s">
        <v>11474</v>
      </c>
      <c r="G1639" t="s">
        <v>6586</v>
      </c>
    </row>
    <row r="1640" spans="1:7">
      <c r="A1640" t="s">
        <v>6581</v>
      </c>
      <c r="B1640" s="1">
        <v>1639</v>
      </c>
      <c r="C1640" t="s">
        <v>11475</v>
      </c>
      <c r="D1640" t="s">
        <v>10246</v>
      </c>
      <c r="E1640" t="s">
        <v>11476</v>
      </c>
      <c r="F1640" t="s">
        <v>11477</v>
      </c>
      <c r="G1640" t="s">
        <v>6586</v>
      </c>
    </row>
    <row r="1641" spans="1:7">
      <c r="A1641" t="s">
        <v>6581</v>
      </c>
      <c r="B1641" s="1">
        <v>1640</v>
      </c>
      <c r="C1641" t="s">
        <v>11478</v>
      </c>
      <c r="D1641" t="s">
        <v>6605</v>
      </c>
      <c r="E1641" t="s">
        <v>11479</v>
      </c>
      <c r="F1641" t="s">
        <v>11480</v>
      </c>
      <c r="G1641" t="s">
        <v>6586</v>
      </c>
    </row>
    <row r="1642" spans="1:7">
      <c r="A1642" t="s">
        <v>6581</v>
      </c>
      <c r="B1642" s="1">
        <v>1641</v>
      </c>
      <c r="C1642" t="s">
        <v>11481</v>
      </c>
      <c r="D1642" t="s">
        <v>10246</v>
      </c>
      <c r="E1642" t="s">
        <v>11482</v>
      </c>
      <c r="F1642" t="s">
        <v>11483</v>
      </c>
      <c r="G1642" t="s">
        <v>6586</v>
      </c>
    </row>
    <row r="1643" spans="1:7">
      <c r="A1643" t="s">
        <v>6581</v>
      </c>
      <c r="B1643" s="1">
        <v>1642</v>
      </c>
      <c r="C1643" t="s">
        <v>11484</v>
      </c>
      <c r="D1643" t="s">
        <v>10246</v>
      </c>
      <c r="E1643" t="s">
        <v>11485</v>
      </c>
      <c r="F1643" t="s">
        <v>11486</v>
      </c>
      <c r="G1643" t="s">
        <v>6586</v>
      </c>
    </row>
    <row r="1644" spans="1:7">
      <c r="A1644" t="s">
        <v>6581</v>
      </c>
      <c r="B1644" s="1">
        <v>1643</v>
      </c>
      <c r="C1644" t="s">
        <v>11487</v>
      </c>
      <c r="D1644" t="s">
        <v>10246</v>
      </c>
      <c r="E1644" t="s">
        <v>11488</v>
      </c>
      <c r="F1644" t="s">
        <v>11489</v>
      </c>
      <c r="G1644" t="s">
        <v>6586</v>
      </c>
    </row>
    <row r="1645" spans="1:7">
      <c r="A1645" t="s">
        <v>6581</v>
      </c>
      <c r="B1645" s="1">
        <v>1644</v>
      </c>
      <c r="C1645" t="s">
        <v>10961</v>
      </c>
      <c r="D1645" t="s">
        <v>10246</v>
      </c>
      <c r="E1645" t="s">
        <v>11490</v>
      </c>
      <c r="F1645" t="s">
        <v>11491</v>
      </c>
      <c r="G1645" t="s">
        <v>6586</v>
      </c>
    </row>
    <row r="1646" spans="1:7">
      <c r="A1646" t="s">
        <v>6581</v>
      </c>
      <c r="B1646" s="1">
        <v>1645</v>
      </c>
      <c r="C1646" t="s">
        <v>11492</v>
      </c>
      <c r="D1646" t="s">
        <v>10246</v>
      </c>
      <c r="E1646" t="s">
        <v>11493</v>
      </c>
      <c r="F1646" t="s">
        <v>11494</v>
      </c>
      <c r="G1646" t="s">
        <v>6586</v>
      </c>
    </row>
    <row r="1647" spans="1:7">
      <c r="A1647" t="s">
        <v>6581</v>
      </c>
      <c r="B1647" s="1">
        <v>1646</v>
      </c>
      <c r="C1647" t="s">
        <v>11495</v>
      </c>
      <c r="D1647" t="s">
        <v>10246</v>
      </c>
      <c r="E1647" t="s">
        <v>11496</v>
      </c>
      <c r="F1647" t="s">
        <v>11497</v>
      </c>
      <c r="G1647" t="s">
        <v>6586</v>
      </c>
    </row>
    <row r="1648" spans="1:7">
      <c r="A1648" t="s">
        <v>6581</v>
      </c>
      <c r="B1648" s="1">
        <v>1647</v>
      </c>
      <c r="C1648" t="s">
        <v>11498</v>
      </c>
      <c r="D1648" t="s">
        <v>10246</v>
      </c>
      <c r="E1648" t="s">
        <v>11499</v>
      </c>
      <c r="F1648" t="s">
        <v>11500</v>
      </c>
      <c r="G1648" t="s">
        <v>6586</v>
      </c>
    </row>
    <row r="1649" spans="1:7">
      <c r="A1649" t="s">
        <v>6581</v>
      </c>
      <c r="B1649" s="1">
        <v>1648</v>
      </c>
      <c r="C1649" t="s">
        <v>11501</v>
      </c>
      <c r="D1649" t="s">
        <v>10246</v>
      </c>
      <c r="E1649" t="s">
        <v>11502</v>
      </c>
      <c r="F1649" t="s">
        <v>11503</v>
      </c>
      <c r="G1649" t="s">
        <v>6586</v>
      </c>
    </row>
    <row r="1650" spans="1:7">
      <c r="A1650" t="s">
        <v>6581</v>
      </c>
      <c r="B1650" s="1">
        <v>1649</v>
      </c>
      <c r="C1650" t="s">
        <v>11504</v>
      </c>
      <c r="D1650" t="s">
        <v>6654</v>
      </c>
      <c r="E1650" t="s">
        <v>11505</v>
      </c>
      <c r="F1650" t="s">
        <v>11506</v>
      </c>
      <c r="G1650" t="s">
        <v>6586</v>
      </c>
    </row>
    <row r="1651" spans="1:7">
      <c r="A1651" t="s">
        <v>6581</v>
      </c>
      <c r="B1651" s="1">
        <v>1650</v>
      </c>
      <c r="C1651" t="s">
        <v>11507</v>
      </c>
      <c r="D1651" t="s">
        <v>6598</v>
      </c>
      <c r="E1651" t="s">
        <v>11508</v>
      </c>
      <c r="F1651" t="s">
        <v>11509</v>
      </c>
      <c r="G1651" t="s">
        <v>6586</v>
      </c>
    </row>
    <row r="1652" spans="1:7">
      <c r="A1652" t="s">
        <v>6581</v>
      </c>
      <c r="B1652" s="1">
        <v>1651</v>
      </c>
      <c r="C1652" t="s">
        <v>11510</v>
      </c>
      <c r="D1652" t="s">
        <v>10246</v>
      </c>
      <c r="E1652" t="s">
        <v>11511</v>
      </c>
      <c r="F1652" t="s">
        <v>11512</v>
      </c>
      <c r="G1652" t="s">
        <v>6586</v>
      </c>
    </row>
    <row r="1653" spans="1:7">
      <c r="A1653" t="s">
        <v>6581</v>
      </c>
      <c r="B1653" s="1">
        <v>1652</v>
      </c>
      <c r="C1653" t="s">
        <v>11513</v>
      </c>
      <c r="D1653" t="s">
        <v>10246</v>
      </c>
      <c r="E1653" t="s">
        <v>11514</v>
      </c>
      <c r="F1653" t="s">
        <v>11515</v>
      </c>
      <c r="G1653" t="s">
        <v>6586</v>
      </c>
    </row>
    <row r="1654" spans="1:7">
      <c r="A1654" t="s">
        <v>6581</v>
      </c>
      <c r="B1654" s="1">
        <v>1653</v>
      </c>
      <c r="C1654" t="s">
        <v>10816</v>
      </c>
      <c r="D1654" t="s">
        <v>6605</v>
      </c>
      <c r="E1654" t="s">
        <v>11516</v>
      </c>
      <c r="F1654" t="s">
        <v>11517</v>
      </c>
      <c r="G1654" t="s">
        <v>6586</v>
      </c>
    </row>
    <row r="1655" spans="1:7">
      <c r="A1655" t="s">
        <v>6581</v>
      </c>
      <c r="B1655" s="1">
        <v>1654</v>
      </c>
      <c r="C1655" t="s">
        <v>11518</v>
      </c>
      <c r="D1655" t="s">
        <v>10246</v>
      </c>
      <c r="E1655" t="s">
        <v>11519</v>
      </c>
      <c r="F1655" t="s">
        <v>11520</v>
      </c>
      <c r="G1655" t="s">
        <v>6586</v>
      </c>
    </row>
    <row r="1656" spans="1:7">
      <c r="A1656" t="s">
        <v>6581</v>
      </c>
      <c r="B1656" s="1">
        <v>1655</v>
      </c>
      <c r="C1656" t="s">
        <v>11521</v>
      </c>
      <c r="D1656" t="s">
        <v>6654</v>
      </c>
      <c r="E1656" t="s">
        <v>11522</v>
      </c>
      <c r="F1656" t="s">
        <v>11523</v>
      </c>
      <c r="G1656" t="s">
        <v>6586</v>
      </c>
    </row>
    <row r="1657" spans="1:7">
      <c r="A1657" t="s">
        <v>6581</v>
      </c>
      <c r="B1657" s="1">
        <v>1656</v>
      </c>
      <c r="C1657" t="s">
        <v>11524</v>
      </c>
      <c r="D1657" t="s">
        <v>6598</v>
      </c>
      <c r="E1657" t="s">
        <v>11525</v>
      </c>
      <c r="F1657" t="s">
        <v>11526</v>
      </c>
      <c r="G1657" t="s">
        <v>6586</v>
      </c>
    </row>
    <row r="1658" spans="1:7">
      <c r="A1658" t="s">
        <v>6581</v>
      </c>
      <c r="B1658" s="1">
        <v>1657</v>
      </c>
      <c r="C1658" t="s">
        <v>11527</v>
      </c>
      <c r="D1658" t="s">
        <v>6598</v>
      </c>
      <c r="E1658" t="s">
        <v>11528</v>
      </c>
      <c r="F1658" t="s">
        <v>11529</v>
      </c>
      <c r="G1658" t="s">
        <v>6586</v>
      </c>
    </row>
    <row r="1659" spans="1:7">
      <c r="A1659" t="s">
        <v>6581</v>
      </c>
      <c r="B1659" s="1">
        <v>1658</v>
      </c>
      <c r="C1659" t="s">
        <v>11530</v>
      </c>
      <c r="D1659" t="s">
        <v>6598</v>
      </c>
      <c r="E1659" t="s">
        <v>11531</v>
      </c>
      <c r="F1659" t="s">
        <v>11532</v>
      </c>
      <c r="G1659" t="s">
        <v>6586</v>
      </c>
    </row>
    <row r="1660" spans="1:7">
      <c r="A1660" t="s">
        <v>6581</v>
      </c>
      <c r="B1660" s="1">
        <v>1659</v>
      </c>
      <c r="C1660" t="s">
        <v>11533</v>
      </c>
      <c r="D1660" t="s">
        <v>6695</v>
      </c>
      <c r="E1660" t="s">
        <v>11534</v>
      </c>
      <c r="F1660" t="s">
        <v>11535</v>
      </c>
      <c r="G1660" t="s">
        <v>6586</v>
      </c>
    </row>
    <row r="1661" spans="1:7">
      <c r="A1661" t="s">
        <v>6581</v>
      </c>
      <c r="B1661" s="1">
        <v>1660</v>
      </c>
      <c r="C1661" t="s">
        <v>11536</v>
      </c>
      <c r="D1661" t="s">
        <v>6609</v>
      </c>
      <c r="E1661" t="s">
        <v>11537</v>
      </c>
      <c r="F1661" t="s">
        <v>11538</v>
      </c>
      <c r="G1661" t="s">
        <v>6586</v>
      </c>
    </row>
    <row r="1662" spans="1:7">
      <c r="A1662" t="s">
        <v>6581</v>
      </c>
      <c r="B1662" s="1">
        <v>1661</v>
      </c>
      <c r="C1662" t="s">
        <v>11539</v>
      </c>
      <c r="D1662" t="s">
        <v>10246</v>
      </c>
      <c r="E1662" t="s">
        <v>11540</v>
      </c>
      <c r="F1662" t="s">
        <v>11541</v>
      </c>
      <c r="G1662" t="s">
        <v>6586</v>
      </c>
    </row>
    <row r="1663" spans="1:7">
      <c r="A1663" t="s">
        <v>6581</v>
      </c>
      <c r="B1663" s="1">
        <v>1662</v>
      </c>
      <c r="C1663" t="s">
        <v>11542</v>
      </c>
      <c r="D1663" t="s">
        <v>6609</v>
      </c>
      <c r="E1663" t="s">
        <v>11543</v>
      </c>
      <c r="F1663" t="s">
        <v>11544</v>
      </c>
      <c r="G1663" t="s">
        <v>6586</v>
      </c>
    </row>
    <row r="1664" spans="1:7">
      <c r="A1664" t="s">
        <v>6581</v>
      </c>
      <c r="B1664" s="1">
        <v>1663</v>
      </c>
      <c r="C1664" t="s">
        <v>11545</v>
      </c>
      <c r="D1664" t="s">
        <v>6598</v>
      </c>
      <c r="E1664" t="s">
        <v>11546</v>
      </c>
      <c r="F1664" t="s">
        <v>11547</v>
      </c>
      <c r="G1664" t="s">
        <v>6586</v>
      </c>
    </row>
    <row r="1665" spans="1:7">
      <c r="A1665" t="s">
        <v>6581</v>
      </c>
      <c r="B1665" s="1">
        <v>1664</v>
      </c>
      <c r="C1665" t="s">
        <v>11548</v>
      </c>
      <c r="D1665" t="s">
        <v>6598</v>
      </c>
      <c r="E1665" t="s">
        <v>11549</v>
      </c>
      <c r="F1665" t="s">
        <v>11550</v>
      </c>
      <c r="G1665" t="s">
        <v>6586</v>
      </c>
    </row>
    <row r="1666" spans="1:7">
      <c r="A1666" t="s">
        <v>6581</v>
      </c>
      <c r="B1666" s="1">
        <v>1665</v>
      </c>
      <c r="C1666" t="s">
        <v>11551</v>
      </c>
      <c r="D1666" t="s">
        <v>6598</v>
      </c>
      <c r="E1666" t="s">
        <v>11552</v>
      </c>
      <c r="F1666" t="s">
        <v>11553</v>
      </c>
      <c r="G1666" t="s">
        <v>6586</v>
      </c>
    </row>
    <row r="1667" spans="1:7">
      <c r="A1667" t="s">
        <v>6581</v>
      </c>
      <c r="B1667" s="1">
        <v>1666</v>
      </c>
      <c r="C1667" t="s">
        <v>11554</v>
      </c>
      <c r="D1667" t="s">
        <v>6609</v>
      </c>
      <c r="E1667" t="s">
        <v>11555</v>
      </c>
      <c r="F1667" t="s">
        <v>11556</v>
      </c>
      <c r="G1667" t="s">
        <v>6586</v>
      </c>
    </row>
    <row r="1668" spans="1:7">
      <c r="A1668" t="s">
        <v>6581</v>
      </c>
      <c r="B1668" s="1">
        <v>1667</v>
      </c>
      <c r="C1668" t="s">
        <v>11557</v>
      </c>
      <c r="D1668" t="s">
        <v>6598</v>
      </c>
      <c r="E1668" t="s">
        <v>11558</v>
      </c>
      <c r="F1668" t="s">
        <v>11559</v>
      </c>
      <c r="G1668" t="s">
        <v>6586</v>
      </c>
    </row>
    <row r="1669" spans="1:7">
      <c r="A1669" t="s">
        <v>6581</v>
      </c>
      <c r="B1669" s="1">
        <v>1668</v>
      </c>
      <c r="C1669" t="s">
        <v>11560</v>
      </c>
      <c r="D1669" t="s">
        <v>6598</v>
      </c>
      <c r="E1669" t="s">
        <v>11561</v>
      </c>
      <c r="F1669" t="s">
        <v>11562</v>
      </c>
      <c r="G1669" t="s">
        <v>6586</v>
      </c>
    </row>
    <row r="1670" spans="1:7">
      <c r="A1670" t="s">
        <v>6581</v>
      </c>
      <c r="B1670" s="1">
        <v>1669</v>
      </c>
      <c r="C1670" t="s">
        <v>11563</v>
      </c>
      <c r="D1670" t="s">
        <v>6598</v>
      </c>
      <c r="E1670" t="s">
        <v>11564</v>
      </c>
      <c r="F1670" t="s">
        <v>11565</v>
      </c>
      <c r="G1670" t="s">
        <v>6586</v>
      </c>
    </row>
    <row r="1671" spans="1:7">
      <c r="A1671" t="s">
        <v>6581</v>
      </c>
      <c r="B1671" s="1">
        <v>1670</v>
      </c>
      <c r="C1671" t="s">
        <v>11566</v>
      </c>
      <c r="D1671" t="s">
        <v>10246</v>
      </c>
      <c r="E1671" t="s">
        <v>11567</v>
      </c>
      <c r="F1671" t="s">
        <v>11568</v>
      </c>
      <c r="G1671" t="s">
        <v>6586</v>
      </c>
    </row>
    <row r="1672" spans="1:7">
      <c r="A1672" t="s">
        <v>6581</v>
      </c>
      <c r="B1672" s="1">
        <v>1671</v>
      </c>
      <c r="C1672" t="s">
        <v>11569</v>
      </c>
      <c r="D1672" t="s">
        <v>10246</v>
      </c>
      <c r="E1672" t="s">
        <v>11570</v>
      </c>
      <c r="F1672" t="s">
        <v>11571</v>
      </c>
      <c r="G1672" t="s">
        <v>6586</v>
      </c>
    </row>
    <row r="1673" spans="1:7">
      <c r="A1673" t="s">
        <v>6581</v>
      </c>
      <c r="B1673" s="1">
        <v>1672</v>
      </c>
      <c r="C1673" t="s">
        <v>11572</v>
      </c>
      <c r="D1673" t="s">
        <v>6598</v>
      </c>
      <c r="E1673" t="s">
        <v>11573</v>
      </c>
      <c r="F1673" t="s">
        <v>11574</v>
      </c>
      <c r="G1673" t="s">
        <v>6586</v>
      </c>
    </row>
    <row r="1674" spans="1:7">
      <c r="A1674" t="s">
        <v>6581</v>
      </c>
      <c r="B1674" s="1">
        <v>1673</v>
      </c>
      <c r="C1674" t="s">
        <v>11575</v>
      </c>
      <c r="D1674" t="s">
        <v>6598</v>
      </c>
      <c r="E1674" t="s">
        <v>11576</v>
      </c>
      <c r="F1674" t="s">
        <v>11577</v>
      </c>
      <c r="G1674" t="s">
        <v>6586</v>
      </c>
    </row>
    <row r="1675" spans="1:7">
      <c r="A1675" t="s">
        <v>6581</v>
      </c>
      <c r="B1675" s="1">
        <v>1674</v>
      </c>
      <c r="C1675" t="s">
        <v>11578</v>
      </c>
      <c r="D1675" t="s">
        <v>6695</v>
      </c>
      <c r="E1675" t="s">
        <v>11579</v>
      </c>
      <c r="F1675" t="s">
        <v>11580</v>
      </c>
      <c r="G1675" t="s">
        <v>6586</v>
      </c>
    </row>
    <row r="1676" spans="1:7">
      <c r="A1676" t="s">
        <v>6581</v>
      </c>
      <c r="B1676" s="1">
        <v>1675</v>
      </c>
      <c r="C1676" t="s">
        <v>11581</v>
      </c>
      <c r="D1676" t="s">
        <v>10246</v>
      </c>
      <c r="E1676" t="s">
        <v>11582</v>
      </c>
      <c r="F1676" t="s">
        <v>11583</v>
      </c>
      <c r="G1676" t="s">
        <v>6586</v>
      </c>
    </row>
    <row r="1677" spans="1:7">
      <c r="A1677" t="s">
        <v>6581</v>
      </c>
      <c r="B1677" s="1">
        <v>1676</v>
      </c>
      <c r="C1677" t="s">
        <v>11584</v>
      </c>
      <c r="D1677" t="s">
        <v>6598</v>
      </c>
      <c r="E1677" t="s">
        <v>11585</v>
      </c>
      <c r="F1677" t="s">
        <v>11586</v>
      </c>
      <c r="G1677" t="s">
        <v>6586</v>
      </c>
    </row>
    <row r="1678" spans="1:7">
      <c r="A1678" t="s">
        <v>6581</v>
      </c>
      <c r="B1678" s="1">
        <v>1677</v>
      </c>
      <c r="C1678" t="s">
        <v>11587</v>
      </c>
      <c r="D1678" t="s">
        <v>10246</v>
      </c>
      <c r="E1678" t="s">
        <v>11588</v>
      </c>
      <c r="F1678" t="s">
        <v>11589</v>
      </c>
      <c r="G1678" t="s">
        <v>6586</v>
      </c>
    </row>
    <row r="1679" spans="1:7">
      <c r="A1679" t="s">
        <v>6581</v>
      </c>
      <c r="B1679" s="1">
        <v>1678</v>
      </c>
      <c r="C1679" t="s">
        <v>11590</v>
      </c>
      <c r="D1679" t="s">
        <v>6598</v>
      </c>
      <c r="E1679" t="s">
        <v>11591</v>
      </c>
      <c r="F1679" t="s">
        <v>11592</v>
      </c>
      <c r="G1679" t="s">
        <v>6586</v>
      </c>
    </row>
    <row r="1680" spans="1:7">
      <c r="A1680" t="s">
        <v>6581</v>
      </c>
      <c r="B1680" s="1">
        <v>1679</v>
      </c>
      <c r="C1680" t="s">
        <v>11593</v>
      </c>
      <c r="D1680" t="s">
        <v>6598</v>
      </c>
      <c r="E1680" t="s">
        <v>11594</v>
      </c>
      <c r="F1680" t="s">
        <v>11595</v>
      </c>
      <c r="G1680" t="s">
        <v>6586</v>
      </c>
    </row>
    <row r="1681" spans="1:7">
      <c r="A1681" t="s">
        <v>6581</v>
      </c>
      <c r="B1681" s="1">
        <v>1680</v>
      </c>
      <c r="C1681" t="s">
        <v>11596</v>
      </c>
      <c r="D1681" t="s">
        <v>6695</v>
      </c>
      <c r="E1681" t="s">
        <v>11597</v>
      </c>
      <c r="F1681" t="s">
        <v>11598</v>
      </c>
      <c r="G1681" t="s">
        <v>6586</v>
      </c>
    </row>
    <row r="1682" spans="1:7">
      <c r="A1682" t="s">
        <v>6581</v>
      </c>
      <c r="B1682" s="1">
        <v>1681</v>
      </c>
      <c r="C1682" t="s">
        <v>11599</v>
      </c>
      <c r="D1682" t="s">
        <v>6609</v>
      </c>
      <c r="E1682" t="s">
        <v>11600</v>
      </c>
      <c r="F1682" t="s">
        <v>11601</v>
      </c>
      <c r="G1682" t="s">
        <v>6586</v>
      </c>
    </row>
    <row r="1683" spans="1:7">
      <c r="A1683" t="s">
        <v>6581</v>
      </c>
      <c r="B1683" s="1">
        <v>1682</v>
      </c>
      <c r="C1683" t="s">
        <v>11602</v>
      </c>
      <c r="D1683" t="s">
        <v>6605</v>
      </c>
      <c r="E1683" t="s">
        <v>11603</v>
      </c>
      <c r="F1683" t="s">
        <v>11604</v>
      </c>
      <c r="G1683" t="s">
        <v>6586</v>
      </c>
    </row>
    <row r="1684" spans="1:7">
      <c r="A1684" t="s">
        <v>6581</v>
      </c>
      <c r="B1684" s="1">
        <v>1683</v>
      </c>
      <c r="C1684" t="s">
        <v>10566</v>
      </c>
      <c r="D1684" t="s">
        <v>6609</v>
      </c>
      <c r="E1684" t="s">
        <v>11605</v>
      </c>
      <c r="F1684" t="s">
        <v>11606</v>
      </c>
      <c r="G1684" t="s">
        <v>6586</v>
      </c>
    </row>
    <row r="1685" spans="1:7">
      <c r="A1685" t="s">
        <v>6581</v>
      </c>
      <c r="B1685" s="1">
        <v>1684</v>
      </c>
      <c r="C1685" t="s">
        <v>11607</v>
      </c>
      <c r="D1685" t="s">
        <v>6598</v>
      </c>
      <c r="E1685" t="s">
        <v>11608</v>
      </c>
      <c r="F1685" t="s">
        <v>11609</v>
      </c>
      <c r="G1685" t="s">
        <v>6586</v>
      </c>
    </row>
    <row r="1686" spans="1:7">
      <c r="A1686" t="s">
        <v>6581</v>
      </c>
      <c r="B1686" s="1">
        <v>1685</v>
      </c>
      <c r="C1686" t="s">
        <v>11610</v>
      </c>
      <c r="D1686" t="s">
        <v>10246</v>
      </c>
      <c r="E1686" t="s">
        <v>11611</v>
      </c>
      <c r="F1686" t="s">
        <v>11612</v>
      </c>
      <c r="G1686" t="s">
        <v>6586</v>
      </c>
    </row>
    <row r="1687" spans="1:7">
      <c r="A1687" t="s">
        <v>6581</v>
      </c>
      <c r="B1687" s="1">
        <v>1686</v>
      </c>
      <c r="C1687" t="s">
        <v>11613</v>
      </c>
      <c r="D1687" t="s">
        <v>10246</v>
      </c>
      <c r="E1687" t="s">
        <v>11614</v>
      </c>
      <c r="F1687" t="s">
        <v>11615</v>
      </c>
      <c r="G1687" t="s">
        <v>6586</v>
      </c>
    </row>
    <row r="1688" spans="1:7">
      <c r="A1688" t="s">
        <v>6581</v>
      </c>
      <c r="B1688" s="1">
        <v>1687</v>
      </c>
      <c r="C1688" t="s">
        <v>11616</v>
      </c>
      <c r="D1688" t="s">
        <v>10246</v>
      </c>
      <c r="E1688" t="s">
        <v>11617</v>
      </c>
      <c r="F1688" t="s">
        <v>11618</v>
      </c>
      <c r="G1688" t="s">
        <v>6586</v>
      </c>
    </row>
    <row r="1689" spans="1:7">
      <c r="A1689" t="s">
        <v>6581</v>
      </c>
      <c r="B1689" s="1">
        <v>1688</v>
      </c>
      <c r="C1689" t="s">
        <v>11619</v>
      </c>
      <c r="D1689" t="s">
        <v>6598</v>
      </c>
      <c r="E1689" t="s">
        <v>11620</v>
      </c>
      <c r="F1689" t="s">
        <v>11621</v>
      </c>
      <c r="G1689" t="s">
        <v>6586</v>
      </c>
    </row>
    <row r="1690" spans="1:7">
      <c r="A1690" t="s">
        <v>6581</v>
      </c>
      <c r="B1690" s="1">
        <v>1689</v>
      </c>
      <c r="C1690" t="s">
        <v>11622</v>
      </c>
      <c r="D1690" t="s">
        <v>6598</v>
      </c>
      <c r="E1690" t="s">
        <v>11623</v>
      </c>
      <c r="F1690" t="s">
        <v>11624</v>
      </c>
      <c r="G1690" t="s">
        <v>6586</v>
      </c>
    </row>
    <row r="1691" spans="1:7">
      <c r="A1691" t="s">
        <v>6581</v>
      </c>
      <c r="B1691" s="1">
        <v>1690</v>
      </c>
      <c r="C1691" t="s">
        <v>11625</v>
      </c>
      <c r="D1691" t="s">
        <v>10246</v>
      </c>
      <c r="E1691" t="s">
        <v>11626</v>
      </c>
      <c r="F1691" t="s">
        <v>11627</v>
      </c>
      <c r="G1691" t="s">
        <v>6586</v>
      </c>
    </row>
    <row r="1692" spans="1:7">
      <c r="A1692" t="s">
        <v>6581</v>
      </c>
      <c r="B1692" s="1">
        <v>1691</v>
      </c>
      <c r="C1692" t="s">
        <v>11628</v>
      </c>
      <c r="D1692" t="s">
        <v>10246</v>
      </c>
      <c r="E1692" t="s">
        <v>11629</v>
      </c>
      <c r="F1692" t="s">
        <v>11630</v>
      </c>
      <c r="G1692" t="s">
        <v>6586</v>
      </c>
    </row>
    <row r="1693" spans="1:7">
      <c r="A1693" t="s">
        <v>6581</v>
      </c>
      <c r="B1693" s="1">
        <v>1692</v>
      </c>
      <c r="C1693" t="s">
        <v>11631</v>
      </c>
      <c r="D1693" t="s">
        <v>10246</v>
      </c>
      <c r="E1693" t="s">
        <v>11632</v>
      </c>
      <c r="F1693" t="s">
        <v>11633</v>
      </c>
      <c r="G1693" t="s">
        <v>6586</v>
      </c>
    </row>
    <row r="1694" spans="1:7">
      <c r="A1694" t="s">
        <v>6581</v>
      </c>
      <c r="B1694" s="1">
        <v>1693</v>
      </c>
      <c r="C1694" t="s">
        <v>11634</v>
      </c>
      <c r="D1694" t="s">
        <v>10246</v>
      </c>
      <c r="E1694" t="s">
        <v>11635</v>
      </c>
      <c r="F1694" t="s">
        <v>11636</v>
      </c>
      <c r="G1694" t="s">
        <v>6586</v>
      </c>
    </row>
    <row r="1695" spans="1:7">
      <c r="A1695" t="s">
        <v>6581</v>
      </c>
      <c r="B1695" s="1">
        <v>1694</v>
      </c>
      <c r="C1695" t="s">
        <v>11637</v>
      </c>
      <c r="D1695" t="s">
        <v>10246</v>
      </c>
      <c r="E1695" t="s">
        <v>11638</v>
      </c>
      <c r="F1695" t="s">
        <v>11639</v>
      </c>
      <c r="G1695" t="s">
        <v>6586</v>
      </c>
    </row>
    <row r="1696" spans="1:7">
      <c r="A1696" t="s">
        <v>6581</v>
      </c>
      <c r="B1696" s="1">
        <v>1695</v>
      </c>
      <c r="C1696" t="s">
        <v>11640</v>
      </c>
      <c r="D1696" t="s">
        <v>10246</v>
      </c>
      <c r="E1696" t="s">
        <v>11641</v>
      </c>
      <c r="F1696" t="s">
        <v>11642</v>
      </c>
      <c r="G1696" t="s">
        <v>6586</v>
      </c>
    </row>
    <row r="1697" spans="1:7">
      <c r="A1697" t="s">
        <v>6581</v>
      </c>
      <c r="B1697" s="1">
        <v>1696</v>
      </c>
      <c r="C1697" t="s">
        <v>11643</v>
      </c>
      <c r="D1697" t="s">
        <v>6598</v>
      </c>
      <c r="E1697" t="s">
        <v>11644</v>
      </c>
      <c r="F1697" t="s">
        <v>11645</v>
      </c>
      <c r="G1697" t="s">
        <v>6586</v>
      </c>
    </row>
    <row r="1698" spans="1:7">
      <c r="A1698" t="s">
        <v>6581</v>
      </c>
      <c r="B1698" s="1">
        <v>1697</v>
      </c>
      <c r="C1698" t="s">
        <v>11646</v>
      </c>
      <c r="D1698" t="s">
        <v>6598</v>
      </c>
      <c r="E1698" t="s">
        <v>11647</v>
      </c>
      <c r="F1698" t="s">
        <v>11648</v>
      </c>
      <c r="G1698" t="s">
        <v>6586</v>
      </c>
    </row>
    <row r="1699" spans="1:7">
      <c r="A1699" t="s">
        <v>6581</v>
      </c>
      <c r="B1699" s="1">
        <v>1698</v>
      </c>
      <c r="C1699" t="s">
        <v>11649</v>
      </c>
      <c r="D1699" t="s">
        <v>10246</v>
      </c>
      <c r="E1699" t="s">
        <v>11650</v>
      </c>
      <c r="F1699" t="s">
        <v>11651</v>
      </c>
      <c r="G1699" t="s">
        <v>6586</v>
      </c>
    </row>
    <row r="1700" spans="1:7">
      <c r="A1700" t="s">
        <v>6581</v>
      </c>
      <c r="B1700" s="1">
        <v>1699</v>
      </c>
      <c r="C1700" t="s">
        <v>11652</v>
      </c>
      <c r="D1700" t="s">
        <v>10246</v>
      </c>
      <c r="E1700" t="s">
        <v>11653</v>
      </c>
      <c r="F1700" t="s">
        <v>11654</v>
      </c>
      <c r="G1700" t="s">
        <v>6586</v>
      </c>
    </row>
    <row r="1701" spans="1:7">
      <c r="A1701" t="s">
        <v>6581</v>
      </c>
      <c r="B1701" s="1">
        <v>1700</v>
      </c>
      <c r="C1701" t="s">
        <v>11655</v>
      </c>
      <c r="D1701" t="s">
        <v>6598</v>
      </c>
      <c r="E1701" t="s">
        <v>11656</v>
      </c>
      <c r="F1701" t="s">
        <v>11657</v>
      </c>
      <c r="G1701" t="s">
        <v>6586</v>
      </c>
    </row>
    <row r="1702" spans="1:7">
      <c r="A1702" t="s">
        <v>6581</v>
      </c>
      <c r="B1702" s="1">
        <v>1701</v>
      </c>
      <c r="C1702" t="s">
        <v>11658</v>
      </c>
      <c r="D1702" t="s">
        <v>10246</v>
      </c>
      <c r="E1702" t="s">
        <v>11659</v>
      </c>
      <c r="F1702" t="s">
        <v>11660</v>
      </c>
      <c r="G1702" t="s">
        <v>6586</v>
      </c>
    </row>
    <row r="1703" spans="1:7">
      <c r="A1703" t="s">
        <v>6581</v>
      </c>
      <c r="B1703" s="1">
        <v>1702</v>
      </c>
      <c r="C1703" t="s">
        <v>11661</v>
      </c>
      <c r="D1703" t="s">
        <v>10246</v>
      </c>
      <c r="E1703" t="s">
        <v>11662</v>
      </c>
      <c r="F1703" t="s">
        <v>11663</v>
      </c>
      <c r="G1703" t="s">
        <v>6586</v>
      </c>
    </row>
    <row r="1704" spans="1:7">
      <c r="A1704" t="s">
        <v>6581</v>
      </c>
      <c r="B1704" s="1">
        <v>1703</v>
      </c>
      <c r="C1704" t="s">
        <v>6727</v>
      </c>
      <c r="D1704" t="s">
        <v>6598</v>
      </c>
      <c r="E1704" t="s">
        <v>11664</v>
      </c>
      <c r="F1704" t="s">
        <v>11665</v>
      </c>
      <c r="G1704" t="s">
        <v>6586</v>
      </c>
    </row>
    <row r="1705" spans="1:7">
      <c r="A1705" t="s">
        <v>6581</v>
      </c>
      <c r="B1705" s="1">
        <v>1704</v>
      </c>
      <c r="C1705" t="s">
        <v>11666</v>
      </c>
      <c r="D1705" t="s">
        <v>10246</v>
      </c>
      <c r="E1705" t="s">
        <v>11667</v>
      </c>
      <c r="F1705" t="s">
        <v>11668</v>
      </c>
      <c r="G1705" t="s">
        <v>6586</v>
      </c>
    </row>
    <row r="1706" spans="1:7">
      <c r="A1706" t="s">
        <v>6581</v>
      </c>
      <c r="B1706" s="1">
        <v>1705</v>
      </c>
      <c r="C1706" t="s">
        <v>11669</v>
      </c>
      <c r="D1706" t="s">
        <v>10246</v>
      </c>
      <c r="E1706" t="s">
        <v>11670</v>
      </c>
      <c r="F1706" t="s">
        <v>11671</v>
      </c>
      <c r="G1706" t="s">
        <v>6586</v>
      </c>
    </row>
    <row r="1707" spans="1:7">
      <c r="A1707" t="s">
        <v>6581</v>
      </c>
      <c r="B1707" s="1">
        <v>1706</v>
      </c>
      <c r="C1707" t="s">
        <v>11672</v>
      </c>
      <c r="D1707" t="s">
        <v>10246</v>
      </c>
      <c r="E1707" t="s">
        <v>11673</v>
      </c>
      <c r="F1707" t="s">
        <v>11674</v>
      </c>
      <c r="G1707" t="s">
        <v>6586</v>
      </c>
    </row>
    <row r="1708" spans="1:7">
      <c r="A1708" t="s">
        <v>6581</v>
      </c>
      <c r="B1708" s="1">
        <v>1707</v>
      </c>
      <c r="C1708" t="s">
        <v>11675</v>
      </c>
      <c r="D1708" t="s">
        <v>10246</v>
      </c>
      <c r="E1708" t="s">
        <v>11676</v>
      </c>
      <c r="F1708" t="s">
        <v>11677</v>
      </c>
      <c r="G1708" t="s">
        <v>6586</v>
      </c>
    </row>
    <row r="1709" spans="1:7">
      <c r="A1709" t="s">
        <v>6581</v>
      </c>
      <c r="B1709" s="1">
        <v>1708</v>
      </c>
      <c r="C1709" t="s">
        <v>11678</v>
      </c>
      <c r="D1709" t="s">
        <v>10246</v>
      </c>
      <c r="E1709" t="s">
        <v>11679</v>
      </c>
      <c r="F1709" t="s">
        <v>11680</v>
      </c>
      <c r="G1709" t="s">
        <v>6586</v>
      </c>
    </row>
    <row r="1710" spans="1:7">
      <c r="A1710" t="s">
        <v>6581</v>
      </c>
      <c r="B1710" s="1">
        <v>1709</v>
      </c>
      <c r="C1710" t="s">
        <v>11681</v>
      </c>
      <c r="D1710" t="s">
        <v>10246</v>
      </c>
      <c r="E1710" t="s">
        <v>11682</v>
      </c>
      <c r="F1710" t="s">
        <v>11683</v>
      </c>
      <c r="G1710" t="s">
        <v>6586</v>
      </c>
    </row>
    <row r="1711" spans="1:7">
      <c r="A1711" t="s">
        <v>6581</v>
      </c>
      <c r="B1711" s="1">
        <v>1710</v>
      </c>
      <c r="C1711" t="s">
        <v>11684</v>
      </c>
      <c r="D1711" t="s">
        <v>10246</v>
      </c>
      <c r="E1711" t="s">
        <v>11685</v>
      </c>
      <c r="F1711" t="s">
        <v>11686</v>
      </c>
      <c r="G1711" t="s">
        <v>6586</v>
      </c>
    </row>
    <row r="1712" spans="1:7">
      <c r="A1712" t="s">
        <v>6581</v>
      </c>
      <c r="B1712" s="1">
        <v>1711</v>
      </c>
      <c r="C1712" t="s">
        <v>11687</v>
      </c>
      <c r="D1712" t="s">
        <v>10246</v>
      </c>
      <c r="E1712" t="s">
        <v>11688</v>
      </c>
      <c r="F1712" t="s">
        <v>11689</v>
      </c>
      <c r="G1712" t="s">
        <v>6586</v>
      </c>
    </row>
    <row r="1713" spans="1:7">
      <c r="A1713" t="s">
        <v>6581</v>
      </c>
      <c r="B1713" s="1">
        <v>1712</v>
      </c>
      <c r="C1713" t="s">
        <v>11690</v>
      </c>
      <c r="D1713" t="s">
        <v>10246</v>
      </c>
      <c r="E1713" t="s">
        <v>11691</v>
      </c>
      <c r="F1713" t="s">
        <v>11692</v>
      </c>
      <c r="G1713" t="s">
        <v>6586</v>
      </c>
    </row>
    <row r="1714" spans="1:7">
      <c r="A1714" t="s">
        <v>6581</v>
      </c>
      <c r="B1714" s="1">
        <v>1713</v>
      </c>
      <c r="C1714" t="s">
        <v>11693</v>
      </c>
      <c r="D1714" t="s">
        <v>10246</v>
      </c>
      <c r="E1714" t="s">
        <v>11694</v>
      </c>
      <c r="F1714" t="s">
        <v>11695</v>
      </c>
      <c r="G1714" t="s">
        <v>6586</v>
      </c>
    </row>
    <row r="1715" spans="1:7">
      <c r="A1715" t="s">
        <v>6581</v>
      </c>
      <c r="B1715" s="1">
        <v>1714</v>
      </c>
      <c r="C1715" t="s">
        <v>11696</v>
      </c>
      <c r="D1715" t="s">
        <v>10246</v>
      </c>
      <c r="E1715" t="s">
        <v>11697</v>
      </c>
      <c r="F1715" t="s">
        <v>11698</v>
      </c>
      <c r="G1715" t="s">
        <v>6586</v>
      </c>
    </row>
    <row r="1716" spans="1:7">
      <c r="A1716" t="s">
        <v>6581</v>
      </c>
      <c r="B1716" s="1">
        <v>1715</v>
      </c>
      <c r="C1716" t="s">
        <v>11699</v>
      </c>
      <c r="D1716" t="s">
        <v>10246</v>
      </c>
      <c r="E1716" t="s">
        <v>11700</v>
      </c>
      <c r="F1716" t="s">
        <v>11701</v>
      </c>
      <c r="G1716" t="s">
        <v>6586</v>
      </c>
    </row>
    <row r="1717" spans="1:7">
      <c r="A1717" t="s">
        <v>6581</v>
      </c>
      <c r="B1717" s="1">
        <v>1716</v>
      </c>
      <c r="C1717" t="s">
        <v>11702</v>
      </c>
      <c r="D1717" t="s">
        <v>6598</v>
      </c>
      <c r="E1717" t="s">
        <v>11703</v>
      </c>
      <c r="F1717" t="s">
        <v>11704</v>
      </c>
      <c r="G1717" t="s">
        <v>6586</v>
      </c>
    </row>
    <row r="1718" spans="1:7">
      <c r="A1718" t="s">
        <v>6581</v>
      </c>
      <c r="B1718" s="1">
        <v>1717</v>
      </c>
      <c r="C1718" t="s">
        <v>11705</v>
      </c>
      <c r="D1718" t="s">
        <v>10246</v>
      </c>
      <c r="E1718" t="s">
        <v>11706</v>
      </c>
      <c r="F1718" t="s">
        <v>11707</v>
      </c>
      <c r="G1718" t="s">
        <v>6586</v>
      </c>
    </row>
    <row r="1719" spans="1:7">
      <c r="A1719" t="s">
        <v>6581</v>
      </c>
      <c r="B1719" s="1">
        <v>1718</v>
      </c>
      <c r="C1719" t="s">
        <v>11708</v>
      </c>
      <c r="D1719" t="s">
        <v>6598</v>
      </c>
      <c r="E1719" t="s">
        <v>11709</v>
      </c>
      <c r="F1719" t="s">
        <v>11710</v>
      </c>
      <c r="G1719" t="s">
        <v>6586</v>
      </c>
    </row>
    <row r="1720" spans="1:7">
      <c r="A1720" t="s">
        <v>6581</v>
      </c>
      <c r="B1720" s="1">
        <v>1719</v>
      </c>
      <c r="C1720" t="s">
        <v>11711</v>
      </c>
      <c r="D1720" t="s">
        <v>10246</v>
      </c>
      <c r="E1720" t="s">
        <v>11712</v>
      </c>
      <c r="F1720" t="s">
        <v>11713</v>
      </c>
      <c r="G1720" t="s">
        <v>6586</v>
      </c>
    </row>
    <row r="1721" spans="1:7">
      <c r="A1721" t="s">
        <v>6581</v>
      </c>
      <c r="B1721" s="1">
        <v>1720</v>
      </c>
      <c r="C1721" t="s">
        <v>11714</v>
      </c>
      <c r="D1721" t="s">
        <v>6598</v>
      </c>
      <c r="E1721" t="s">
        <v>11715</v>
      </c>
      <c r="F1721" t="s">
        <v>11716</v>
      </c>
      <c r="G1721" t="s">
        <v>6586</v>
      </c>
    </row>
    <row r="1722" spans="1:7">
      <c r="A1722" t="s">
        <v>6581</v>
      </c>
      <c r="B1722" s="1">
        <v>1721</v>
      </c>
      <c r="C1722" t="s">
        <v>11717</v>
      </c>
      <c r="D1722" t="s">
        <v>10246</v>
      </c>
      <c r="E1722" t="s">
        <v>11718</v>
      </c>
      <c r="F1722" t="s">
        <v>11719</v>
      </c>
      <c r="G1722" t="s">
        <v>6586</v>
      </c>
    </row>
    <row r="1723" spans="1:7">
      <c r="A1723" t="s">
        <v>6581</v>
      </c>
      <c r="B1723" s="1">
        <v>1722</v>
      </c>
      <c r="C1723" t="s">
        <v>11720</v>
      </c>
      <c r="D1723" t="s">
        <v>6598</v>
      </c>
      <c r="E1723" t="s">
        <v>11721</v>
      </c>
      <c r="F1723" t="s">
        <v>11722</v>
      </c>
      <c r="G1723" t="s">
        <v>6586</v>
      </c>
    </row>
    <row r="1724" spans="1:7">
      <c r="A1724" t="s">
        <v>6581</v>
      </c>
      <c r="B1724" s="1">
        <v>1723</v>
      </c>
      <c r="C1724" t="s">
        <v>11723</v>
      </c>
      <c r="D1724" t="s">
        <v>6598</v>
      </c>
      <c r="E1724" t="s">
        <v>11724</v>
      </c>
      <c r="F1724" t="s">
        <v>11725</v>
      </c>
      <c r="G1724" t="s">
        <v>6586</v>
      </c>
    </row>
    <row r="1725" spans="1:7">
      <c r="A1725" t="s">
        <v>6581</v>
      </c>
      <c r="B1725" s="1">
        <v>1724</v>
      </c>
      <c r="C1725" t="s">
        <v>11726</v>
      </c>
      <c r="D1725" t="s">
        <v>6598</v>
      </c>
      <c r="E1725" t="s">
        <v>11727</v>
      </c>
      <c r="F1725" t="s">
        <v>11728</v>
      </c>
      <c r="G1725" t="s">
        <v>6586</v>
      </c>
    </row>
    <row r="1726" spans="1:7">
      <c r="A1726" t="s">
        <v>6581</v>
      </c>
      <c r="B1726" s="1">
        <v>1725</v>
      </c>
      <c r="C1726" t="s">
        <v>11729</v>
      </c>
      <c r="D1726" t="s">
        <v>10246</v>
      </c>
      <c r="E1726" t="s">
        <v>11730</v>
      </c>
      <c r="F1726" t="s">
        <v>11731</v>
      </c>
      <c r="G1726" t="s">
        <v>6586</v>
      </c>
    </row>
    <row r="1727" spans="1:7">
      <c r="A1727" t="s">
        <v>6581</v>
      </c>
      <c r="B1727" s="1">
        <v>1726</v>
      </c>
      <c r="C1727" t="s">
        <v>11732</v>
      </c>
      <c r="D1727" t="s">
        <v>10246</v>
      </c>
      <c r="E1727" t="s">
        <v>11733</v>
      </c>
      <c r="F1727" t="s">
        <v>11734</v>
      </c>
      <c r="G1727" t="s">
        <v>6586</v>
      </c>
    </row>
    <row r="1728" spans="1:7">
      <c r="A1728" t="s">
        <v>6581</v>
      </c>
      <c r="B1728" s="1">
        <v>1727</v>
      </c>
      <c r="C1728" t="s">
        <v>11735</v>
      </c>
      <c r="D1728" t="s">
        <v>6598</v>
      </c>
      <c r="E1728" t="s">
        <v>11736</v>
      </c>
      <c r="F1728" t="s">
        <v>11737</v>
      </c>
      <c r="G1728" t="s">
        <v>6586</v>
      </c>
    </row>
    <row r="1729" spans="1:7">
      <c r="A1729" t="s">
        <v>6581</v>
      </c>
      <c r="B1729" s="1">
        <v>1728</v>
      </c>
      <c r="C1729" t="s">
        <v>11738</v>
      </c>
      <c r="D1729" t="s">
        <v>10246</v>
      </c>
      <c r="E1729" t="s">
        <v>11739</v>
      </c>
      <c r="F1729" t="s">
        <v>11740</v>
      </c>
      <c r="G1729" t="s">
        <v>6586</v>
      </c>
    </row>
    <row r="1730" spans="1:7">
      <c r="A1730" t="s">
        <v>6581</v>
      </c>
      <c r="B1730" s="1">
        <v>1729</v>
      </c>
      <c r="C1730" t="s">
        <v>11741</v>
      </c>
      <c r="D1730" t="s">
        <v>10246</v>
      </c>
      <c r="E1730" t="s">
        <v>11742</v>
      </c>
      <c r="F1730" t="s">
        <v>11743</v>
      </c>
      <c r="G1730" t="s">
        <v>6586</v>
      </c>
    </row>
    <row r="1731" spans="1:7">
      <c r="A1731" t="s">
        <v>6581</v>
      </c>
      <c r="B1731" s="1">
        <v>1730</v>
      </c>
      <c r="C1731" t="s">
        <v>11744</v>
      </c>
      <c r="D1731" t="s">
        <v>10246</v>
      </c>
      <c r="E1731" t="s">
        <v>11745</v>
      </c>
      <c r="F1731" t="s">
        <v>11746</v>
      </c>
      <c r="G1731" t="s">
        <v>6586</v>
      </c>
    </row>
    <row r="1732" spans="1:7">
      <c r="A1732" t="s">
        <v>6581</v>
      </c>
      <c r="B1732" s="1">
        <v>1731</v>
      </c>
      <c r="C1732" t="s">
        <v>11747</v>
      </c>
      <c r="D1732" t="s">
        <v>6598</v>
      </c>
      <c r="E1732" t="s">
        <v>11748</v>
      </c>
      <c r="F1732" t="s">
        <v>11749</v>
      </c>
      <c r="G1732" t="s">
        <v>6586</v>
      </c>
    </row>
    <row r="1733" spans="1:7">
      <c r="A1733" t="s">
        <v>6581</v>
      </c>
      <c r="B1733" s="1">
        <v>1732</v>
      </c>
      <c r="C1733" t="s">
        <v>11750</v>
      </c>
      <c r="D1733" t="s">
        <v>10246</v>
      </c>
      <c r="E1733" t="s">
        <v>11751</v>
      </c>
      <c r="F1733" t="s">
        <v>11752</v>
      </c>
      <c r="G1733" t="s">
        <v>6586</v>
      </c>
    </row>
    <row r="1734" spans="1:7">
      <c r="A1734" t="s">
        <v>6581</v>
      </c>
      <c r="B1734" s="1">
        <v>1733</v>
      </c>
      <c r="C1734" t="s">
        <v>11753</v>
      </c>
      <c r="D1734" t="s">
        <v>10246</v>
      </c>
      <c r="E1734" t="s">
        <v>11754</v>
      </c>
      <c r="F1734" t="s">
        <v>11755</v>
      </c>
      <c r="G1734" t="s">
        <v>6586</v>
      </c>
    </row>
    <row r="1735" spans="1:7">
      <c r="A1735" t="s">
        <v>6581</v>
      </c>
      <c r="B1735" s="1">
        <v>1734</v>
      </c>
      <c r="C1735" t="s">
        <v>11756</v>
      </c>
      <c r="D1735" t="s">
        <v>10246</v>
      </c>
      <c r="E1735" t="s">
        <v>11757</v>
      </c>
      <c r="F1735" t="s">
        <v>11758</v>
      </c>
      <c r="G1735" t="s">
        <v>6586</v>
      </c>
    </row>
    <row r="1736" spans="1:7">
      <c r="A1736" t="s">
        <v>6581</v>
      </c>
      <c r="B1736" s="1">
        <v>1735</v>
      </c>
      <c r="C1736" t="s">
        <v>11759</v>
      </c>
      <c r="D1736" t="s">
        <v>10246</v>
      </c>
      <c r="E1736" t="s">
        <v>11760</v>
      </c>
      <c r="F1736" t="s">
        <v>11761</v>
      </c>
      <c r="G1736" t="s">
        <v>6586</v>
      </c>
    </row>
    <row r="1737" spans="1:7">
      <c r="A1737" t="s">
        <v>6581</v>
      </c>
      <c r="B1737" s="1">
        <v>1736</v>
      </c>
      <c r="C1737" t="s">
        <v>11762</v>
      </c>
      <c r="D1737" t="s">
        <v>10246</v>
      </c>
      <c r="E1737" t="s">
        <v>11763</v>
      </c>
      <c r="F1737" t="s">
        <v>11764</v>
      </c>
      <c r="G1737" t="s">
        <v>6586</v>
      </c>
    </row>
    <row r="1738" spans="1:7">
      <c r="A1738" t="s">
        <v>6581</v>
      </c>
      <c r="B1738" s="1">
        <v>1737</v>
      </c>
      <c r="C1738" t="s">
        <v>11765</v>
      </c>
      <c r="D1738" t="s">
        <v>6598</v>
      </c>
      <c r="E1738" t="s">
        <v>11766</v>
      </c>
      <c r="F1738" t="s">
        <v>11767</v>
      </c>
      <c r="G1738" t="s">
        <v>6586</v>
      </c>
    </row>
    <row r="1739" spans="1:7">
      <c r="A1739" t="s">
        <v>6581</v>
      </c>
      <c r="B1739" s="1">
        <v>1738</v>
      </c>
      <c r="C1739" t="s">
        <v>11768</v>
      </c>
      <c r="D1739" t="s">
        <v>6598</v>
      </c>
      <c r="E1739" t="s">
        <v>11769</v>
      </c>
      <c r="F1739" t="s">
        <v>11770</v>
      </c>
      <c r="G1739" t="s">
        <v>6586</v>
      </c>
    </row>
    <row r="1740" spans="1:7">
      <c r="A1740" t="s">
        <v>6581</v>
      </c>
      <c r="B1740" s="1">
        <v>1739</v>
      </c>
      <c r="C1740" t="s">
        <v>11771</v>
      </c>
      <c r="D1740" t="s">
        <v>10246</v>
      </c>
      <c r="E1740" t="s">
        <v>11772</v>
      </c>
      <c r="F1740" t="s">
        <v>11773</v>
      </c>
      <c r="G1740" t="s">
        <v>6586</v>
      </c>
    </row>
    <row r="1741" spans="1:7">
      <c r="A1741" t="s">
        <v>6581</v>
      </c>
      <c r="B1741" s="1">
        <v>1740</v>
      </c>
      <c r="C1741" t="s">
        <v>11774</v>
      </c>
      <c r="D1741" t="s">
        <v>10246</v>
      </c>
      <c r="E1741" t="s">
        <v>11775</v>
      </c>
      <c r="F1741" t="s">
        <v>11776</v>
      </c>
      <c r="G1741" t="s">
        <v>6586</v>
      </c>
    </row>
    <row r="1742" spans="1:7">
      <c r="A1742" t="s">
        <v>6581</v>
      </c>
      <c r="B1742" s="1">
        <v>1741</v>
      </c>
      <c r="C1742" t="s">
        <v>11777</v>
      </c>
      <c r="D1742" t="s">
        <v>6598</v>
      </c>
      <c r="E1742" t="s">
        <v>11778</v>
      </c>
      <c r="F1742" t="s">
        <v>11779</v>
      </c>
      <c r="G1742" t="s">
        <v>6586</v>
      </c>
    </row>
    <row r="1743" spans="1:7">
      <c r="A1743" t="s">
        <v>6581</v>
      </c>
      <c r="B1743" s="1">
        <v>1742</v>
      </c>
      <c r="C1743" t="s">
        <v>11780</v>
      </c>
      <c r="D1743" t="s">
        <v>10246</v>
      </c>
      <c r="E1743" t="s">
        <v>11781</v>
      </c>
      <c r="F1743" t="s">
        <v>11782</v>
      </c>
      <c r="G1743" t="s">
        <v>6586</v>
      </c>
    </row>
    <row r="1744" spans="1:7">
      <c r="A1744" t="s">
        <v>6581</v>
      </c>
      <c r="B1744" s="1">
        <v>1743</v>
      </c>
      <c r="C1744" t="s">
        <v>11783</v>
      </c>
      <c r="D1744" t="s">
        <v>10246</v>
      </c>
      <c r="E1744" t="s">
        <v>11784</v>
      </c>
      <c r="F1744" t="s">
        <v>11785</v>
      </c>
      <c r="G1744" t="s">
        <v>6586</v>
      </c>
    </row>
    <row r="1745" spans="1:7">
      <c r="A1745" t="s">
        <v>6581</v>
      </c>
      <c r="B1745" s="1">
        <v>1744</v>
      </c>
      <c r="C1745" t="s">
        <v>11786</v>
      </c>
      <c r="D1745" t="s">
        <v>10246</v>
      </c>
      <c r="E1745" t="s">
        <v>11787</v>
      </c>
      <c r="F1745" t="s">
        <v>11788</v>
      </c>
      <c r="G1745" t="s">
        <v>6586</v>
      </c>
    </row>
    <row r="1746" spans="1:7">
      <c r="A1746" t="s">
        <v>6581</v>
      </c>
      <c r="B1746" s="1">
        <v>1745</v>
      </c>
      <c r="C1746" t="s">
        <v>11789</v>
      </c>
      <c r="D1746" t="s">
        <v>10246</v>
      </c>
      <c r="E1746" t="s">
        <v>11790</v>
      </c>
      <c r="F1746" t="s">
        <v>11791</v>
      </c>
      <c r="G1746" t="s">
        <v>6586</v>
      </c>
    </row>
    <row r="1747" spans="1:7">
      <c r="A1747" t="s">
        <v>6581</v>
      </c>
      <c r="B1747" s="1">
        <v>1746</v>
      </c>
      <c r="C1747" t="s">
        <v>11792</v>
      </c>
      <c r="D1747" t="s">
        <v>6598</v>
      </c>
      <c r="E1747" t="s">
        <v>11793</v>
      </c>
      <c r="F1747" t="s">
        <v>11794</v>
      </c>
      <c r="G1747" t="s">
        <v>6586</v>
      </c>
    </row>
    <row r="1748" spans="1:7">
      <c r="A1748" t="s">
        <v>6581</v>
      </c>
      <c r="B1748" s="1">
        <v>1747</v>
      </c>
      <c r="C1748" t="s">
        <v>11795</v>
      </c>
      <c r="D1748" t="s">
        <v>10246</v>
      </c>
      <c r="E1748" t="s">
        <v>11796</v>
      </c>
      <c r="F1748" t="s">
        <v>11797</v>
      </c>
      <c r="G1748" t="s">
        <v>6586</v>
      </c>
    </row>
    <row r="1749" spans="1:7">
      <c r="A1749" t="s">
        <v>6581</v>
      </c>
      <c r="B1749" s="1">
        <v>1748</v>
      </c>
      <c r="C1749" t="s">
        <v>11798</v>
      </c>
      <c r="D1749" t="s">
        <v>6598</v>
      </c>
      <c r="E1749" t="s">
        <v>11799</v>
      </c>
      <c r="F1749" t="s">
        <v>11800</v>
      </c>
      <c r="G1749" t="s">
        <v>6586</v>
      </c>
    </row>
    <row r="1750" spans="1:7">
      <c r="A1750" t="s">
        <v>6581</v>
      </c>
      <c r="B1750" s="1">
        <v>1749</v>
      </c>
      <c r="C1750" t="s">
        <v>11801</v>
      </c>
      <c r="D1750" t="s">
        <v>6598</v>
      </c>
      <c r="E1750" t="s">
        <v>11802</v>
      </c>
      <c r="F1750" t="s">
        <v>11803</v>
      </c>
      <c r="G1750" t="s">
        <v>6586</v>
      </c>
    </row>
    <row r="1751" spans="1:7">
      <c r="A1751" t="s">
        <v>6581</v>
      </c>
      <c r="B1751" s="1">
        <v>1750</v>
      </c>
      <c r="C1751" t="s">
        <v>11804</v>
      </c>
      <c r="D1751" t="s">
        <v>10246</v>
      </c>
      <c r="E1751" t="s">
        <v>11805</v>
      </c>
      <c r="F1751" t="s">
        <v>11806</v>
      </c>
      <c r="G1751" t="s">
        <v>6586</v>
      </c>
    </row>
    <row r="1752" spans="1:7">
      <c r="A1752" t="s">
        <v>6581</v>
      </c>
      <c r="B1752" s="1">
        <v>1751</v>
      </c>
      <c r="C1752" t="s">
        <v>11807</v>
      </c>
      <c r="D1752" t="s">
        <v>6598</v>
      </c>
      <c r="E1752" t="s">
        <v>11808</v>
      </c>
      <c r="F1752" t="s">
        <v>11809</v>
      </c>
      <c r="G1752" t="s">
        <v>6586</v>
      </c>
    </row>
    <row r="1753" spans="1:7">
      <c r="A1753" t="s">
        <v>6581</v>
      </c>
      <c r="B1753" s="1">
        <v>1752</v>
      </c>
      <c r="C1753" t="s">
        <v>11810</v>
      </c>
      <c r="D1753" t="s">
        <v>10246</v>
      </c>
      <c r="E1753" t="s">
        <v>11811</v>
      </c>
      <c r="F1753" t="s">
        <v>11812</v>
      </c>
      <c r="G1753" t="s">
        <v>6586</v>
      </c>
    </row>
    <row r="1754" spans="1:7">
      <c r="A1754" t="s">
        <v>6581</v>
      </c>
      <c r="B1754" s="1">
        <v>1753</v>
      </c>
      <c r="C1754" t="s">
        <v>11813</v>
      </c>
      <c r="D1754" t="s">
        <v>10246</v>
      </c>
      <c r="E1754" t="s">
        <v>11814</v>
      </c>
      <c r="F1754" t="s">
        <v>11815</v>
      </c>
      <c r="G1754" t="s">
        <v>6586</v>
      </c>
    </row>
    <row r="1755" spans="1:7">
      <c r="A1755" t="s">
        <v>6581</v>
      </c>
      <c r="B1755" s="1">
        <v>1754</v>
      </c>
      <c r="C1755" t="s">
        <v>11816</v>
      </c>
      <c r="D1755" t="s">
        <v>10246</v>
      </c>
      <c r="E1755" t="s">
        <v>11817</v>
      </c>
      <c r="F1755" t="s">
        <v>11818</v>
      </c>
      <c r="G1755" t="s">
        <v>6586</v>
      </c>
    </row>
    <row r="1756" spans="1:7">
      <c r="A1756" t="s">
        <v>6581</v>
      </c>
      <c r="B1756" s="1">
        <v>1755</v>
      </c>
      <c r="C1756" t="s">
        <v>11819</v>
      </c>
      <c r="D1756" t="s">
        <v>6598</v>
      </c>
      <c r="E1756" t="s">
        <v>11820</v>
      </c>
      <c r="F1756" t="s">
        <v>11821</v>
      </c>
      <c r="G1756" t="s">
        <v>6586</v>
      </c>
    </row>
    <row r="1757" spans="1:7">
      <c r="A1757" t="s">
        <v>6581</v>
      </c>
      <c r="B1757" s="1">
        <v>1756</v>
      </c>
      <c r="C1757" t="s">
        <v>11822</v>
      </c>
      <c r="D1757" t="s">
        <v>6598</v>
      </c>
      <c r="E1757" t="s">
        <v>11823</v>
      </c>
      <c r="F1757" t="s">
        <v>11824</v>
      </c>
      <c r="G1757" t="s">
        <v>6586</v>
      </c>
    </row>
    <row r="1758" spans="1:7">
      <c r="A1758" t="s">
        <v>6581</v>
      </c>
      <c r="B1758" s="1">
        <v>1757</v>
      </c>
      <c r="C1758" t="s">
        <v>11825</v>
      </c>
      <c r="D1758" t="s">
        <v>10246</v>
      </c>
      <c r="E1758" t="s">
        <v>11826</v>
      </c>
      <c r="F1758" t="s">
        <v>11827</v>
      </c>
      <c r="G1758" t="s">
        <v>6586</v>
      </c>
    </row>
    <row r="1759" spans="1:7">
      <c r="A1759" t="s">
        <v>6581</v>
      </c>
      <c r="B1759" s="1">
        <v>1758</v>
      </c>
      <c r="C1759" t="s">
        <v>11828</v>
      </c>
      <c r="D1759" t="s">
        <v>10246</v>
      </c>
      <c r="E1759" t="s">
        <v>11829</v>
      </c>
      <c r="F1759" t="s">
        <v>11830</v>
      </c>
      <c r="G1759" t="s">
        <v>6586</v>
      </c>
    </row>
    <row r="1760" spans="1:7">
      <c r="A1760" t="s">
        <v>6581</v>
      </c>
      <c r="B1760" s="1">
        <v>1759</v>
      </c>
      <c r="C1760" t="s">
        <v>11831</v>
      </c>
      <c r="D1760" t="s">
        <v>10246</v>
      </c>
      <c r="E1760" t="s">
        <v>11832</v>
      </c>
      <c r="F1760" t="s">
        <v>11833</v>
      </c>
      <c r="G1760" t="s">
        <v>6586</v>
      </c>
    </row>
    <row r="1761" spans="1:7">
      <c r="A1761" t="s">
        <v>6581</v>
      </c>
      <c r="B1761" s="1">
        <v>1760</v>
      </c>
      <c r="C1761" t="s">
        <v>11834</v>
      </c>
      <c r="D1761" t="s">
        <v>10246</v>
      </c>
      <c r="E1761" t="s">
        <v>11835</v>
      </c>
      <c r="F1761" t="s">
        <v>11836</v>
      </c>
      <c r="G1761" t="s">
        <v>6586</v>
      </c>
    </row>
    <row r="1762" spans="1:7">
      <c r="A1762" t="s">
        <v>6581</v>
      </c>
      <c r="B1762" s="1">
        <v>1761</v>
      </c>
      <c r="C1762" t="s">
        <v>11837</v>
      </c>
      <c r="D1762" t="s">
        <v>6598</v>
      </c>
      <c r="E1762" t="s">
        <v>11838</v>
      </c>
      <c r="F1762" t="s">
        <v>11839</v>
      </c>
      <c r="G1762" t="s">
        <v>6586</v>
      </c>
    </row>
    <row r="1763" spans="1:7">
      <c r="A1763" t="s">
        <v>6581</v>
      </c>
      <c r="B1763" s="1">
        <v>1762</v>
      </c>
      <c r="C1763" t="s">
        <v>11840</v>
      </c>
      <c r="D1763" t="s">
        <v>10246</v>
      </c>
      <c r="E1763" t="s">
        <v>11841</v>
      </c>
      <c r="F1763" t="s">
        <v>11842</v>
      </c>
      <c r="G1763" t="s">
        <v>6586</v>
      </c>
    </row>
    <row r="1764" spans="1:7">
      <c r="A1764" t="s">
        <v>6581</v>
      </c>
      <c r="B1764" s="1">
        <v>1763</v>
      </c>
      <c r="C1764" t="s">
        <v>11843</v>
      </c>
      <c r="D1764" t="s">
        <v>6598</v>
      </c>
      <c r="E1764" t="s">
        <v>11844</v>
      </c>
      <c r="F1764" t="s">
        <v>11845</v>
      </c>
      <c r="G1764" t="s">
        <v>6586</v>
      </c>
    </row>
    <row r="1765" spans="1:7">
      <c r="A1765" t="s">
        <v>6581</v>
      </c>
      <c r="B1765" s="1">
        <v>1764</v>
      </c>
      <c r="C1765" t="s">
        <v>11846</v>
      </c>
      <c r="D1765" t="s">
        <v>10246</v>
      </c>
      <c r="E1765" t="s">
        <v>11847</v>
      </c>
      <c r="F1765" t="s">
        <v>11848</v>
      </c>
      <c r="G1765" t="s">
        <v>6586</v>
      </c>
    </row>
    <row r="1766" spans="1:7">
      <c r="A1766" t="s">
        <v>6581</v>
      </c>
      <c r="B1766" s="1">
        <v>1765</v>
      </c>
      <c r="C1766" t="s">
        <v>11849</v>
      </c>
      <c r="D1766" t="s">
        <v>10246</v>
      </c>
      <c r="E1766" t="s">
        <v>11850</v>
      </c>
      <c r="F1766" t="s">
        <v>11851</v>
      </c>
      <c r="G1766" t="s">
        <v>6586</v>
      </c>
    </row>
    <row r="1767" spans="1:7">
      <c r="A1767" t="s">
        <v>6581</v>
      </c>
      <c r="B1767" s="1">
        <v>1766</v>
      </c>
      <c r="C1767" t="s">
        <v>11852</v>
      </c>
      <c r="D1767" t="s">
        <v>10246</v>
      </c>
      <c r="E1767" t="s">
        <v>11853</v>
      </c>
      <c r="F1767" t="s">
        <v>11854</v>
      </c>
      <c r="G1767" t="s">
        <v>6586</v>
      </c>
    </row>
    <row r="1768" spans="1:7">
      <c r="A1768" t="s">
        <v>6581</v>
      </c>
      <c r="B1768" s="1">
        <v>1767</v>
      </c>
      <c r="C1768" t="s">
        <v>11855</v>
      </c>
      <c r="D1768" t="s">
        <v>10246</v>
      </c>
      <c r="E1768" t="s">
        <v>11856</v>
      </c>
      <c r="F1768" t="s">
        <v>11857</v>
      </c>
      <c r="G1768" t="s">
        <v>6586</v>
      </c>
    </row>
    <row r="1769" spans="1:7">
      <c r="A1769" t="s">
        <v>6581</v>
      </c>
      <c r="B1769" s="1">
        <v>1768</v>
      </c>
      <c r="C1769" t="s">
        <v>11858</v>
      </c>
      <c r="D1769" t="s">
        <v>10246</v>
      </c>
      <c r="E1769" t="s">
        <v>11859</v>
      </c>
      <c r="F1769" t="s">
        <v>11860</v>
      </c>
      <c r="G1769" t="s">
        <v>6586</v>
      </c>
    </row>
    <row r="1770" spans="1:7">
      <c r="A1770" t="s">
        <v>6581</v>
      </c>
      <c r="B1770" s="1">
        <v>1769</v>
      </c>
      <c r="C1770" t="s">
        <v>11861</v>
      </c>
      <c r="D1770" t="s">
        <v>6598</v>
      </c>
      <c r="E1770" t="s">
        <v>11862</v>
      </c>
      <c r="F1770" t="s">
        <v>11863</v>
      </c>
      <c r="G1770" t="s">
        <v>6586</v>
      </c>
    </row>
    <row r="1771" spans="1:7">
      <c r="A1771" t="s">
        <v>6581</v>
      </c>
      <c r="B1771" s="1">
        <v>1770</v>
      </c>
      <c r="C1771" t="s">
        <v>11864</v>
      </c>
      <c r="D1771" t="s">
        <v>10246</v>
      </c>
      <c r="E1771" t="s">
        <v>11865</v>
      </c>
      <c r="F1771" t="s">
        <v>11866</v>
      </c>
      <c r="G1771" t="s">
        <v>6586</v>
      </c>
    </row>
    <row r="1772" spans="1:7">
      <c r="A1772" t="s">
        <v>6581</v>
      </c>
      <c r="B1772" s="1">
        <v>1771</v>
      </c>
      <c r="C1772" t="s">
        <v>11867</v>
      </c>
      <c r="D1772" t="s">
        <v>10246</v>
      </c>
      <c r="E1772" t="s">
        <v>11868</v>
      </c>
      <c r="F1772" t="s">
        <v>11869</v>
      </c>
      <c r="G1772" t="s">
        <v>6586</v>
      </c>
    </row>
    <row r="1773" spans="1:7">
      <c r="A1773" t="s">
        <v>6581</v>
      </c>
      <c r="B1773" s="1">
        <v>1772</v>
      </c>
      <c r="C1773" t="s">
        <v>11870</v>
      </c>
      <c r="D1773" t="s">
        <v>10246</v>
      </c>
      <c r="E1773" t="s">
        <v>11871</v>
      </c>
      <c r="F1773" t="s">
        <v>11872</v>
      </c>
      <c r="G1773" t="s">
        <v>6586</v>
      </c>
    </row>
    <row r="1774" spans="1:7">
      <c r="A1774" t="s">
        <v>6581</v>
      </c>
      <c r="B1774" s="1">
        <v>1773</v>
      </c>
      <c r="C1774" t="s">
        <v>11873</v>
      </c>
      <c r="D1774" t="s">
        <v>6598</v>
      </c>
      <c r="E1774" t="s">
        <v>11874</v>
      </c>
      <c r="F1774" t="s">
        <v>11875</v>
      </c>
      <c r="G1774" t="s">
        <v>6586</v>
      </c>
    </row>
    <row r="1775" spans="1:7">
      <c r="A1775" t="s">
        <v>6581</v>
      </c>
      <c r="B1775" s="1">
        <v>1774</v>
      </c>
      <c r="C1775" t="s">
        <v>11876</v>
      </c>
      <c r="D1775" t="s">
        <v>6654</v>
      </c>
      <c r="E1775" t="s">
        <v>11877</v>
      </c>
      <c r="F1775" t="s">
        <v>11878</v>
      </c>
      <c r="G1775" t="s">
        <v>6586</v>
      </c>
    </row>
    <row r="1776" spans="1:7">
      <c r="A1776" t="s">
        <v>6581</v>
      </c>
      <c r="B1776" s="1">
        <v>1775</v>
      </c>
      <c r="C1776" t="s">
        <v>11879</v>
      </c>
      <c r="D1776" t="s">
        <v>10246</v>
      </c>
      <c r="E1776" t="s">
        <v>11880</v>
      </c>
      <c r="F1776" t="s">
        <v>11881</v>
      </c>
      <c r="G1776" t="s">
        <v>6586</v>
      </c>
    </row>
    <row r="1777" spans="1:7">
      <c r="A1777" t="s">
        <v>6581</v>
      </c>
      <c r="B1777" s="1">
        <v>1776</v>
      </c>
      <c r="C1777" t="s">
        <v>11882</v>
      </c>
      <c r="D1777" t="s">
        <v>10246</v>
      </c>
      <c r="E1777" t="s">
        <v>11883</v>
      </c>
      <c r="F1777" t="s">
        <v>11884</v>
      </c>
      <c r="G1777" t="s">
        <v>6586</v>
      </c>
    </row>
    <row r="1778" spans="1:7">
      <c r="A1778" t="s">
        <v>6581</v>
      </c>
      <c r="B1778" s="1">
        <v>1777</v>
      </c>
      <c r="C1778" t="s">
        <v>11885</v>
      </c>
      <c r="D1778" t="s">
        <v>6598</v>
      </c>
      <c r="E1778" t="s">
        <v>11886</v>
      </c>
      <c r="F1778" t="s">
        <v>11887</v>
      </c>
      <c r="G1778" t="s">
        <v>6586</v>
      </c>
    </row>
    <row r="1779" spans="1:7">
      <c r="A1779" t="s">
        <v>6581</v>
      </c>
      <c r="B1779" s="1">
        <v>1778</v>
      </c>
      <c r="C1779" t="s">
        <v>11888</v>
      </c>
      <c r="D1779" t="s">
        <v>10246</v>
      </c>
      <c r="E1779" t="s">
        <v>11889</v>
      </c>
      <c r="F1779" t="s">
        <v>11890</v>
      </c>
      <c r="G1779" t="s">
        <v>6586</v>
      </c>
    </row>
    <row r="1780" spans="1:7">
      <c r="A1780" t="s">
        <v>6581</v>
      </c>
      <c r="B1780" s="1">
        <v>1779</v>
      </c>
      <c r="C1780" t="s">
        <v>11891</v>
      </c>
      <c r="D1780" t="s">
        <v>10246</v>
      </c>
      <c r="E1780" t="s">
        <v>11892</v>
      </c>
      <c r="F1780" t="s">
        <v>11893</v>
      </c>
      <c r="G1780" t="s">
        <v>6586</v>
      </c>
    </row>
    <row r="1781" spans="1:7">
      <c r="A1781" t="s">
        <v>6581</v>
      </c>
      <c r="B1781" s="1">
        <v>1780</v>
      </c>
      <c r="C1781" t="s">
        <v>11894</v>
      </c>
      <c r="D1781" t="s">
        <v>10246</v>
      </c>
      <c r="E1781" t="s">
        <v>11895</v>
      </c>
      <c r="F1781" t="s">
        <v>11896</v>
      </c>
      <c r="G1781" t="s">
        <v>6586</v>
      </c>
    </row>
    <row r="1782" spans="1:7">
      <c r="A1782" t="s">
        <v>6581</v>
      </c>
      <c r="B1782" s="1">
        <v>1781</v>
      </c>
      <c r="C1782" t="s">
        <v>11897</v>
      </c>
      <c r="D1782" t="s">
        <v>6705</v>
      </c>
      <c r="E1782" t="s">
        <v>11898</v>
      </c>
      <c r="F1782" t="s">
        <v>11899</v>
      </c>
      <c r="G1782" t="s">
        <v>6586</v>
      </c>
    </row>
    <row r="1783" spans="1:7">
      <c r="A1783" t="s">
        <v>6581</v>
      </c>
      <c r="B1783" s="1">
        <v>1782</v>
      </c>
      <c r="C1783" t="s">
        <v>11900</v>
      </c>
      <c r="D1783" t="s">
        <v>6598</v>
      </c>
      <c r="E1783" t="s">
        <v>11901</v>
      </c>
      <c r="F1783" t="s">
        <v>11902</v>
      </c>
      <c r="G1783" t="s">
        <v>6586</v>
      </c>
    </row>
    <row r="1784" spans="1:7">
      <c r="A1784" t="s">
        <v>6581</v>
      </c>
      <c r="B1784" s="1">
        <v>1783</v>
      </c>
      <c r="C1784" t="s">
        <v>11903</v>
      </c>
      <c r="D1784" t="s">
        <v>10246</v>
      </c>
      <c r="E1784" t="s">
        <v>11904</v>
      </c>
      <c r="F1784" t="s">
        <v>11905</v>
      </c>
      <c r="G1784" t="s">
        <v>6586</v>
      </c>
    </row>
    <row r="1785" spans="1:7">
      <c r="A1785" t="s">
        <v>6581</v>
      </c>
      <c r="B1785" s="1">
        <v>1784</v>
      </c>
      <c r="C1785" t="s">
        <v>11906</v>
      </c>
      <c r="D1785" t="s">
        <v>6598</v>
      </c>
      <c r="E1785" t="s">
        <v>11907</v>
      </c>
      <c r="F1785" t="s">
        <v>11908</v>
      </c>
      <c r="G1785" t="s">
        <v>6586</v>
      </c>
    </row>
    <row r="1786" spans="1:7">
      <c r="A1786" t="s">
        <v>6581</v>
      </c>
      <c r="B1786" s="1">
        <v>1785</v>
      </c>
      <c r="C1786" t="s">
        <v>11909</v>
      </c>
      <c r="D1786" t="s">
        <v>10246</v>
      </c>
      <c r="E1786" t="s">
        <v>11910</v>
      </c>
      <c r="F1786" t="s">
        <v>11911</v>
      </c>
      <c r="G1786" t="s">
        <v>6586</v>
      </c>
    </row>
    <row r="1787" spans="1:7">
      <c r="A1787" t="s">
        <v>6581</v>
      </c>
      <c r="B1787" s="1">
        <v>1786</v>
      </c>
      <c r="C1787" t="s">
        <v>11912</v>
      </c>
      <c r="D1787" t="s">
        <v>6598</v>
      </c>
      <c r="E1787" t="s">
        <v>11913</v>
      </c>
      <c r="F1787" t="s">
        <v>11914</v>
      </c>
      <c r="G1787" t="s">
        <v>6586</v>
      </c>
    </row>
    <row r="1788" spans="1:7">
      <c r="A1788" t="s">
        <v>6581</v>
      </c>
      <c r="B1788" s="1">
        <v>1787</v>
      </c>
      <c r="C1788" t="s">
        <v>11915</v>
      </c>
      <c r="D1788" t="s">
        <v>10246</v>
      </c>
      <c r="E1788" t="s">
        <v>11916</v>
      </c>
      <c r="F1788" t="s">
        <v>11917</v>
      </c>
      <c r="G1788" t="s">
        <v>6586</v>
      </c>
    </row>
    <row r="1789" spans="1:7">
      <c r="A1789" t="s">
        <v>6581</v>
      </c>
      <c r="B1789" s="1">
        <v>1788</v>
      </c>
      <c r="C1789" t="s">
        <v>11918</v>
      </c>
      <c r="D1789" t="s">
        <v>6598</v>
      </c>
      <c r="E1789" t="s">
        <v>11919</v>
      </c>
      <c r="F1789" t="s">
        <v>11920</v>
      </c>
      <c r="G1789" t="s">
        <v>6586</v>
      </c>
    </row>
    <row r="1790" spans="1:7">
      <c r="A1790" t="s">
        <v>6581</v>
      </c>
      <c r="B1790" s="1">
        <v>1789</v>
      </c>
      <c r="C1790" t="s">
        <v>11921</v>
      </c>
      <c r="D1790" t="s">
        <v>6598</v>
      </c>
      <c r="E1790" t="s">
        <v>11922</v>
      </c>
      <c r="F1790" t="s">
        <v>11923</v>
      </c>
      <c r="G1790" t="s">
        <v>6586</v>
      </c>
    </row>
    <row r="1791" spans="1:7">
      <c r="A1791" t="s">
        <v>6581</v>
      </c>
      <c r="B1791" s="1">
        <v>1790</v>
      </c>
      <c r="C1791" t="s">
        <v>11924</v>
      </c>
      <c r="D1791" t="s">
        <v>10246</v>
      </c>
      <c r="E1791" t="s">
        <v>11925</v>
      </c>
      <c r="F1791" t="s">
        <v>11926</v>
      </c>
      <c r="G1791" t="s">
        <v>6586</v>
      </c>
    </row>
    <row r="1792" spans="1:7">
      <c r="A1792" t="s">
        <v>6581</v>
      </c>
      <c r="B1792" s="1">
        <v>1791</v>
      </c>
      <c r="C1792" t="s">
        <v>11927</v>
      </c>
      <c r="D1792" t="s">
        <v>6598</v>
      </c>
      <c r="E1792" t="s">
        <v>11928</v>
      </c>
      <c r="F1792" t="s">
        <v>11929</v>
      </c>
      <c r="G1792" t="s">
        <v>6586</v>
      </c>
    </row>
    <row r="1793" spans="1:7">
      <c r="A1793" t="s">
        <v>6581</v>
      </c>
      <c r="B1793" s="1">
        <v>1792</v>
      </c>
      <c r="C1793" t="s">
        <v>11930</v>
      </c>
      <c r="D1793" t="s">
        <v>6598</v>
      </c>
      <c r="E1793" t="s">
        <v>11931</v>
      </c>
      <c r="F1793" t="s">
        <v>11932</v>
      </c>
      <c r="G1793" t="s">
        <v>6586</v>
      </c>
    </row>
    <row r="1794" spans="1:7">
      <c r="A1794" t="s">
        <v>6581</v>
      </c>
      <c r="B1794" s="1">
        <v>1793</v>
      </c>
      <c r="C1794" t="s">
        <v>11933</v>
      </c>
      <c r="D1794" t="s">
        <v>10246</v>
      </c>
      <c r="E1794" t="s">
        <v>11934</v>
      </c>
      <c r="F1794" t="s">
        <v>11935</v>
      </c>
      <c r="G1794" t="s">
        <v>6586</v>
      </c>
    </row>
    <row r="1795" spans="1:7">
      <c r="A1795" t="s">
        <v>6581</v>
      </c>
      <c r="B1795" s="1">
        <v>1794</v>
      </c>
      <c r="C1795" t="s">
        <v>11936</v>
      </c>
      <c r="D1795" t="s">
        <v>10246</v>
      </c>
      <c r="E1795" t="s">
        <v>11937</v>
      </c>
      <c r="F1795" t="s">
        <v>11938</v>
      </c>
      <c r="G1795" t="s">
        <v>6586</v>
      </c>
    </row>
    <row r="1796" spans="1:7">
      <c r="A1796" t="s">
        <v>6581</v>
      </c>
      <c r="B1796" s="1">
        <v>1795</v>
      </c>
      <c r="C1796" t="s">
        <v>11939</v>
      </c>
      <c r="D1796" t="s">
        <v>10246</v>
      </c>
      <c r="E1796" t="s">
        <v>11940</v>
      </c>
      <c r="F1796" t="s">
        <v>11941</v>
      </c>
      <c r="G1796" t="s">
        <v>6586</v>
      </c>
    </row>
    <row r="1797" spans="1:7">
      <c r="A1797" t="s">
        <v>6581</v>
      </c>
      <c r="B1797" s="1">
        <v>1796</v>
      </c>
      <c r="C1797" t="s">
        <v>11942</v>
      </c>
      <c r="D1797" t="s">
        <v>10246</v>
      </c>
      <c r="E1797" t="s">
        <v>11943</v>
      </c>
      <c r="F1797" t="s">
        <v>11944</v>
      </c>
      <c r="G1797" t="s">
        <v>6586</v>
      </c>
    </row>
    <row r="1798" spans="1:7">
      <c r="A1798" t="s">
        <v>6581</v>
      </c>
      <c r="B1798" s="1">
        <v>1797</v>
      </c>
      <c r="C1798" t="s">
        <v>11945</v>
      </c>
      <c r="D1798" t="s">
        <v>10246</v>
      </c>
      <c r="E1798" t="s">
        <v>11946</v>
      </c>
      <c r="F1798" t="s">
        <v>11947</v>
      </c>
      <c r="G1798" t="s">
        <v>6586</v>
      </c>
    </row>
    <row r="1799" spans="1:7">
      <c r="A1799" t="s">
        <v>6581</v>
      </c>
      <c r="B1799" s="1">
        <v>1798</v>
      </c>
      <c r="C1799" t="s">
        <v>11948</v>
      </c>
      <c r="D1799" t="s">
        <v>10246</v>
      </c>
      <c r="E1799" t="s">
        <v>11949</v>
      </c>
      <c r="F1799" t="s">
        <v>11950</v>
      </c>
      <c r="G1799" t="s">
        <v>6586</v>
      </c>
    </row>
    <row r="1800" spans="1:7">
      <c r="A1800" t="s">
        <v>6581</v>
      </c>
      <c r="B1800" s="1">
        <v>1799</v>
      </c>
      <c r="C1800" t="s">
        <v>11951</v>
      </c>
      <c r="D1800" t="s">
        <v>6598</v>
      </c>
      <c r="E1800" t="s">
        <v>11952</v>
      </c>
      <c r="F1800" t="s">
        <v>11953</v>
      </c>
      <c r="G1800" t="s">
        <v>6586</v>
      </c>
    </row>
    <row r="1801" spans="1:7">
      <c r="A1801" t="s">
        <v>6581</v>
      </c>
      <c r="B1801" s="1">
        <v>1800</v>
      </c>
      <c r="C1801" t="s">
        <v>11954</v>
      </c>
      <c r="D1801" t="s">
        <v>10246</v>
      </c>
      <c r="E1801" t="s">
        <v>11955</v>
      </c>
      <c r="F1801" t="s">
        <v>11956</v>
      </c>
      <c r="G1801" t="s">
        <v>6586</v>
      </c>
    </row>
    <row r="1802" spans="1:7">
      <c r="A1802" t="s">
        <v>6581</v>
      </c>
      <c r="B1802" s="1">
        <v>1801</v>
      </c>
      <c r="C1802" t="s">
        <v>11957</v>
      </c>
      <c r="D1802" t="s">
        <v>10246</v>
      </c>
      <c r="E1802" t="s">
        <v>11958</v>
      </c>
      <c r="F1802" t="s">
        <v>11959</v>
      </c>
      <c r="G1802" t="s">
        <v>6586</v>
      </c>
    </row>
    <row r="1803" spans="1:7">
      <c r="A1803" t="s">
        <v>6581</v>
      </c>
      <c r="B1803" s="1">
        <v>1802</v>
      </c>
      <c r="C1803" t="s">
        <v>11960</v>
      </c>
      <c r="D1803" t="s">
        <v>10246</v>
      </c>
      <c r="E1803" t="s">
        <v>11961</v>
      </c>
      <c r="F1803" t="s">
        <v>11962</v>
      </c>
      <c r="G1803" t="s">
        <v>6586</v>
      </c>
    </row>
    <row r="1804" spans="1:7">
      <c r="A1804" t="s">
        <v>6581</v>
      </c>
      <c r="B1804" s="1">
        <v>1803</v>
      </c>
      <c r="C1804" t="s">
        <v>11963</v>
      </c>
      <c r="D1804" t="s">
        <v>10246</v>
      </c>
      <c r="E1804" t="s">
        <v>11964</v>
      </c>
      <c r="F1804" t="s">
        <v>11965</v>
      </c>
      <c r="G1804" t="s">
        <v>6586</v>
      </c>
    </row>
    <row r="1805" spans="1:7">
      <c r="A1805" t="s">
        <v>6581</v>
      </c>
      <c r="B1805" s="1">
        <v>1804</v>
      </c>
      <c r="C1805" t="s">
        <v>11966</v>
      </c>
      <c r="D1805" t="s">
        <v>10246</v>
      </c>
      <c r="E1805" t="s">
        <v>11967</v>
      </c>
      <c r="F1805" t="s">
        <v>11968</v>
      </c>
      <c r="G1805" t="s">
        <v>6586</v>
      </c>
    </row>
    <row r="1806" spans="1:7">
      <c r="A1806" t="s">
        <v>6581</v>
      </c>
      <c r="B1806" s="1">
        <v>1805</v>
      </c>
      <c r="C1806" t="s">
        <v>11969</v>
      </c>
      <c r="D1806" t="s">
        <v>10246</v>
      </c>
      <c r="E1806" t="s">
        <v>11970</v>
      </c>
      <c r="F1806" t="s">
        <v>11971</v>
      </c>
      <c r="G1806" t="s">
        <v>6586</v>
      </c>
    </row>
    <row r="1807" spans="1:7">
      <c r="A1807" t="s">
        <v>6581</v>
      </c>
      <c r="B1807" s="1">
        <v>1806</v>
      </c>
      <c r="C1807" t="s">
        <v>11972</v>
      </c>
      <c r="D1807" t="s">
        <v>10246</v>
      </c>
      <c r="E1807" t="s">
        <v>11973</v>
      </c>
      <c r="F1807" t="s">
        <v>11974</v>
      </c>
      <c r="G1807" t="s">
        <v>6586</v>
      </c>
    </row>
    <row r="1808" spans="1:7">
      <c r="A1808" t="s">
        <v>6581</v>
      </c>
      <c r="B1808" s="1">
        <v>1807</v>
      </c>
      <c r="C1808" t="s">
        <v>11975</v>
      </c>
      <c r="D1808" t="s">
        <v>6598</v>
      </c>
      <c r="E1808" t="s">
        <v>11976</v>
      </c>
      <c r="F1808" t="s">
        <v>11977</v>
      </c>
      <c r="G1808" t="s">
        <v>6586</v>
      </c>
    </row>
    <row r="1809" spans="1:7">
      <c r="A1809" t="s">
        <v>6581</v>
      </c>
      <c r="B1809" s="1">
        <v>1808</v>
      </c>
      <c r="C1809" t="s">
        <v>11978</v>
      </c>
      <c r="D1809" t="s">
        <v>6598</v>
      </c>
      <c r="E1809" t="s">
        <v>11979</v>
      </c>
      <c r="F1809" t="s">
        <v>11980</v>
      </c>
      <c r="G1809" t="s">
        <v>6586</v>
      </c>
    </row>
    <row r="1810" spans="1:7">
      <c r="A1810" t="s">
        <v>6581</v>
      </c>
      <c r="B1810" s="1">
        <v>1809</v>
      </c>
      <c r="C1810" t="s">
        <v>11981</v>
      </c>
      <c r="D1810" t="s">
        <v>10246</v>
      </c>
      <c r="E1810" t="s">
        <v>11982</v>
      </c>
      <c r="F1810" t="s">
        <v>11983</v>
      </c>
      <c r="G1810" t="s">
        <v>6586</v>
      </c>
    </row>
    <row r="1811" spans="1:7">
      <c r="A1811" t="s">
        <v>6581</v>
      </c>
      <c r="B1811" s="1">
        <v>1810</v>
      </c>
      <c r="C1811" t="s">
        <v>11984</v>
      </c>
      <c r="D1811" t="s">
        <v>6598</v>
      </c>
      <c r="E1811" t="s">
        <v>11985</v>
      </c>
      <c r="F1811" t="s">
        <v>11986</v>
      </c>
      <c r="G1811" t="s">
        <v>6586</v>
      </c>
    </row>
    <row r="1812" spans="1:7">
      <c r="A1812" t="s">
        <v>6581</v>
      </c>
      <c r="B1812" s="1">
        <v>1811</v>
      </c>
      <c r="C1812" t="s">
        <v>11987</v>
      </c>
      <c r="D1812" t="s">
        <v>6598</v>
      </c>
      <c r="E1812" t="s">
        <v>11988</v>
      </c>
      <c r="F1812" t="s">
        <v>11989</v>
      </c>
      <c r="G1812" t="s">
        <v>6586</v>
      </c>
    </row>
    <row r="1813" spans="1:7">
      <c r="A1813" t="s">
        <v>6581</v>
      </c>
      <c r="B1813" s="1">
        <v>1812</v>
      </c>
      <c r="C1813" t="s">
        <v>11990</v>
      </c>
      <c r="D1813" t="s">
        <v>10246</v>
      </c>
      <c r="E1813" t="s">
        <v>11991</v>
      </c>
      <c r="F1813" t="s">
        <v>11992</v>
      </c>
      <c r="G1813" t="s">
        <v>6586</v>
      </c>
    </row>
    <row r="1814" spans="1:7">
      <c r="A1814" t="s">
        <v>6581</v>
      </c>
      <c r="B1814" s="1">
        <v>1813</v>
      </c>
      <c r="C1814" t="s">
        <v>11993</v>
      </c>
      <c r="D1814" t="s">
        <v>6598</v>
      </c>
      <c r="E1814" t="s">
        <v>11994</v>
      </c>
      <c r="F1814" t="s">
        <v>11995</v>
      </c>
      <c r="G1814" t="s">
        <v>6586</v>
      </c>
    </row>
    <row r="1815" spans="1:7">
      <c r="A1815" t="s">
        <v>6581</v>
      </c>
      <c r="B1815" s="1">
        <v>1814</v>
      </c>
      <c r="C1815" t="s">
        <v>11996</v>
      </c>
      <c r="D1815" t="s">
        <v>10246</v>
      </c>
      <c r="E1815" t="s">
        <v>11997</v>
      </c>
      <c r="F1815" t="s">
        <v>11998</v>
      </c>
      <c r="G1815" t="s">
        <v>6586</v>
      </c>
    </row>
    <row r="1816" spans="1:7">
      <c r="A1816" t="s">
        <v>6581</v>
      </c>
      <c r="B1816" s="1">
        <v>1815</v>
      </c>
      <c r="C1816" t="s">
        <v>11999</v>
      </c>
      <c r="D1816" t="s">
        <v>10246</v>
      </c>
      <c r="E1816" t="s">
        <v>12000</v>
      </c>
      <c r="F1816" t="s">
        <v>12001</v>
      </c>
      <c r="G1816" t="s">
        <v>6586</v>
      </c>
    </row>
    <row r="1817" spans="1:7">
      <c r="A1817" t="s">
        <v>6581</v>
      </c>
      <c r="B1817" s="1">
        <v>1816</v>
      </c>
      <c r="C1817" t="s">
        <v>12002</v>
      </c>
      <c r="D1817" t="s">
        <v>10246</v>
      </c>
      <c r="E1817" t="s">
        <v>12003</v>
      </c>
      <c r="F1817" t="s">
        <v>12004</v>
      </c>
      <c r="G1817" t="s">
        <v>6586</v>
      </c>
    </row>
    <row r="1818" spans="1:7">
      <c r="A1818" t="s">
        <v>6581</v>
      </c>
      <c r="B1818" s="1">
        <v>1817</v>
      </c>
      <c r="C1818" t="s">
        <v>12005</v>
      </c>
      <c r="D1818" t="s">
        <v>10246</v>
      </c>
      <c r="E1818" t="s">
        <v>12006</v>
      </c>
      <c r="F1818" t="s">
        <v>12007</v>
      </c>
      <c r="G1818" t="s">
        <v>6586</v>
      </c>
    </row>
    <row r="1819" spans="1:7">
      <c r="A1819" t="s">
        <v>6581</v>
      </c>
      <c r="B1819" s="1">
        <v>1818</v>
      </c>
      <c r="C1819" t="s">
        <v>12008</v>
      </c>
      <c r="D1819" t="s">
        <v>6598</v>
      </c>
      <c r="E1819" t="s">
        <v>12009</v>
      </c>
      <c r="F1819" t="s">
        <v>12010</v>
      </c>
      <c r="G1819" t="s">
        <v>6586</v>
      </c>
    </row>
    <row r="1820" spans="1:7">
      <c r="A1820" t="s">
        <v>6581</v>
      </c>
      <c r="B1820" s="1">
        <v>1819</v>
      </c>
      <c r="C1820" t="s">
        <v>12011</v>
      </c>
      <c r="D1820" t="s">
        <v>10246</v>
      </c>
      <c r="E1820" t="s">
        <v>10959</v>
      </c>
      <c r="F1820" t="s">
        <v>12012</v>
      </c>
      <c r="G1820" t="s">
        <v>6586</v>
      </c>
    </row>
    <row r="1821" spans="1:7">
      <c r="A1821" t="s">
        <v>6581</v>
      </c>
      <c r="B1821" s="1">
        <v>1820</v>
      </c>
      <c r="C1821" t="s">
        <v>12013</v>
      </c>
      <c r="D1821" t="s">
        <v>10246</v>
      </c>
      <c r="E1821" t="s">
        <v>12014</v>
      </c>
      <c r="F1821" t="s">
        <v>12015</v>
      </c>
      <c r="G1821" t="s">
        <v>6586</v>
      </c>
    </row>
    <row r="1822" spans="1:7">
      <c r="A1822" t="s">
        <v>6581</v>
      </c>
      <c r="B1822" s="1">
        <v>1821</v>
      </c>
      <c r="C1822" t="s">
        <v>12016</v>
      </c>
      <c r="D1822" t="s">
        <v>10246</v>
      </c>
      <c r="E1822" t="s">
        <v>12017</v>
      </c>
      <c r="F1822" t="s">
        <v>12018</v>
      </c>
      <c r="G1822" t="s">
        <v>6586</v>
      </c>
    </row>
    <row r="1823" spans="1:7">
      <c r="A1823" t="s">
        <v>6581</v>
      </c>
      <c r="B1823" s="1">
        <v>1822</v>
      </c>
      <c r="C1823" t="s">
        <v>12019</v>
      </c>
      <c r="D1823" t="s">
        <v>6598</v>
      </c>
      <c r="E1823" t="s">
        <v>12020</v>
      </c>
      <c r="F1823" t="s">
        <v>12021</v>
      </c>
      <c r="G1823" t="s">
        <v>6586</v>
      </c>
    </row>
    <row r="1824" spans="1:7">
      <c r="A1824" t="s">
        <v>6581</v>
      </c>
      <c r="B1824" s="1">
        <v>1823</v>
      </c>
      <c r="C1824" t="s">
        <v>12022</v>
      </c>
      <c r="D1824" t="s">
        <v>10246</v>
      </c>
      <c r="E1824" t="s">
        <v>12023</v>
      </c>
      <c r="F1824" t="s">
        <v>12024</v>
      </c>
      <c r="G1824" t="s">
        <v>6586</v>
      </c>
    </row>
    <row r="1825" spans="1:7">
      <c r="A1825" t="s">
        <v>6581</v>
      </c>
      <c r="B1825" s="1">
        <v>1824</v>
      </c>
      <c r="C1825" t="s">
        <v>12025</v>
      </c>
      <c r="D1825" t="s">
        <v>10246</v>
      </c>
      <c r="E1825" t="s">
        <v>12026</v>
      </c>
      <c r="F1825" t="s">
        <v>12027</v>
      </c>
      <c r="G1825" t="s">
        <v>6586</v>
      </c>
    </row>
    <row r="1826" spans="1:7">
      <c r="A1826" t="s">
        <v>6581</v>
      </c>
      <c r="B1826" s="1">
        <v>1825</v>
      </c>
      <c r="C1826" t="s">
        <v>12028</v>
      </c>
      <c r="D1826" t="s">
        <v>10246</v>
      </c>
      <c r="E1826" t="s">
        <v>12029</v>
      </c>
      <c r="F1826" t="s">
        <v>12030</v>
      </c>
      <c r="G1826" t="s">
        <v>6586</v>
      </c>
    </row>
    <row r="1827" spans="1:7">
      <c r="A1827" t="s">
        <v>6581</v>
      </c>
      <c r="B1827" s="1">
        <v>1826</v>
      </c>
      <c r="C1827" t="s">
        <v>12031</v>
      </c>
      <c r="D1827" t="s">
        <v>6598</v>
      </c>
      <c r="E1827" t="s">
        <v>12032</v>
      </c>
      <c r="F1827" t="s">
        <v>12033</v>
      </c>
      <c r="G1827" t="s">
        <v>6586</v>
      </c>
    </row>
    <row r="1828" spans="1:7">
      <c r="A1828" t="s">
        <v>6581</v>
      </c>
      <c r="B1828" s="1">
        <v>1827</v>
      </c>
      <c r="C1828" t="s">
        <v>12034</v>
      </c>
      <c r="D1828" t="s">
        <v>6598</v>
      </c>
      <c r="E1828" t="s">
        <v>12035</v>
      </c>
      <c r="F1828" t="s">
        <v>12036</v>
      </c>
      <c r="G1828" t="s">
        <v>6586</v>
      </c>
    </row>
    <row r="1829" spans="1:7">
      <c r="A1829" t="s">
        <v>6581</v>
      </c>
      <c r="B1829" s="1">
        <v>1828</v>
      </c>
      <c r="C1829" t="s">
        <v>12037</v>
      </c>
      <c r="D1829" t="s">
        <v>6654</v>
      </c>
      <c r="E1829" t="s">
        <v>12038</v>
      </c>
      <c r="F1829" t="s">
        <v>12039</v>
      </c>
      <c r="G1829" t="s">
        <v>6586</v>
      </c>
    </row>
    <row r="1830" spans="1:7">
      <c r="A1830" t="s">
        <v>6581</v>
      </c>
      <c r="B1830" s="1">
        <v>1829</v>
      </c>
      <c r="C1830" t="s">
        <v>12040</v>
      </c>
      <c r="D1830" t="s">
        <v>10246</v>
      </c>
      <c r="E1830" t="s">
        <v>12041</v>
      </c>
      <c r="F1830" t="s">
        <v>12042</v>
      </c>
      <c r="G1830" t="s">
        <v>6586</v>
      </c>
    </row>
    <row r="1831" spans="1:7">
      <c r="A1831" t="s">
        <v>6581</v>
      </c>
      <c r="B1831" s="1">
        <v>1830</v>
      </c>
      <c r="C1831" t="s">
        <v>12043</v>
      </c>
      <c r="D1831" t="s">
        <v>10246</v>
      </c>
      <c r="E1831" t="s">
        <v>12044</v>
      </c>
      <c r="F1831" t="s">
        <v>12045</v>
      </c>
      <c r="G1831" t="s">
        <v>6586</v>
      </c>
    </row>
    <row r="1832" spans="1:7">
      <c r="A1832" t="s">
        <v>6581</v>
      </c>
      <c r="B1832" s="1">
        <v>1831</v>
      </c>
      <c r="C1832" t="s">
        <v>12046</v>
      </c>
      <c r="D1832" t="s">
        <v>10246</v>
      </c>
      <c r="E1832" t="s">
        <v>12047</v>
      </c>
      <c r="F1832" t="s">
        <v>12048</v>
      </c>
      <c r="G1832" t="s">
        <v>6586</v>
      </c>
    </row>
    <row r="1833" spans="1:7">
      <c r="A1833" t="s">
        <v>6581</v>
      </c>
      <c r="B1833" s="1">
        <v>1832</v>
      </c>
      <c r="C1833" t="s">
        <v>10264</v>
      </c>
      <c r="D1833" t="s">
        <v>10246</v>
      </c>
      <c r="E1833" t="s">
        <v>12049</v>
      </c>
      <c r="F1833" t="s">
        <v>12050</v>
      </c>
      <c r="G1833" t="s">
        <v>6586</v>
      </c>
    </row>
    <row r="1834" spans="1:7">
      <c r="A1834" t="s">
        <v>6581</v>
      </c>
      <c r="B1834" s="1">
        <v>1832</v>
      </c>
      <c r="C1834" t="s">
        <v>10264</v>
      </c>
      <c r="D1834" t="s">
        <v>10246</v>
      </c>
      <c r="E1834" t="s">
        <v>12049</v>
      </c>
      <c r="F1834" t="s">
        <v>12050</v>
      </c>
      <c r="G1834" t="s">
        <v>6586</v>
      </c>
    </row>
    <row r="1835" spans="1:7">
      <c r="A1835" t="s">
        <v>6581</v>
      </c>
      <c r="B1835" s="1">
        <v>1833</v>
      </c>
      <c r="C1835" t="s">
        <v>12051</v>
      </c>
      <c r="D1835" t="s">
        <v>6598</v>
      </c>
      <c r="E1835" t="s">
        <v>12052</v>
      </c>
      <c r="F1835" t="s">
        <v>12053</v>
      </c>
      <c r="G1835" t="s">
        <v>6586</v>
      </c>
    </row>
    <row r="1836" spans="1:7">
      <c r="A1836" t="s">
        <v>6581</v>
      </c>
      <c r="B1836" s="1">
        <v>1834</v>
      </c>
      <c r="C1836" t="s">
        <v>12054</v>
      </c>
      <c r="D1836" t="s">
        <v>10246</v>
      </c>
      <c r="E1836" t="s">
        <v>12055</v>
      </c>
      <c r="F1836" t="s">
        <v>12056</v>
      </c>
      <c r="G1836" t="s">
        <v>6586</v>
      </c>
    </row>
    <row r="1837" spans="1:7">
      <c r="A1837" t="s">
        <v>6581</v>
      </c>
      <c r="B1837" s="1">
        <v>1835</v>
      </c>
      <c r="C1837" t="s">
        <v>9186</v>
      </c>
      <c r="D1837" t="s">
        <v>10246</v>
      </c>
      <c r="E1837" t="s">
        <v>12057</v>
      </c>
      <c r="F1837" t="s">
        <v>12058</v>
      </c>
      <c r="G1837" t="s">
        <v>6586</v>
      </c>
    </row>
    <row r="1838" spans="1:7">
      <c r="A1838" t="s">
        <v>6581</v>
      </c>
      <c r="B1838" s="1">
        <v>1836</v>
      </c>
      <c r="C1838" t="s">
        <v>12059</v>
      </c>
      <c r="D1838" t="s">
        <v>10246</v>
      </c>
      <c r="E1838" t="s">
        <v>12060</v>
      </c>
      <c r="F1838" t="s">
        <v>12061</v>
      </c>
      <c r="G1838" t="s">
        <v>6586</v>
      </c>
    </row>
    <row r="1839" spans="1:7">
      <c r="A1839" t="s">
        <v>6581</v>
      </c>
      <c r="B1839" s="1">
        <v>1837</v>
      </c>
      <c r="C1839" t="s">
        <v>12062</v>
      </c>
      <c r="D1839" t="s">
        <v>10246</v>
      </c>
      <c r="E1839" t="s">
        <v>12063</v>
      </c>
      <c r="F1839" t="s">
        <v>12064</v>
      </c>
      <c r="G1839" t="s">
        <v>6586</v>
      </c>
    </row>
    <row r="1840" spans="1:7">
      <c r="A1840" t="s">
        <v>6581</v>
      </c>
      <c r="B1840" s="1">
        <v>1838</v>
      </c>
      <c r="C1840" t="s">
        <v>11804</v>
      </c>
      <c r="D1840" t="s">
        <v>10246</v>
      </c>
      <c r="E1840" t="s">
        <v>12065</v>
      </c>
      <c r="F1840" t="s">
        <v>12066</v>
      </c>
      <c r="G1840" t="s">
        <v>6586</v>
      </c>
    </row>
    <row r="1841" spans="1:7">
      <c r="A1841" t="s">
        <v>6581</v>
      </c>
      <c r="B1841" s="1">
        <v>1839</v>
      </c>
      <c r="C1841" t="s">
        <v>12067</v>
      </c>
      <c r="D1841" t="s">
        <v>10246</v>
      </c>
      <c r="E1841" t="s">
        <v>12068</v>
      </c>
      <c r="F1841" t="s">
        <v>12069</v>
      </c>
      <c r="G1841" t="s">
        <v>6586</v>
      </c>
    </row>
    <row r="1842" spans="1:7">
      <c r="A1842" t="s">
        <v>6581</v>
      </c>
      <c r="B1842" s="1">
        <v>1840</v>
      </c>
      <c r="C1842" t="s">
        <v>12070</v>
      </c>
      <c r="D1842" t="s">
        <v>10246</v>
      </c>
      <c r="E1842" t="s">
        <v>12071</v>
      </c>
      <c r="F1842" t="s">
        <v>12072</v>
      </c>
      <c r="G1842" t="s">
        <v>6586</v>
      </c>
    </row>
    <row r="1843" spans="1:7">
      <c r="A1843" t="s">
        <v>6581</v>
      </c>
      <c r="B1843" s="1">
        <v>1841</v>
      </c>
      <c r="C1843" t="s">
        <v>12073</v>
      </c>
      <c r="D1843" t="s">
        <v>10246</v>
      </c>
      <c r="E1843" t="s">
        <v>12074</v>
      </c>
      <c r="F1843" t="s">
        <v>12075</v>
      </c>
      <c r="G1843" t="s">
        <v>6586</v>
      </c>
    </row>
    <row r="1844" spans="1:7">
      <c r="A1844" t="s">
        <v>6581</v>
      </c>
      <c r="B1844" s="1">
        <v>1842</v>
      </c>
      <c r="C1844" t="s">
        <v>12076</v>
      </c>
      <c r="D1844" t="s">
        <v>10246</v>
      </c>
      <c r="E1844" t="s">
        <v>12077</v>
      </c>
      <c r="F1844" t="s">
        <v>12078</v>
      </c>
      <c r="G1844" t="s">
        <v>6586</v>
      </c>
    </row>
    <row r="1845" spans="1:7">
      <c r="A1845" t="s">
        <v>6581</v>
      </c>
      <c r="B1845" s="1">
        <v>1843</v>
      </c>
      <c r="C1845" t="s">
        <v>12079</v>
      </c>
      <c r="D1845" t="s">
        <v>6598</v>
      </c>
      <c r="E1845" t="s">
        <v>12080</v>
      </c>
      <c r="F1845" t="s">
        <v>12081</v>
      </c>
      <c r="G1845" t="s">
        <v>6586</v>
      </c>
    </row>
    <row r="1846" spans="1:7">
      <c r="A1846" t="s">
        <v>6581</v>
      </c>
      <c r="B1846" s="1">
        <v>1844</v>
      </c>
      <c r="C1846" t="s">
        <v>12082</v>
      </c>
      <c r="D1846" t="s">
        <v>10246</v>
      </c>
      <c r="E1846" t="s">
        <v>12083</v>
      </c>
      <c r="F1846" t="s">
        <v>11719</v>
      </c>
      <c r="G1846" t="s">
        <v>6586</v>
      </c>
    </row>
    <row r="1847" spans="1:7">
      <c r="A1847" t="s">
        <v>6581</v>
      </c>
      <c r="B1847" s="1">
        <v>1845</v>
      </c>
      <c r="C1847" t="s">
        <v>12084</v>
      </c>
      <c r="D1847" t="s">
        <v>10246</v>
      </c>
      <c r="E1847" t="s">
        <v>12085</v>
      </c>
      <c r="F1847" t="s">
        <v>12086</v>
      </c>
      <c r="G1847" t="s">
        <v>6586</v>
      </c>
    </row>
    <row r="1848" spans="1:7">
      <c r="A1848" t="s">
        <v>6581</v>
      </c>
      <c r="B1848" s="1">
        <v>1846</v>
      </c>
      <c r="C1848" t="s">
        <v>12087</v>
      </c>
      <c r="D1848" t="s">
        <v>6598</v>
      </c>
      <c r="E1848" t="s">
        <v>12088</v>
      </c>
      <c r="F1848" t="s">
        <v>12089</v>
      </c>
      <c r="G1848" t="s">
        <v>6586</v>
      </c>
    </row>
    <row r="1849" spans="1:7">
      <c r="A1849" t="s">
        <v>6581</v>
      </c>
      <c r="B1849" s="1">
        <v>1847</v>
      </c>
      <c r="C1849" t="s">
        <v>12090</v>
      </c>
      <c r="D1849" t="s">
        <v>10246</v>
      </c>
      <c r="E1849" t="s">
        <v>12091</v>
      </c>
      <c r="F1849" t="s">
        <v>12092</v>
      </c>
      <c r="G1849" t="s">
        <v>6586</v>
      </c>
    </row>
    <row r="1850" spans="1:7">
      <c r="A1850" t="s">
        <v>6581</v>
      </c>
      <c r="B1850" s="1">
        <v>1848</v>
      </c>
      <c r="C1850" t="s">
        <v>12093</v>
      </c>
      <c r="D1850" t="s">
        <v>6598</v>
      </c>
      <c r="E1850" t="s">
        <v>12094</v>
      </c>
      <c r="F1850" t="s">
        <v>12095</v>
      </c>
      <c r="G1850" t="s">
        <v>6586</v>
      </c>
    </row>
    <row r="1851" spans="1:7">
      <c r="A1851" t="s">
        <v>6581</v>
      </c>
      <c r="B1851" s="1">
        <v>1849</v>
      </c>
      <c r="C1851" t="s">
        <v>12096</v>
      </c>
      <c r="D1851" t="s">
        <v>10246</v>
      </c>
      <c r="E1851" t="s">
        <v>12097</v>
      </c>
      <c r="F1851" t="s">
        <v>12098</v>
      </c>
      <c r="G1851" t="s">
        <v>6586</v>
      </c>
    </row>
    <row r="1852" spans="1:7">
      <c r="A1852" t="s">
        <v>6581</v>
      </c>
      <c r="B1852" s="1">
        <v>1850</v>
      </c>
      <c r="C1852" t="s">
        <v>12099</v>
      </c>
      <c r="D1852" t="s">
        <v>10246</v>
      </c>
      <c r="E1852" t="s">
        <v>12100</v>
      </c>
      <c r="F1852" t="s">
        <v>12101</v>
      </c>
      <c r="G1852" t="s">
        <v>6586</v>
      </c>
    </row>
    <row r="1853" spans="1:7">
      <c r="A1853" t="s">
        <v>6581</v>
      </c>
      <c r="B1853" s="1">
        <v>1851</v>
      </c>
      <c r="C1853" t="s">
        <v>12102</v>
      </c>
      <c r="D1853" t="s">
        <v>6598</v>
      </c>
      <c r="E1853" t="s">
        <v>12103</v>
      </c>
      <c r="F1853" t="s">
        <v>12104</v>
      </c>
      <c r="G1853" t="s">
        <v>6586</v>
      </c>
    </row>
    <row r="1854" spans="1:7">
      <c r="A1854" t="s">
        <v>6581</v>
      </c>
      <c r="B1854" s="1">
        <v>1852</v>
      </c>
      <c r="C1854" t="s">
        <v>12105</v>
      </c>
      <c r="D1854" t="s">
        <v>10246</v>
      </c>
      <c r="E1854" t="s">
        <v>12106</v>
      </c>
      <c r="F1854" t="s">
        <v>12107</v>
      </c>
      <c r="G1854" t="s">
        <v>6586</v>
      </c>
    </row>
    <row r="1855" spans="1:7">
      <c r="A1855" t="s">
        <v>6581</v>
      </c>
      <c r="B1855" s="1">
        <v>1853</v>
      </c>
      <c r="C1855" t="s">
        <v>12108</v>
      </c>
      <c r="D1855" t="s">
        <v>10246</v>
      </c>
      <c r="E1855" t="s">
        <v>12109</v>
      </c>
      <c r="F1855" t="s">
        <v>12110</v>
      </c>
      <c r="G1855" t="s">
        <v>6586</v>
      </c>
    </row>
    <row r="1856" spans="1:7">
      <c r="A1856" t="s">
        <v>6581</v>
      </c>
      <c r="B1856" s="1">
        <v>1854</v>
      </c>
      <c r="C1856" t="s">
        <v>12111</v>
      </c>
      <c r="D1856" t="s">
        <v>10246</v>
      </c>
      <c r="E1856" t="s">
        <v>12112</v>
      </c>
      <c r="F1856" t="s">
        <v>12113</v>
      </c>
      <c r="G1856" t="s">
        <v>6586</v>
      </c>
    </row>
    <row r="1857" spans="1:7">
      <c r="A1857" t="s">
        <v>6581</v>
      </c>
      <c r="B1857" s="1">
        <v>1855</v>
      </c>
      <c r="C1857" t="s">
        <v>11681</v>
      </c>
      <c r="D1857" t="s">
        <v>10246</v>
      </c>
      <c r="E1857" t="s">
        <v>12114</v>
      </c>
      <c r="F1857" t="s">
        <v>12115</v>
      </c>
      <c r="G1857" t="s">
        <v>6586</v>
      </c>
    </row>
    <row r="1858" spans="1:7">
      <c r="A1858" t="s">
        <v>6581</v>
      </c>
      <c r="B1858" s="1">
        <v>1856</v>
      </c>
      <c r="C1858" t="s">
        <v>12116</v>
      </c>
      <c r="D1858" t="s">
        <v>6598</v>
      </c>
      <c r="E1858" t="s">
        <v>12117</v>
      </c>
      <c r="F1858" t="s">
        <v>12118</v>
      </c>
      <c r="G1858" t="s">
        <v>6586</v>
      </c>
    </row>
    <row r="1859" spans="1:7">
      <c r="A1859" t="s">
        <v>6581</v>
      </c>
      <c r="B1859" s="1">
        <v>1857</v>
      </c>
      <c r="C1859" t="s">
        <v>12119</v>
      </c>
      <c r="D1859" t="s">
        <v>6598</v>
      </c>
      <c r="E1859" t="s">
        <v>12120</v>
      </c>
      <c r="F1859" t="s">
        <v>12121</v>
      </c>
      <c r="G1859" t="s">
        <v>6586</v>
      </c>
    </row>
    <row r="1860" spans="1:7">
      <c r="A1860" t="s">
        <v>6581</v>
      </c>
      <c r="B1860" s="1">
        <v>1858</v>
      </c>
      <c r="C1860" t="s">
        <v>12122</v>
      </c>
      <c r="D1860" t="s">
        <v>10246</v>
      </c>
      <c r="E1860" t="s">
        <v>12123</v>
      </c>
      <c r="F1860" t="s">
        <v>12124</v>
      </c>
      <c r="G1860" t="s">
        <v>6586</v>
      </c>
    </row>
    <row r="1861" spans="1:7">
      <c r="A1861" t="s">
        <v>6581</v>
      </c>
      <c r="B1861" s="1">
        <v>1859</v>
      </c>
      <c r="C1861" t="s">
        <v>12125</v>
      </c>
      <c r="D1861" t="s">
        <v>6598</v>
      </c>
      <c r="E1861" t="s">
        <v>12126</v>
      </c>
      <c r="F1861" t="s">
        <v>12127</v>
      </c>
      <c r="G1861" t="s">
        <v>6586</v>
      </c>
    </row>
    <row r="1862" spans="1:7">
      <c r="A1862" t="s">
        <v>6581</v>
      </c>
      <c r="B1862" s="1">
        <v>1860</v>
      </c>
      <c r="C1862" t="s">
        <v>12128</v>
      </c>
      <c r="D1862" t="s">
        <v>10246</v>
      </c>
      <c r="E1862" t="s">
        <v>12129</v>
      </c>
      <c r="F1862" t="s">
        <v>12130</v>
      </c>
      <c r="G1862" t="s">
        <v>6586</v>
      </c>
    </row>
    <row r="1863" spans="1:7">
      <c r="A1863" t="s">
        <v>6581</v>
      </c>
      <c r="B1863" s="1">
        <v>1861</v>
      </c>
      <c r="C1863" t="s">
        <v>12131</v>
      </c>
      <c r="D1863" t="s">
        <v>6598</v>
      </c>
      <c r="E1863" t="s">
        <v>12132</v>
      </c>
      <c r="F1863" t="s">
        <v>12133</v>
      </c>
      <c r="G1863" t="s">
        <v>6586</v>
      </c>
    </row>
    <row r="1864" spans="1:7">
      <c r="A1864" t="s">
        <v>6581</v>
      </c>
      <c r="B1864" s="1">
        <v>1862</v>
      </c>
      <c r="C1864" t="s">
        <v>12134</v>
      </c>
      <c r="D1864" t="s">
        <v>10246</v>
      </c>
      <c r="E1864" t="s">
        <v>12135</v>
      </c>
      <c r="F1864" t="s">
        <v>12136</v>
      </c>
      <c r="G1864" t="s">
        <v>6586</v>
      </c>
    </row>
    <row r="1865" spans="1:7">
      <c r="A1865" t="s">
        <v>6581</v>
      </c>
      <c r="B1865" s="1">
        <v>1863</v>
      </c>
      <c r="C1865" t="s">
        <v>12137</v>
      </c>
      <c r="D1865" t="s">
        <v>10246</v>
      </c>
      <c r="E1865" t="s">
        <v>12138</v>
      </c>
      <c r="F1865" t="s">
        <v>12139</v>
      </c>
      <c r="G1865" t="s">
        <v>6586</v>
      </c>
    </row>
    <row r="1866" spans="1:7">
      <c r="A1866" t="s">
        <v>6581</v>
      </c>
      <c r="B1866" s="1">
        <v>1864</v>
      </c>
      <c r="C1866" t="s">
        <v>12140</v>
      </c>
      <c r="D1866" t="s">
        <v>6598</v>
      </c>
      <c r="E1866" t="s">
        <v>12141</v>
      </c>
      <c r="F1866" t="s">
        <v>12142</v>
      </c>
      <c r="G1866" t="s">
        <v>6586</v>
      </c>
    </row>
    <row r="1867" spans="1:7">
      <c r="A1867" t="s">
        <v>6581</v>
      </c>
      <c r="B1867" s="1">
        <v>1865</v>
      </c>
      <c r="C1867" t="s">
        <v>12143</v>
      </c>
      <c r="D1867" t="s">
        <v>10246</v>
      </c>
      <c r="E1867" t="s">
        <v>12144</v>
      </c>
      <c r="F1867" t="s">
        <v>12145</v>
      </c>
      <c r="G1867" t="s">
        <v>6586</v>
      </c>
    </row>
    <row r="1868" spans="1:7">
      <c r="A1868" t="s">
        <v>6581</v>
      </c>
      <c r="B1868" s="1">
        <v>1866</v>
      </c>
      <c r="C1868" t="s">
        <v>12146</v>
      </c>
      <c r="D1868" t="s">
        <v>6598</v>
      </c>
      <c r="E1868" t="s">
        <v>12147</v>
      </c>
      <c r="F1868" t="s">
        <v>12148</v>
      </c>
      <c r="G1868" t="s">
        <v>6586</v>
      </c>
    </row>
    <row r="1869" spans="1:7">
      <c r="A1869" t="s">
        <v>6581</v>
      </c>
      <c r="B1869" s="1">
        <v>1867</v>
      </c>
      <c r="C1869" t="s">
        <v>12149</v>
      </c>
      <c r="D1869" t="s">
        <v>10246</v>
      </c>
      <c r="E1869" t="s">
        <v>12150</v>
      </c>
      <c r="F1869" t="s">
        <v>12151</v>
      </c>
      <c r="G1869" t="s">
        <v>6586</v>
      </c>
    </row>
    <row r="1870" spans="1:7">
      <c r="A1870" t="s">
        <v>6581</v>
      </c>
      <c r="B1870" s="1">
        <v>1868</v>
      </c>
      <c r="C1870" t="s">
        <v>12152</v>
      </c>
      <c r="D1870" t="s">
        <v>10246</v>
      </c>
      <c r="E1870" t="s">
        <v>12153</v>
      </c>
      <c r="F1870" t="s">
        <v>12154</v>
      </c>
      <c r="G1870" t="s">
        <v>6586</v>
      </c>
    </row>
    <row r="1871" spans="1:7">
      <c r="A1871" t="s">
        <v>6581</v>
      </c>
      <c r="B1871" s="1">
        <v>1869</v>
      </c>
      <c r="C1871" t="s">
        <v>12155</v>
      </c>
      <c r="D1871" t="s">
        <v>10246</v>
      </c>
      <c r="E1871" t="s">
        <v>12156</v>
      </c>
      <c r="F1871" t="s">
        <v>12157</v>
      </c>
      <c r="G1871" t="s">
        <v>6586</v>
      </c>
    </row>
    <row r="1872" spans="1:7">
      <c r="A1872" t="s">
        <v>6581</v>
      </c>
      <c r="B1872" s="1">
        <v>1870</v>
      </c>
      <c r="C1872" t="s">
        <v>12158</v>
      </c>
      <c r="D1872" t="s">
        <v>10246</v>
      </c>
      <c r="E1872" t="s">
        <v>12159</v>
      </c>
      <c r="F1872" t="s">
        <v>12160</v>
      </c>
      <c r="G1872" t="s">
        <v>6586</v>
      </c>
    </row>
    <row r="1873" spans="1:7">
      <c r="A1873" t="s">
        <v>6581</v>
      </c>
      <c r="B1873" s="1">
        <v>1871</v>
      </c>
      <c r="C1873" t="s">
        <v>12161</v>
      </c>
      <c r="D1873" t="s">
        <v>10246</v>
      </c>
      <c r="E1873" t="s">
        <v>12162</v>
      </c>
      <c r="F1873" t="s">
        <v>12163</v>
      </c>
      <c r="G1873" t="s">
        <v>6586</v>
      </c>
    </row>
    <row r="1874" spans="1:7">
      <c r="A1874" t="s">
        <v>6581</v>
      </c>
      <c r="B1874" s="1">
        <v>1872</v>
      </c>
      <c r="C1874" t="s">
        <v>12164</v>
      </c>
      <c r="D1874" t="s">
        <v>10246</v>
      </c>
      <c r="E1874" t="s">
        <v>12165</v>
      </c>
      <c r="F1874" t="s">
        <v>12166</v>
      </c>
      <c r="G1874" t="s">
        <v>6586</v>
      </c>
    </row>
    <row r="1875" spans="1:7">
      <c r="A1875" t="s">
        <v>6581</v>
      </c>
      <c r="B1875" s="1">
        <v>1873</v>
      </c>
      <c r="C1875" t="s">
        <v>12167</v>
      </c>
      <c r="D1875" t="s">
        <v>6598</v>
      </c>
      <c r="E1875" t="s">
        <v>12168</v>
      </c>
      <c r="F1875" t="s">
        <v>12169</v>
      </c>
      <c r="G1875" t="s">
        <v>6586</v>
      </c>
    </row>
    <row r="1876" spans="1:7">
      <c r="A1876" t="s">
        <v>6581</v>
      </c>
      <c r="B1876" s="1">
        <v>1874</v>
      </c>
      <c r="C1876" t="s">
        <v>12170</v>
      </c>
      <c r="D1876" t="s">
        <v>10246</v>
      </c>
      <c r="E1876" t="s">
        <v>12171</v>
      </c>
      <c r="F1876" t="s">
        <v>12172</v>
      </c>
      <c r="G1876" t="s">
        <v>6586</v>
      </c>
    </row>
    <row r="1877" spans="1:7">
      <c r="A1877" t="s">
        <v>6581</v>
      </c>
      <c r="B1877" s="1">
        <v>1875</v>
      </c>
      <c r="C1877" t="s">
        <v>12173</v>
      </c>
      <c r="D1877" t="s">
        <v>10246</v>
      </c>
      <c r="E1877" t="s">
        <v>12174</v>
      </c>
      <c r="F1877" t="s">
        <v>12175</v>
      </c>
      <c r="G1877" t="s">
        <v>6586</v>
      </c>
    </row>
    <row r="1878" spans="1:7">
      <c r="A1878" t="s">
        <v>6581</v>
      </c>
      <c r="B1878" s="1">
        <v>1876</v>
      </c>
      <c r="C1878" t="s">
        <v>12176</v>
      </c>
      <c r="D1878" t="s">
        <v>6598</v>
      </c>
      <c r="E1878" t="s">
        <v>12177</v>
      </c>
      <c r="F1878" t="s">
        <v>12178</v>
      </c>
      <c r="G1878" t="s">
        <v>6586</v>
      </c>
    </row>
    <row r="1879" spans="1:7">
      <c r="A1879" t="s">
        <v>6581</v>
      </c>
      <c r="B1879" s="1">
        <v>1877</v>
      </c>
      <c r="C1879" t="s">
        <v>12179</v>
      </c>
      <c r="D1879" t="s">
        <v>6598</v>
      </c>
      <c r="E1879" t="s">
        <v>12180</v>
      </c>
      <c r="F1879" t="s">
        <v>12181</v>
      </c>
      <c r="G1879" t="s">
        <v>6586</v>
      </c>
    </row>
    <row r="1880" spans="1:7">
      <c r="A1880" t="s">
        <v>6581</v>
      </c>
      <c r="B1880" s="1">
        <v>1878</v>
      </c>
      <c r="C1880" t="s">
        <v>12182</v>
      </c>
      <c r="D1880" t="s">
        <v>6598</v>
      </c>
      <c r="E1880" t="s">
        <v>12183</v>
      </c>
      <c r="F1880" t="s">
        <v>12184</v>
      </c>
      <c r="G1880" t="s">
        <v>6586</v>
      </c>
    </row>
    <row r="1881" spans="1:7">
      <c r="A1881" t="s">
        <v>6581</v>
      </c>
      <c r="B1881" s="1">
        <v>1879</v>
      </c>
      <c r="C1881" t="s">
        <v>12185</v>
      </c>
      <c r="D1881" t="s">
        <v>6598</v>
      </c>
      <c r="E1881" t="s">
        <v>12186</v>
      </c>
      <c r="F1881" t="s">
        <v>12187</v>
      </c>
      <c r="G1881" t="s">
        <v>6586</v>
      </c>
    </row>
    <row r="1882" spans="1:7">
      <c r="A1882" t="s">
        <v>6581</v>
      </c>
      <c r="B1882" s="1">
        <v>1880</v>
      </c>
      <c r="C1882" t="s">
        <v>12188</v>
      </c>
      <c r="D1882" t="s">
        <v>6598</v>
      </c>
      <c r="E1882" t="s">
        <v>12189</v>
      </c>
      <c r="F1882" t="s">
        <v>12190</v>
      </c>
      <c r="G1882" t="s">
        <v>6586</v>
      </c>
    </row>
    <row r="1883" spans="1:7">
      <c r="A1883" t="s">
        <v>6581</v>
      </c>
      <c r="B1883" s="1">
        <v>1881</v>
      </c>
      <c r="C1883" t="s">
        <v>12191</v>
      </c>
      <c r="D1883" t="s">
        <v>6598</v>
      </c>
      <c r="E1883" t="s">
        <v>12192</v>
      </c>
      <c r="F1883" t="s">
        <v>12193</v>
      </c>
      <c r="G1883" t="s">
        <v>6586</v>
      </c>
    </row>
    <row r="1884" spans="1:7">
      <c r="A1884" t="s">
        <v>6581</v>
      </c>
      <c r="B1884" s="1">
        <v>1882</v>
      </c>
      <c r="C1884" t="s">
        <v>12028</v>
      </c>
      <c r="D1884" t="s">
        <v>10246</v>
      </c>
      <c r="E1884" t="s">
        <v>12194</v>
      </c>
      <c r="F1884" t="s">
        <v>12195</v>
      </c>
      <c r="G1884" t="s">
        <v>6586</v>
      </c>
    </row>
    <row r="1885" spans="1:7">
      <c r="A1885" t="s">
        <v>6581</v>
      </c>
      <c r="B1885" s="1">
        <v>1883</v>
      </c>
      <c r="C1885" t="s">
        <v>12196</v>
      </c>
      <c r="D1885" t="s">
        <v>10246</v>
      </c>
      <c r="E1885" t="s">
        <v>12197</v>
      </c>
      <c r="F1885" t="s">
        <v>12198</v>
      </c>
      <c r="G1885" t="s">
        <v>6586</v>
      </c>
    </row>
    <row r="1886" spans="1:7">
      <c r="A1886" t="s">
        <v>6581</v>
      </c>
      <c r="B1886" s="1">
        <v>1884</v>
      </c>
      <c r="C1886" t="s">
        <v>10099</v>
      </c>
      <c r="D1886" t="s">
        <v>10246</v>
      </c>
      <c r="E1886" t="s">
        <v>12199</v>
      </c>
      <c r="F1886" t="s">
        <v>12200</v>
      </c>
      <c r="G1886" t="s">
        <v>6586</v>
      </c>
    </row>
    <row r="1887" spans="1:7">
      <c r="A1887" t="s">
        <v>6581</v>
      </c>
      <c r="B1887" s="1">
        <v>1885</v>
      </c>
      <c r="C1887" t="s">
        <v>12201</v>
      </c>
      <c r="D1887" t="s">
        <v>10246</v>
      </c>
      <c r="E1887" t="s">
        <v>12202</v>
      </c>
      <c r="F1887" t="s">
        <v>12203</v>
      </c>
      <c r="G1887" t="s">
        <v>6586</v>
      </c>
    </row>
    <row r="1888" spans="1:7">
      <c r="A1888" t="s">
        <v>6581</v>
      </c>
      <c r="B1888" s="1">
        <v>1886</v>
      </c>
      <c r="C1888" t="s">
        <v>12204</v>
      </c>
      <c r="D1888" t="s">
        <v>6598</v>
      </c>
      <c r="E1888" t="s">
        <v>12205</v>
      </c>
      <c r="F1888" t="s">
        <v>12206</v>
      </c>
      <c r="G1888" t="s">
        <v>6586</v>
      </c>
    </row>
    <row r="1889" spans="1:7">
      <c r="A1889" t="s">
        <v>6581</v>
      </c>
      <c r="B1889" s="1">
        <v>1887</v>
      </c>
      <c r="C1889" t="s">
        <v>12207</v>
      </c>
      <c r="D1889" t="s">
        <v>10246</v>
      </c>
      <c r="E1889" t="s">
        <v>12208</v>
      </c>
      <c r="F1889" t="s">
        <v>12209</v>
      </c>
      <c r="G1889" t="s">
        <v>6586</v>
      </c>
    </row>
    <row r="1890" spans="1:7">
      <c r="A1890" t="s">
        <v>6581</v>
      </c>
      <c r="B1890" s="1">
        <v>1888</v>
      </c>
      <c r="C1890" t="s">
        <v>12210</v>
      </c>
      <c r="D1890" t="s">
        <v>10246</v>
      </c>
      <c r="E1890" t="s">
        <v>12211</v>
      </c>
      <c r="F1890" t="s">
        <v>12212</v>
      </c>
      <c r="G1890" t="s">
        <v>6586</v>
      </c>
    </row>
    <row r="1891" spans="1:7">
      <c r="A1891" t="s">
        <v>6581</v>
      </c>
      <c r="B1891" s="1">
        <v>1889</v>
      </c>
      <c r="C1891" t="s">
        <v>12213</v>
      </c>
      <c r="D1891" t="s">
        <v>10246</v>
      </c>
      <c r="E1891" t="s">
        <v>12214</v>
      </c>
      <c r="F1891" t="s">
        <v>12215</v>
      </c>
      <c r="G1891" t="s">
        <v>6586</v>
      </c>
    </row>
    <row r="1892" spans="1:7">
      <c r="A1892" t="s">
        <v>6581</v>
      </c>
      <c r="B1892" s="1">
        <v>1890</v>
      </c>
      <c r="C1892" t="s">
        <v>12216</v>
      </c>
      <c r="D1892" t="s">
        <v>10246</v>
      </c>
      <c r="E1892" t="s">
        <v>12217</v>
      </c>
      <c r="F1892" t="s">
        <v>12218</v>
      </c>
      <c r="G1892" t="s">
        <v>6586</v>
      </c>
    </row>
    <row r="1893" spans="1:7">
      <c r="A1893" t="s">
        <v>6581</v>
      </c>
      <c r="B1893" s="1">
        <v>1891</v>
      </c>
      <c r="C1893" t="s">
        <v>12219</v>
      </c>
      <c r="D1893" t="s">
        <v>10246</v>
      </c>
      <c r="E1893" t="s">
        <v>12220</v>
      </c>
      <c r="F1893" t="s">
        <v>12221</v>
      </c>
      <c r="G1893" t="s">
        <v>6586</v>
      </c>
    </row>
    <row r="1894" spans="1:7">
      <c r="A1894" t="s">
        <v>6581</v>
      </c>
      <c r="B1894" s="1">
        <v>1892</v>
      </c>
      <c r="C1894" t="s">
        <v>12222</v>
      </c>
      <c r="D1894" t="s">
        <v>10246</v>
      </c>
      <c r="E1894" t="s">
        <v>12223</v>
      </c>
      <c r="F1894" t="s">
        <v>12224</v>
      </c>
      <c r="G1894" t="s">
        <v>6586</v>
      </c>
    </row>
    <row r="1895" spans="1:7">
      <c r="A1895" t="s">
        <v>6581</v>
      </c>
      <c r="B1895" s="1">
        <v>1893</v>
      </c>
      <c r="C1895" t="s">
        <v>12225</v>
      </c>
      <c r="D1895" t="s">
        <v>10246</v>
      </c>
      <c r="E1895" t="s">
        <v>12226</v>
      </c>
      <c r="F1895" t="s">
        <v>12227</v>
      </c>
      <c r="G1895" t="s">
        <v>6586</v>
      </c>
    </row>
    <row r="1896" spans="1:7">
      <c r="A1896" t="s">
        <v>6581</v>
      </c>
      <c r="B1896" s="1">
        <v>1894</v>
      </c>
      <c r="C1896" t="s">
        <v>12228</v>
      </c>
      <c r="D1896" t="s">
        <v>10246</v>
      </c>
      <c r="E1896" t="s">
        <v>12229</v>
      </c>
      <c r="F1896" t="s">
        <v>12230</v>
      </c>
      <c r="G1896" t="s">
        <v>6586</v>
      </c>
    </row>
    <row r="1897" spans="1:7">
      <c r="A1897" t="s">
        <v>6581</v>
      </c>
      <c r="B1897" s="1">
        <v>1895</v>
      </c>
      <c r="C1897" t="s">
        <v>12231</v>
      </c>
      <c r="D1897" t="s">
        <v>6598</v>
      </c>
      <c r="E1897" t="s">
        <v>12232</v>
      </c>
      <c r="F1897" t="s">
        <v>12233</v>
      </c>
      <c r="G1897" t="s">
        <v>6586</v>
      </c>
    </row>
    <row r="1898" spans="1:7">
      <c r="A1898" t="s">
        <v>6581</v>
      </c>
      <c r="B1898" s="1">
        <v>1896</v>
      </c>
      <c r="C1898" t="s">
        <v>12234</v>
      </c>
      <c r="D1898" t="s">
        <v>10246</v>
      </c>
      <c r="E1898" t="s">
        <v>12235</v>
      </c>
      <c r="F1898" t="s">
        <v>12236</v>
      </c>
      <c r="G1898" t="s">
        <v>6586</v>
      </c>
    </row>
    <row r="1899" spans="1:7">
      <c r="A1899" t="s">
        <v>6581</v>
      </c>
      <c r="B1899" s="1">
        <v>1897</v>
      </c>
      <c r="C1899" t="s">
        <v>12237</v>
      </c>
      <c r="D1899" t="s">
        <v>6598</v>
      </c>
      <c r="E1899" t="s">
        <v>12238</v>
      </c>
      <c r="F1899" t="s">
        <v>12239</v>
      </c>
      <c r="G1899" t="s">
        <v>6586</v>
      </c>
    </row>
    <row r="1900" spans="1:7">
      <c r="A1900" t="s">
        <v>6581</v>
      </c>
      <c r="B1900" s="1">
        <v>1898</v>
      </c>
      <c r="C1900" t="s">
        <v>12240</v>
      </c>
      <c r="D1900" t="s">
        <v>6598</v>
      </c>
      <c r="E1900" t="s">
        <v>12241</v>
      </c>
      <c r="F1900" t="s">
        <v>12242</v>
      </c>
      <c r="G1900" t="s">
        <v>6586</v>
      </c>
    </row>
    <row r="1901" spans="1:7">
      <c r="A1901" t="s">
        <v>6581</v>
      </c>
      <c r="B1901" s="1">
        <v>1899</v>
      </c>
      <c r="C1901" t="s">
        <v>12243</v>
      </c>
      <c r="D1901" t="s">
        <v>10246</v>
      </c>
      <c r="E1901" t="s">
        <v>12244</v>
      </c>
      <c r="F1901" t="s">
        <v>12245</v>
      </c>
      <c r="G1901" t="s">
        <v>6586</v>
      </c>
    </row>
    <row r="1902" spans="1:7">
      <c r="A1902" t="s">
        <v>6581</v>
      </c>
      <c r="B1902" s="1">
        <v>1900</v>
      </c>
      <c r="C1902" t="s">
        <v>12246</v>
      </c>
      <c r="D1902" t="s">
        <v>10246</v>
      </c>
      <c r="E1902" t="s">
        <v>12247</v>
      </c>
      <c r="F1902" t="s">
        <v>12248</v>
      </c>
      <c r="G1902" t="s">
        <v>6586</v>
      </c>
    </row>
    <row r="1903" spans="1:7">
      <c r="A1903" t="s">
        <v>6581</v>
      </c>
      <c r="B1903" s="1">
        <v>1901</v>
      </c>
      <c r="C1903" t="s">
        <v>12249</v>
      </c>
      <c r="D1903" t="s">
        <v>10246</v>
      </c>
      <c r="E1903" t="s">
        <v>12250</v>
      </c>
      <c r="F1903" t="s">
        <v>12251</v>
      </c>
      <c r="G1903" t="s">
        <v>6586</v>
      </c>
    </row>
    <row r="1904" spans="1:7">
      <c r="A1904" t="s">
        <v>6581</v>
      </c>
      <c r="B1904" s="1">
        <v>1902</v>
      </c>
      <c r="C1904" t="s">
        <v>12252</v>
      </c>
      <c r="D1904" t="s">
        <v>6605</v>
      </c>
      <c r="E1904" t="s">
        <v>12253</v>
      </c>
      <c r="F1904" t="s">
        <v>12254</v>
      </c>
      <c r="G1904" t="s">
        <v>6586</v>
      </c>
    </row>
    <row r="1905" spans="1:7">
      <c r="A1905" t="s">
        <v>6581</v>
      </c>
      <c r="B1905" s="1">
        <v>1903</v>
      </c>
      <c r="C1905" t="s">
        <v>12255</v>
      </c>
      <c r="D1905" t="s">
        <v>10246</v>
      </c>
      <c r="E1905" t="s">
        <v>12256</v>
      </c>
      <c r="F1905" t="s">
        <v>12257</v>
      </c>
      <c r="G1905" t="s">
        <v>6586</v>
      </c>
    </row>
    <row r="1906" spans="1:7">
      <c r="A1906" t="s">
        <v>6581</v>
      </c>
      <c r="B1906" s="1">
        <v>1904</v>
      </c>
      <c r="C1906" t="s">
        <v>12258</v>
      </c>
      <c r="D1906" t="s">
        <v>10246</v>
      </c>
      <c r="E1906" t="s">
        <v>12259</v>
      </c>
      <c r="F1906" t="s">
        <v>12260</v>
      </c>
      <c r="G1906" t="s">
        <v>6586</v>
      </c>
    </row>
    <row r="1907" spans="1:7">
      <c r="A1907" t="s">
        <v>6581</v>
      </c>
      <c r="B1907" s="1">
        <v>1905</v>
      </c>
      <c r="C1907" t="s">
        <v>12261</v>
      </c>
      <c r="D1907" t="s">
        <v>10246</v>
      </c>
      <c r="E1907" t="s">
        <v>12262</v>
      </c>
      <c r="F1907" t="s">
        <v>12263</v>
      </c>
      <c r="G1907" t="s">
        <v>6586</v>
      </c>
    </row>
    <row r="1908" spans="1:7">
      <c r="A1908" t="s">
        <v>6581</v>
      </c>
      <c r="B1908" s="1">
        <v>1906</v>
      </c>
      <c r="C1908" t="s">
        <v>12264</v>
      </c>
      <c r="D1908" t="s">
        <v>10246</v>
      </c>
      <c r="E1908" t="s">
        <v>12265</v>
      </c>
      <c r="F1908" t="s">
        <v>12266</v>
      </c>
      <c r="G1908" t="s">
        <v>6586</v>
      </c>
    </row>
    <row r="1909" spans="1:7">
      <c r="A1909" t="s">
        <v>6581</v>
      </c>
      <c r="B1909" s="1">
        <v>1907</v>
      </c>
      <c r="C1909" t="s">
        <v>12267</v>
      </c>
      <c r="D1909" t="s">
        <v>10246</v>
      </c>
      <c r="E1909" t="s">
        <v>12268</v>
      </c>
      <c r="F1909" t="s">
        <v>12269</v>
      </c>
      <c r="G1909" t="s">
        <v>6586</v>
      </c>
    </row>
    <row r="1910" spans="1:7">
      <c r="A1910" t="s">
        <v>6581</v>
      </c>
      <c r="B1910" s="1">
        <v>1908</v>
      </c>
      <c r="C1910" t="s">
        <v>12270</v>
      </c>
      <c r="D1910" t="s">
        <v>6598</v>
      </c>
      <c r="E1910" t="s">
        <v>12271</v>
      </c>
      <c r="F1910" t="s">
        <v>12272</v>
      </c>
      <c r="G1910" t="s">
        <v>6586</v>
      </c>
    </row>
    <row r="1911" spans="1:7">
      <c r="A1911" t="s">
        <v>6581</v>
      </c>
      <c r="B1911" s="1">
        <v>1909</v>
      </c>
      <c r="C1911" t="s">
        <v>12273</v>
      </c>
      <c r="D1911" t="s">
        <v>10246</v>
      </c>
      <c r="E1911" t="s">
        <v>12274</v>
      </c>
      <c r="F1911" t="s">
        <v>12275</v>
      </c>
      <c r="G1911" t="s">
        <v>6586</v>
      </c>
    </row>
    <row r="1912" spans="1:7">
      <c r="A1912" t="s">
        <v>6581</v>
      </c>
      <c r="B1912" s="1">
        <v>1910</v>
      </c>
      <c r="C1912" t="s">
        <v>12276</v>
      </c>
      <c r="D1912" t="s">
        <v>10246</v>
      </c>
      <c r="E1912" t="s">
        <v>12277</v>
      </c>
      <c r="F1912" t="s">
        <v>12278</v>
      </c>
      <c r="G1912" t="s">
        <v>6586</v>
      </c>
    </row>
    <row r="1913" spans="1:7">
      <c r="A1913" t="s">
        <v>6581</v>
      </c>
      <c r="B1913" s="1">
        <v>1911</v>
      </c>
      <c r="C1913" t="s">
        <v>12279</v>
      </c>
      <c r="D1913" t="s">
        <v>10246</v>
      </c>
      <c r="E1913" t="s">
        <v>12280</v>
      </c>
      <c r="F1913" t="s">
        <v>12281</v>
      </c>
      <c r="G1913" t="s">
        <v>6586</v>
      </c>
    </row>
    <row r="1914" spans="1:7">
      <c r="A1914" t="s">
        <v>6581</v>
      </c>
      <c r="B1914" s="1">
        <v>1912</v>
      </c>
      <c r="C1914" t="s">
        <v>12282</v>
      </c>
      <c r="D1914" t="s">
        <v>10246</v>
      </c>
      <c r="E1914" t="s">
        <v>12283</v>
      </c>
      <c r="F1914" t="s">
        <v>12284</v>
      </c>
      <c r="G1914" t="s">
        <v>6586</v>
      </c>
    </row>
    <row r="1915" spans="1:7">
      <c r="A1915" t="s">
        <v>6581</v>
      </c>
      <c r="B1915" s="1">
        <v>1913</v>
      </c>
      <c r="C1915" t="s">
        <v>12285</v>
      </c>
      <c r="D1915" t="s">
        <v>10246</v>
      </c>
      <c r="E1915" t="s">
        <v>12286</v>
      </c>
      <c r="F1915" t="s">
        <v>12287</v>
      </c>
      <c r="G1915" t="s">
        <v>6586</v>
      </c>
    </row>
    <row r="1916" spans="1:7">
      <c r="A1916" t="s">
        <v>6581</v>
      </c>
      <c r="B1916" s="1">
        <v>1914</v>
      </c>
      <c r="C1916" t="s">
        <v>12288</v>
      </c>
      <c r="D1916" t="s">
        <v>6598</v>
      </c>
      <c r="E1916" t="s">
        <v>12289</v>
      </c>
      <c r="F1916" t="s">
        <v>12290</v>
      </c>
      <c r="G1916" t="s">
        <v>6586</v>
      </c>
    </row>
    <row r="1917" spans="1:7">
      <c r="A1917" t="s">
        <v>6581</v>
      </c>
      <c r="B1917" s="1">
        <v>1915</v>
      </c>
      <c r="C1917" t="s">
        <v>12291</v>
      </c>
      <c r="D1917" t="s">
        <v>10246</v>
      </c>
      <c r="E1917" t="s">
        <v>12292</v>
      </c>
      <c r="F1917" t="s">
        <v>12293</v>
      </c>
      <c r="G1917" t="s">
        <v>6586</v>
      </c>
    </row>
    <row r="1918" spans="1:7">
      <c r="A1918" t="s">
        <v>6581</v>
      </c>
      <c r="B1918" s="1">
        <v>1916</v>
      </c>
      <c r="C1918" t="s">
        <v>12294</v>
      </c>
      <c r="D1918" t="s">
        <v>10246</v>
      </c>
      <c r="E1918" t="s">
        <v>12295</v>
      </c>
      <c r="F1918" t="s">
        <v>12296</v>
      </c>
      <c r="G1918" t="s">
        <v>6586</v>
      </c>
    </row>
    <row r="1919" spans="1:7">
      <c r="A1919" t="s">
        <v>6581</v>
      </c>
      <c r="B1919" s="1">
        <v>1917</v>
      </c>
      <c r="C1919" t="s">
        <v>12297</v>
      </c>
      <c r="D1919" t="s">
        <v>10246</v>
      </c>
      <c r="E1919" t="s">
        <v>12298</v>
      </c>
      <c r="F1919" t="s">
        <v>12299</v>
      </c>
      <c r="G1919" t="s">
        <v>6586</v>
      </c>
    </row>
    <row r="1920" spans="1:7">
      <c r="A1920" t="s">
        <v>6581</v>
      </c>
      <c r="B1920" s="1">
        <v>1918</v>
      </c>
      <c r="C1920" t="s">
        <v>12300</v>
      </c>
      <c r="D1920" t="s">
        <v>10246</v>
      </c>
      <c r="E1920" t="s">
        <v>12301</v>
      </c>
      <c r="F1920" t="s">
        <v>12302</v>
      </c>
      <c r="G1920" t="s">
        <v>6586</v>
      </c>
    </row>
    <row r="1921" spans="1:7">
      <c r="A1921" t="s">
        <v>6581</v>
      </c>
      <c r="B1921" s="1">
        <v>1919</v>
      </c>
      <c r="C1921" t="s">
        <v>12303</v>
      </c>
      <c r="D1921" t="s">
        <v>6598</v>
      </c>
      <c r="E1921" t="s">
        <v>12304</v>
      </c>
      <c r="F1921" t="s">
        <v>12305</v>
      </c>
      <c r="G1921" t="s">
        <v>6586</v>
      </c>
    </row>
    <row r="1922" spans="1:7">
      <c r="A1922" t="s">
        <v>6581</v>
      </c>
      <c r="B1922" s="1">
        <v>1920</v>
      </c>
      <c r="C1922" t="s">
        <v>12306</v>
      </c>
      <c r="D1922" t="s">
        <v>10246</v>
      </c>
      <c r="E1922" t="s">
        <v>12307</v>
      </c>
      <c r="F1922" t="s">
        <v>12308</v>
      </c>
      <c r="G1922" t="s">
        <v>6586</v>
      </c>
    </row>
    <row r="1923" spans="1:7">
      <c r="A1923" t="s">
        <v>6581</v>
      </c>
      <c r="B1923" s="1">
        <v>1921</v>
      </c>
      <c r="C1923" t="s">
        <v>12309</v>
      </c>
      <c r="D1923" t="s">
        <v>10246</v>
      </c>
      <c r="E1923" t="s">
        <v>12310</v>
      </c>
      <c r="F1923" t="s">
        <v>12311</v>
      </c>
      <c r="G1923" t="s">
        <v>6586</v>
      </c>
    </row>
    <row r="1924" spans="1:7">
      <c r="A1924" t="s">
        <v>6581</v>
      </c>
      <c r="B1924" s="1">
        <v>1922</v>
      </c>
      <c r="C1924" t="s">
        <v>12312</v>
      </c>
      <c r="D1924" t="s">
        <v>10246</v>
      </c>
      <c r="E1924" t="s">
        <v>12313</v>
      </c>
      <c r="F1924" t="s">
        <v>12314</v>
      </c>
      <c r="G1924" t="s">
        <v>6586</v>
      </c>
    </row>
    <row r="1925" spans="1:7">
      <c r="A1925" t="s">
        <v>6581</v>
      </c>
      <c r="B1925" s="1">
        <v>1923</v>
      </c>
      <c r="C1925" t="s">
        <v>12315</v>
      </c>
      <c r="D1925" t="s">
        <v>6598</v>
      </c>
      <c r="E1925" t="s">
        <v>12316</v>
      </c>
      <c r="F1925" t="s">
        <v>12317</v>
      </c>
      <c r="G1925" t="s">
        <v>6586</v>
      </c>
    </row>
    <row r="1926" spans="1:7">
      <c r="A1926" t="s">
        <v>6581</v>
      </c>
      <c r="B1926" s="1">
        <v>1924</v>
      </c>
      <c r="C1926" t="s">
        <v>12318</v>
      </c>
      <c r="D1926" t="s">
        <v>10246</v>
      </c>
      <c r="E1926" t="s">
        <v>12319</v>
      </c>
      <c r="F1926" t="s">
        <v>12320</v>
      </c>
      <c r="G1926" t="s">
        <v>6586</v>
      </c>
    </row>
    <row r="1927" spans="1:7">
      <c r="A1927" t="s">
        <v>6581</v>
      </c>
      <c r="B1927" s="1">
        <v>1925</v>
      </c>
      <c r="C1927" t="s">
        <v>12321</v>
      </c>
      <c r="D1927" t="s">
        <v>6598</v>
      </c>
      <c r="E1927" t="s">
        <v>12322</v>
      </c>
      <c r="F1927" t="s">
        <v>12323</v>
      </c>
      <c r="G1927" t="s">
        <v>6586</v>
      </c>
    </row>
    <row r="1928" spans="1:7">
      <c r="A1928" t="s">
        <v>6581</v>
      </c>
      <c r="B1928" s="1">
        <v>1926</v>
      </c>
      <c r="C1928" t="s">
        <v>12324</v>
      </c>
      <c r="D1928" t="s">
        <v>10246</v>
      </c>
      <c r="E1928" t="s">
        <v>12325</v>
      </c>
      <c r="F1928" t="s">
        <v>12326</v>
      </c>
      <c r="G1928" t="s">
        <v>6586</v>
      </c>
    </row>
    <row r="1929" spans="1:7">
      <c r="A1929" t="s">
        <v>6581</v>
      </c>
      <c r="B1929" s="1">
        <v>1927</v>
      </c>
      <c r="C1929" t="s">
        <v>12327</v>
      </c>
      <c r="D1929" t="s">
        <v>6598</v>
      </c>
      <c r="E1929" t="s">
        <v>12328</v>
      </c>
      <c r="F1929" t="s">
        <v>12329</v>
      </c>
      <c r="G1929" t="s">
        <v>6586</v>
      </c>
    </row>
    <row r="1930" spans="1:7">
      <c r="A1930" t="s">
        <v>6581</v>
      </c>
      <c r="B1930" s="1">
        <v>1928</v>
      </c>
      <c r="C1930" t="s">
        <v>12330</v>
      </c>
      <c r="D1930" t="s">
        <v>6598</v>
      </c>
      <c r="E1930" t="s">
        <v>12331</v>
      </c>
      <c r="F1930" t="s">
        <v>12332</v>
      </c>
      <c r="G1930" t="s">
        <v>6586</v>
      </c>
    </row>
    <row r="1931" spans="1:7">
      <c r="A1931" t="s">
        <v>6581</v>
      </c>
      <c r="B1931" s="1">
        <v>1929</v>
      </c>
      <c r="C1931" t="s">
        <v>12333</v>
      </c>
      <c r="D1931" t="s">
        <v>10246</v>
      </c>
      <c r="E1931" t="s">
        <v>12334</v>
      </c>
      <c r="F1931" t="s">
        <v>12335</v>
      </c>
      <c r="G1931" t="s">
        <v>6586</v>
      </c>
    </row>
    <row r="1932" spans="1:7">
      <c r="A1932" t="s">
        <v>6581</v>
      </c>
      <c r="B1932" s="1">
        <v>1930</v>
      </c>
      <c r="C1932" t="s">
        <v>12336</v>
      </c>
      <c r="D1932" t="s">
        <v>6598</v>
      </c>
      <c r="E1932" t="s">
        <v>12337</v>
      </c>
      <c r="F1932" t="s">
        <v>12338</v>
      </c>
      <c r="G1932" t="s">
        <v>6586</v>
      </c>
    </row>
    <row r="1933" spans="1:7">
      <c r="A1933" t="s">
        <v>6581</v>
      </c>
      <c r="B1933" s="1">
        <v>1931</v>
      </c>
      <c r="C1933" t="s">
        <v>12339</v>
      </c>
      <c r="D1933" t="s">
        <v>10246</v>
      </c>
      <c r="E1933" t="s">
        <v>12340</v>
      </c>
      <c r="F1933" t="s">
        <v>12341</v>
      </c>
      <c r="G1933" t="s">
        <v>6586</v>
      </c>
    </row>
    <row r="1934" spans="1:7">
      <c r="A1934" t="s">
        <v>6581</v>
      </c>
      <c r="B1934" s="1">
        <v>1932</v>
      </c>
      <c r="C1934" t="s">
        <v>12342</v>
      </c>
      <c r="D1934" t="s">
        <v>10246</v>
      </c>
      <c r="E1934" t="s">
        <v>12343</v>
      </c>
      <c r="F1934" t="s">
        <v>12344</v>
      </c>
      <c r="G1934" t="s">
        <v>6586</v>
      </c>
    </row>
    <row r="1935" spans="1:7">
      <c r="A1935" t="s">
        <v>6581</v>
      </c>
      <c r="B1935" s="1">
        <v>1933</v>
      </c>
      <c r="C1935" t="s">
        <v>10111</v>
      </c>
      <c r="D1935" t="s">
        <v>10246</v>
      </c>
      <c r="E1935" t="s">
        <v>12345</v>
      </c>
      <c r="F1935" t="s">
        <v>12346</v>
      </c>
      <c r="G1935" t="s">
        <v>6586</v>
      </c>
    </row>
    <row r="1936" spans="1:7">
      <c r="A1936" t="s">
        <v>6581</v>
      </c>
      <c r="B1936" s="1">
        <v>1934</v>
      </c>
      <c r="C1936" t="s">
        <v>12347</v>
      </c>
      <c r="D1936" t="s">
        <v>6598</v>
      </c>
      <c r="E1936" t="s">
        <v>12348</v>
      </c>
      <c r="F1936" t="s">
        <v>12349</v>
      </c>
      <c r="G1936" t="s">
        <v>6586</v>
      </c>
    </row>
    <row r="1937" spans="1:7">
      <c r="A1937" t="s">
        <v>6581</v>
      </c>
      <c r="B1937" s="1">
        <v>1935</v>
      </c>
      <c r="C1937" t="s">
        <v>12350</v>
      </c>
      <c r="D1937" t="s">
        <v>10246</v>
      </c>
      <c r="E1937" t="s">
        <v>12351</v>
      </c>
      <c r="F1937" t="s">
        <v>12352</v>
      </c>
      <c r="G1937" t="s">
        <v>6586</v>
      </c>
    </row>
    <row r="1938" spans="1:7">
      <c r="A1938" t="s">
        <v>6581</v>
      </c>
      <c r="B1938" s="1">
        <v>1936</v>
      </c>
      <c r="C1938" t="s">
        <v>12353</v>
      </c>
      <c r="D1938" t="s">
        <v>10246</v>
      </c>
      <c r="E1938" t="s">
        <v>12354</v>
      </c>
      <c r="F1938" t="s">
        <v>12355</v>
      </c>
      <c r="G1938" t="s">
        <v>6586</v>
      </c>
    </row>
    <row r="1939" spans="1:7">
      <c r="A1939" t="s">
        <v>6581</v>
      </c>
      <c r="B1939" s="1">
        <v>1937</v>
      </c>
      <c r="C1939" t="s">
        <v>12356</v>
      </c>
      <c r="D1939" t="s">
        <v>10246</v>
      </c>
      <c r="E1939" t="s">
        <v>12357</v>
      </c>
      <c r="F1939" t="s">
        <v>12358</v>
      </c>
      <c r="G1939" t="s">
        <v>6586</v>
      </c>
    </row>
    <row r="1940" spans="1:7">
      <c r="A1940" t="s">
        <v>6581</v>
      </c>
      <c r="B1940" s="1">
        <v>1938</v>
      </c>
      <c r="C1940" t="s">
        <v>12359</v>
      </c>
      <c r="D1940" t="s">
        <v>10246</v>
      </c>
      <c r="E1940" t="s">
        <v>12360</v>
      </c>
      <c r="F1940" t="s">
        <v>12361</v>
      </c>
      <c r="G1940" t="s">
        <v>6586</v>
      </c>
    </row>
    <row r="1941" spans="1:7">
      <c r="A1941" t="s">
        <v>6581</v>
      </c>
      <c r="B1941" s="1">
        <v>1939</v>
      </c>
      <c r="C1941" t="s">
        <v>12362</v>
      </c>
      <c r="D1941" t="s">
        <v>10246</v>
      </c>
      <c r="E1941" t="s">
        <v>12363</v>
      </c>
      <c r="F1941" t="s">
        <v>12364</v>
      </c>
      <c r="G1941" t="s">
        <v>6586</v>
      </c>
    </row>
    <row r="1942" spans="1:7">
      <c r="A1942" t="s">
        <v>6581</v>
      </c>
      <c r="B1942" s="1">
        <v>1940</v>
      </c>
      <c r="C1942" t="s">
        <v>12365</v>
      </c>
      <c r="D1942" t="s">
        <v>10246</v>
      </c>
      <c r="E1942" t="s">
        <v>12366</v>
      </c>
      <c r="F1942" t="s">
        <v>12367</v>
      </c>
      <c r="G1942" t="s">
        <v>6586</v>
      </c>
    </row>
    <row r="1943" spans="1:7">
      <c r="A1943" t="s">
        <v>6581</v>
      </c>
      <c r="B1943" s="1">
        <v>1941</v>
      </c>
      <c r="C1943" t="s">
        <v>12368</v>
      </c>
      <c r="D1943" t="s">
        <v>10246</v>
      </c>
      <c r="E1943" t="s">
        <v>12369</v>
      </c>
      <c r="F1943" t="s">
        <v>12370</v>
      </c>
      <c r="G1943" t="s">
        <v>6586</v>
      </c>
    </row>
    <row r="1944" spans="1:7">
      <c r="A1944" t="s">
        <v>6581</v>
      </c>
      <c r="B1944" s="1">
        <v>1942</v>
      </c>
      <c r="C1944" t="s">
        <v>12371</v>
      </c>
      <c r="D1944" t="s">
        <v>10246</v>
      </c>
      <c r="E1944" t="s">
        <v>12372</v>
      </c>
      <c r="F1944" t="s">
        <v>12373</v>
      </c>
      <c r="G1944" t="s">
        <v>6586</v>
      </c>
    </row>
    <row r="1945" spans="1:7">
      <c r="A1945" t="s">
        <v>6581</v>
      </c>
      <c r="B1945" s="1">
        <v>1943</v>
      </c>
      <c r="C1945" t="s">
        <v>12374</v>
      </c>
      <c r="D1945" t="s">
        <v>10246</v>
      </c>
      <c r="E1945" t="s">
        <v>12375</v>
      </c>
      <c r="F1945" t="s">
        <v>12376</v>
      </c>
      <c r="G1945" t="s">
        <v>6586</v>
      </c>
    </row>
    <row r="1946" spans="1:7">
      <c r="A1946" t="s">
        <v>6581</v>
      </c>
      <c r="B1946" s="1">
        <v>1944</v>
      </c>
      <c r="C1946" t="s">
        <v>11628</v>
      </c>
      <c r="D1946" t="s">
        <v>10246</v>
      </c>
      <c r="E1946" t="s">
        <v>12377</v>
      </c>
      <c r="F1946" t="s">
        <v>12378</v>
      </c>
      <c r="G1946" t="s">
        <v>6586</v>
      </c>
    </row>
    <row r="1947" spans="1:7">
      <c r="A1947" t="s">
        <v>6581</v>
      </c>
      <c r="B1947" s="1">
        <v>1945</v>
      </c>
      <c r="C1947" t="s">
        <v>12379</v>
      </c>
      <c r="D1947" t="s">
        <v>10246</v>
      </c>
      <c r="E1947" t="s">
        <v>12380</v>
      </c>
      <c r="F1947" t="s">
        <v>12381</v>
      </c>
      <c r="G1947" t="s">
        <v>6586</v>
      </c>
    </row>
    <row r="1948" spans="1:7">
      <c r="A1948" t="s">
        <v>6581</v>
      </c>
      <c r="B1948" s="1">
        <v>1946</v>
      </c>
      <c r="C1948" t="s">
        <v>12382</v>
      </c>
      <c r="D1948" t="s">
        <v>10246</v>
      </c>
      <c r="E1948" t="s">
        <v>12383</v>
      </c>
      <c r="F1948" t="s">
        <v>12384</v>
      </c>
      <c r="G1948" t="s">
        <v>6586</v>
      </c>
    </row>
    <row r="1949" spans="1:7">
      <c r="A1949" t="s">
        <v>6581</v>
      </c>
      <c r="B1949" s="1">
        <v>1947</v>
      </c>
      <c r="C1949" t="s">
        <v>12385</v>
      </c>
      <c r="D1949" t="s">
        <v>6598</v>
      </c>
      <c r="E1949" t="s">
        <v>12386</v>
      </c>
      <c r="F1949" t="s">
        <v>12387</v>
      </c>
      <c r="G1949" t="s">
        <v>6586</v>
      </c>
    </row>
    <row r="1950" spans="1:7">
      <c r="A1950" t="s">
        <v>6581</v>
      </c>
      <c r="B1950" s="1">
        <v>1948</v>
      </c>
      <c r="C1950" t="s">
        <v>12388</v>
      </c>
      <c r="D1950" t="s">
        <v>6598</v>
      </c>
      <c r="E1950" t="s">
        <v>12389</v>
      </c>
      <c r="F1950" t="s">
        <v>12390</v>
      </c>
      <c r="G1950" t="s">
        <v>6586</v>
      </c>
    </row>
    <row r="1951" spans="1:7">
      <c r="A1951" t="s">
        <v>6581</v>
      </c>
      <c r="B1951" s="1">
        <v>1949</v>
      </c>
      <c r="C1951" t="s">
        <v>12391</v>
      </c>
      <c r="D1951" t="s">
        <v>6598</v>
      </c>
      <c r="E1951" t="s">
        <v>12392</v>
      </c>
      <c r="F1951" t="s">
        <v>12393</v>
      </c>
      <c r="G1951" t="s">
        <v>6586</v>
      </c>
    </row>
    <row r="1952" spans="1:7">
      <c r="A1952" t="s">
        <v>6581</v>
      </c>
      <c r="B1952" s="1">
        <v>1950</v>
      </c>
      <c r="C1952" t="s">
        <v>12394</v>
      </c>
      <c r="D1952" t="s">
        <v>6598</v>
      </c>
      <c r="E1952" t="s">
        <v>12395</v>
      </c>
      <c r="F1952" t="s">
        <v>12396</v>
      </c>
      <c r="G1952" t="s">
        <v>6586</v>
      </c>
    </row>
    <row r="1953" spans="1:7">
      <c r="A1953" t="s">
        <v>6581</v>
      </c>
      <c r="B1953" s="1">
        <v>1951</v>
      </c>
      <c r="C1953" t="s">
        <v>12397</v>
      </c>
      <c r="D1953" t="s">
        <v>10246</v>
      </c>
      <c r="E1953" t="s">
        <v>12398</v>
      </c>
      <c r="F1953" t="s">
        <v>12399</v>
      </c>
      <c r="G1953" t="s">
        <v>6586</v>
      </c>
    </row>
    <row r="1954" spans="1:7">
      <c r="A1954" t="s">
        <v>6581</v>
      </c>
      <c r="B1954" s="1">
        <v>1952</v>
      </c>
      <c r="C1954" t="s">
        <v>12400</v>
      </c>
      <c r="D1954" t="s">
        <v>10246</v>
      </c>
      <c r="E1954" t="s">
        <v>12401</v>
      </c>
      <c r="F1954" t="s">
        <v>12402</v>
      </c>
      <c r="G1954" t="s">
        <v>6586</v>
      </c>
    </row>
    <row r="1955" spans="1:7">
      <c r="A1955" t="s">
        <v>6581</v>
      </c>
      <c r="B1955" s="1">
        <v>1953</v>
      </c>
      <c r="C1955" t="s">
        <v>12403</v>
      </c>
      <c r="D1955" t="s">
        <v>6598</v>
      </c>
      <c r="E1955" t="s">
        <v>12404</v>
      </c>
      <c r="F1955" t="s">
        <v>12405</v>
      </c>
      <c r="G1955" t="s">
        <v>6586</v>
      </c>
    </row>
    <row r="1956" spans="1:7">
      <c r="A1956" t="s">
        <v>6581</v>
      </c>
      <c r="B1956" s="1">
        <v>1954</v>
      </c>
      <c r="C1956" t="s">
        <v>12406</v>
      </c>
      <c r="D1956" t="s">
        <v>10246</v>
      </c>
      <c r="E1956" t="s">
        <v>12407</v>
      </c>
      <c r="F1956" t="s">
        <v>12408</v>
      </c>
      <c r="G1956" t="s">
        <v>6586</v>
      </c>
    </row>
    <row r="1957" spans="1:7">
      <c r="A1957" t="s">
        <v>6581</v>
      </c>
      <c r="B1957" s="1">
        <v>1955</v>
      </c>
      <c r="C1957" t="s">
        <v>12409</v>
      </c>
      <c r="D1957" t="s">
        <v>10246</v>
      </c>
      <c r="E1957" t="s">
        <v>12410</v>
      </c>
      <c r="F1957" t="s">
        <v>12411</v>
      </c>
      <c r="G1957" t="s">
        <v>6586</v>
      </c>
    </row>
    <row r="1958" spans="1:7">
      <c r="A1958" t="s">
        <v>6581</v>
      </c>
      <c r="B1958" s="1">
        <v>1956</v>
      </c>
      <c r="C1958" t="s">
        <v>12412</v>
      </c>
      <c r="D1958" t="s">
        <v>6598</v>
      </c>
      <c r="E1958" t="s">
        <v>12413</v>
      </c>
      <c r="F1958" t="s">
        <v>12414</v>
      </c>
      <c r="G1958" t="s">
        <v>6586</v>
      </c>
    </row>
    <row r="1959" spans="1:7">
      <c r="A1959" t="s">
        <v>6581</v>
      </c>
      <c r="B1959" s="1">
        <v>1957</v>
      </c>
      <c r="C1959" t="s">
        <v>12415</v>
      </c>
      <c r="D1959" t="s">
        <v>6695</v>
      </c>
      <c r="E1959" t="s">
        <v>12416</v>
      </c>
      <c r="F1959" t="s">
        <v>12417</v>
      </c>
      <c r="G1959" t="s">
        <v>6586</v>
      </c>
    </row>
    <row r="1960" spans="1:7">
      <c r="A1960" t="s">
        <v>6581</v>
      </c>
      <c r="B1960" s="1">
        <v>1958</v>
      </c>
      <c r="C1960" t="s">
        <v>12418</v>
      </c>
      <c r="D1960" t="s">
        <v>10246</v>
      </c>
      <c r="E1960" t="s">
        <v>12419</v>
      </c>
      <c r="F1960" t="s">
        <v>12420</v>
      </c>
      <c r="G1960" t="s">
        <v>6586</v>
      </c>
    </row>
    <row r="1961" spans="1:7">
      <c r="A1961" t="s">
        <v>6581</v>
      </c>
      <c r="B1961" s="1">
        <v>1959</v>
      </c>
      <c r="C1961" t="s">
        <v>12421</v>
      </c>
      <c r="D1961" t="s">
        <v>10246</v>
      </c>
      <c r="E1961" t="s">
        <v>12422</v>
      </c>
      <c r="F1961" t="s">
        <v>12423</v>
      </c>
      <c r="G1961" t="s">
        <v>6586</v>
      </c>
    </row>
    <row r="1962" spans="1:7">
      <c r="A1962" t="s">
        <v>6581</v>
      </c>
      <c r="B1962" s="1">
        <v>1960</v>
      </c>
      <c r="C1962" t="s">
        <v>12424</v>
      </c>
      <c r="D1962" t="s">
        <v>10246</v>
      </c>
      <c r="E1962" t="s">
        <v>12425</v>
      </c>
      <c r="F1962" t="s">
        <v>12426</v>
      </c>
      <c r="G1962" t="s">
        <v>6586</v>
      </c>
    </row>
    <row r="1963" spans="1:7">
      <c r="A1963" t="s">
        <v>6581</v>
      </c>
      <c r="B1963" s="1">
        <v>1961</v>
      </c>
      <c r="C1963" t="s">
        <v>11822</v>
      </c>
      <c r="D1963" t="s">
        <v>6598</v>
      </c>
      <c r="E1963" t="s">
        <v>12427</v>
      </c>
      <c r="F1963" t="s">
        <v>12428</v>
      </c>
      <c r="G1963" t="s">
        <v>6586</v>
      </c>
    </row>
    <row r="1964" spans="1:7">
      <c r="A1964" t="s">
        <v>6581</v>
      </c>
      <c r="B1964" s="1">
        <v>1962</v>
      </c>
      <c r="C1964" t="s">
        <v>12429</v>
      </c>
      <c r="D1964" t="s">
        <v>10246</v>
      </c>
      <c r="E1964" t="s">
        <v>12430</v>
      </c>
      <c r="F1964" t="s">
        <v>12431</v>
      </c>
      <c r="G1964" t="s">
        <v>6586</v>
      </c>
    </row>
    <row r="1965" spans="1:7">
      <c r="A1965" t="s">
        <v>6581</v>
      </c>
      <c r="B1965" s="1">
        <v>1963</v>
      </c>
      <c r="C1965" t="s">
        <v>11900</v>
      </c>
      <c r="D1965" t="s">
        <v>6598</v>
      </c>
      <c r="E1965" t="s">
        <v>12432</v>
      </c>
      <c r="F1965" t="s">
        <v>12433</v>
      </c>
      <c r="G1965" t="s">
        <v>6586</v>
      </c>
    </row>
    <row r="1966" spans="1:7">
      <c r="A1966" t="s">
        <v>6581</v>
      </c>
      <c r="B1966" s="1">
        <v>1964</v>
      </c>
      <c r="C1966" t="s">
        <v>12434</v>
      </c>
      <c r="D1966" t="s">
        <v>10246</v>
      </c>
      <c r="E1966" t="s">
        <v>12435</v>
      </c>
      <c r="F1966" t="s">
        <v>12436</v>
      </c>
      <c r="G1966" t="s">
        <v>6586</v>
      </c>
    </row>
    <row r="1967" spans="1:7">
      <c r="A1967" t="s">
        <v>6581</v>
      </c>
      <c r="B1967" s="1">
        <v>1965</v>
      </c>
      <c r="C1967" t="s">
        <v>12437</v>
      </c>
      <c r="D1967" t="s">
        <v>10246</v>
      </c>
      <c r="E1967" t="s">
        <v>12438</v>
      </c>
      <c r="F1967" t="s">
        <v>12439</v>
      </c>
      <c r="G1967" t="s">
        <v>6586</v>
      </c>
    </row>
    <row r="1968" spans="1:7">
      <c r="A1968" t="s">
        <v>6581</v>
      </c>
      <c r="B1968" s="1">
        <v>1966</v>
      </c>
      <c r="C1968" t="s">
        <v>12440</v>
      </c>
      <c r="D1968" t="s">
        <v>10246</v>
      </c>
      <c r="E1968" t="s">
        <v>12441</v>
      </c>
      <c r="F1968" t="s">
        <v>12442</v>
      </c>
      <c r="G1968" t="s">
        <v>6586</v>
      </c>
    </row>
    <row r="1969" spans="1:7">
      <c r="A1969" t="s">
        <v>6581</v>
      </c>
      <c r="B1969" s="1">
        <v>1967</v>
      </c>
      <c r="C1969" t="s">
        <v>12443</v>
      </c>
      <c r="D1969" t="s">
        <v>10246</v>
      </c>
      <c r="E1969" t="s">
        <v>12444</v>
      </c>
      <c r="F1969" t="s">
        <v>12445</v>
      </c>
      <c r="G1969" t="s">
        <v>6586</v>
      </c>
    </row>
    <row r="1970" spans="1:7">
      <c r="A1970" t="s">
        <v>6581</v>
      </c>
      <c r="B1970" s="1">
        <v>1968</v>
      </c>
      <c r="C1970" t="s">
        <v>11840</v>
      </c>
      <c r="D1970" t="s">
        <v>10246</v>
      </c>
      <c r="E1970" t="s">
        <v>12446</v>
      </c>
      <c r="F1970" t="s">
        <v>12447</v>
      </c>
      <c r="G1970" t="s">
        <v>6586</v>
      </c>
    </row>
    <row r="1971" spans="1:7">
      <c r="A1971" t="s">
        <v>6581</v>
      </c>
      <c r="B1971" s="1">
        <v>1969</v>
      </c>
      <c r="C1971" t="s">
        <v>12448</v>
      </c>
      <c r="D1971" t="s">
        <v>10246</v>
      </c>
      <c r="E1971" t="s">
        <v>12449</v>
      </c>
      <c r="F1971" t="s">
        <v>12450</v>
      </c>
      <c r="G1971" t="s">
        <v>6586</v>
      </c>
    </row>
    <row r="1972" spans="1:7">
      <c r="A1972" t="s">
        <v>6581</v>
      </c>
      <c r="B1972" s="1">
        <v>1970</v>
      </c>
      <c r="C1972" t="s">
        <v>12451</v>
      </c>
      <c r="D1972" t="s">
        <v>10246</v>
      </c>
      <c r="E1972" t="s">
        <v>12452</v>
      </c>
      <c r="F1972" t="s">
        <v>12453</v>
      </c>
      <c r="G1972" t="s">
        <v>6586</v>
      </c>
    </row>
    <row r="1973" spans="1:7">
      <c r="A1973" t="s">
        <v>6581</v>
      </c>
      <c r="B1973" s="1">
        <v>1971</v>
      </c>
      <c r="C1973" t="s">
        <v>12454</v>
      </c>
      <c r="D1973" t="s">
        <v>10246</v>
      </c>
      <c r="E1973" t="s">
        <v>12455</v>
      </c>
      <c r="F1973" t="s">
        <v>12456</v>
      </c>
      <c r="G1973" t="s">
        <v>6586</v>
      </c>
    </row>
    <row r="1974" spans="1:7">
      <c r="A1974" t="s">
        <v>6581</v>
      </c>
      <c r="B1974" s="1">
        <v>1972</v>
      </c>
      <c r="C1974" t="s">
        <v>12457</v>
      </c>
      <c r="D1974" t="s">
        <v>6695</v>
      </c>
      <c r="E1974" t="s">
        <v>12458</v>
      </c>
      <c r="F1974" t="s">
        <v>12459</v>
      </c>
      <c r="G1974" t="s">
        <v>6586</v>
      </c>
    </row>
    <row r="1975" spans="1:7">
      <c r="A1975" t="s">
        <v>6581</v>
      </c>
      <c r="B1975" s="1">
        <v>1973</v>
      </c>
      <c r="C1975" t="s">
        <v>12460</v>
      </c>
      <c r="D1975" t="s">
        <v>10246</v>
      </c>
      <c r="E1975" t="s">
        <v>12461</v>
      </c>
      <c r="F1975" t="s">
        <v>12462</v>
      </c>
      <c r="G1975" t="s">
        <v>6586</v>
      </c>
    </row>
    <row r="1976" spans="1:7">
      <c r="A1976" t="s">
        <v>6581</v>
      </c>
      <c r="B1976" s="1">
        <v>1974</v>
      </c>
      <c r="C1976" t="s">
        <v>12463</v>
      </c>
      <c r="D1976" t="s">
        <v>10246</v>
      </c>
      <c r="E1976" t="s">
        <v>12464</v>
      </c>
      <c r="F1976" t="s">
        <v>12465</v>
      </c>
      <c r="G1976" t="s">
        <v>6586</v>
      </c>
    </row>
    <row r="1977" spans="1:7">
      <c r="A1977" t="s">
        <v>6581</v>
      </c>
      <c r="B1977" s="1">
        <v>1975</v>
      </c>
      <c r="C1977" t="s">
        <v>12466</v>
      </c>
      <c r="D1977" t="s">
        <v>6598</v>
      </c>
      <c r="E1977" t="s">
        <v>12467</v>
      </c>
      <c r="F1977" t="s">
        <v>12468</v>
      </c>
      <c r="G1977" t="s">
        <v>6586</v>
      </c>
    </row>
    <row r="1978" spans="1:7">
      <c r="A1978" t="s">
        <v>6581</v>
      </c>
      <c r="B1978" s="1">
        <v>1976</v>
      </c>
      <c r="C1978" t="s">
        <v>12469</v>
      </c>
      <c r="D1978" t="s">
        <v>6598</v>
      </c>
      <c r="E1978" t="s">
        <v>12470</v>
      </c>
      <c r="F1978" t="s">
        <v>12471</v>
      </c>
      <c r="G1978" t="s">
        <v>6586</v>
      </c>
    </row>
    <row r="1979" spans="1:7">
      <c r="A1979" t="s">
        <v>6581</v>
      </c>
      <c r="B1979" s="1">
        <v>1977</v>
      </c>
      <c r="C1979" t="s">
        <v>12472</v>
      </c>
      <c r="D1979" t="s">
        <v>10246</v>
      </c>
      <c r="E1979" t="s">
        <v>12473</v>
      </c>
      <c r="F1979" t="s">
        <v>12474</v>
      </c>
      <c r="G1979" t="s">
        <v>6586</v>
      </c>
    </row>
    <row r="1980" spans="1:7">
      <c r="A1980" t="s">
        <v>6581</v>
      </c>
      <c r="B1980" s="1">
        <v>1978</v>
      </c>
      <c r="C1980" t="s">
        <v>12475</v>
      </c>
      <c r="D1980" t="s">
        <v>10246</v>
      </c>
      <c r="E1980" t="s">
        <v>12476</v>
      </c>
      <c r="F1980" t="s">
        <v>12477</v>
      </c>
      <c r="G1980" t="s">
        <v>6586</v>
      </c>
    </row>
    <row r="1981" spans="1:7">
      <c r="A1981" t="s">
        <v>6581</v>
      </c>
      <c r="B1981" s="1">
        <v>1979</v>
      </c>
      <c r="C1981" t="s">
        <v>12478</v>
      </c>
      <c r="D1981" t="s">
        <v>10246</v>
      </c>
      <c r="E1981" t="s">
        <v>12479</v>
      </c>
      <c r="F1981" t="s">
        <v>12480</v>
      </c>
      <c r="G1981" t="s">
        <v>6586</v>
      </c>
    </row>
    <row r="1982" spans="1:7">
      <c r="A1982" t="s">
        <v>6581</v>
      </c>
      <c r="B1982" s="1">
        <v>1980</v>
      </c>
      <c r="C1982" t="s">
        <v>12481</v>
      </c>
      <c r="D1982" t="s">
        <v>10246</v>
      </c>
      <c r="E1982" t="s">
        <v>12482</v>
      </c>
      <c r="F1982" t="s">
        <v>12483</v>
      </c>
      <c r="G1982" t="s">
        <v>6586</v>
      </c>
    </row>
    <row r="1983" spans="1:7">
      <c r="A1983" t="s">
        <v>6581</v>
      </c>
      <c r="B1983" s="1">
        <v>1981</v>
      </c>
      <c r="C1983" t="s">
        <v>12484</v>
      </c>
      <c r="D1983" t="s">
        <v>10246</v>
      </c>
      <c r="E1983" t="s">
        <v>12485</v>
      </c>
      <c r="F1983" t="s">
        <v>12486</v>
      </c>
      <c r="G1983" t="s">
        <v>6586</v>
      </c>
    </row>
    <row r="1984" spans="1:7">
      <c r="A1984" t="s">
        <v>6581</v>
      </c>
      <c r="B1984" s="1">
        <v>1982</v>
      </c>
      <c r="C1984" t="s">
        <v>12487</v>
      </c>
      <c r="D1984" t="s">
        <v>10246</v>
      </c>
      <c r="E1984" t="s">
        <v>12488</v>
      </c>
      <c r="F1984" t="s">
        <v>12489</v>
      </c>
      <c r="G1984" t="s">
        <v>6586</v>
      </c>
    </row>
    <row r="1985" spans="1:7">
      <c r="A1985" t="s">
        <v>6581</v>
      </c>
      <c r="B1985" s="1">
        <v>1983</v>
      </c>
      <c r="C1985" t="s">
        <v>12490</v>
      </c>
      <c r="D1985" t="s">
        <v>10246</v>
      </c>
      <c r="E1985" t="s">
        <v>12491</v>
      </c>
      <c r="F1985" t="s">
        <v>12492</v>
      </c>
      <c r="G1985" t="s">
        <v>6586</v>
      </c>
    </row>
    <row r="1986" spans="1:7">
      <c r="A1986" t="s">
        <v>6581</v>
      </c>
      <c r="B1986" s="1">
        <v>1984</v>
      </c>
      <c r="C1986" t="s">
        <v>12493</v>
      </c>
      <c r="D1986" t="s">
        <v>6598</v>
      </c>
      <c r="E1986" t="s">
        <v>12494</v>
      </c>
      <c r="F1986" t="s">
        <v>12495</v>
      </c>
      <c r="G1986" t="s">
        <v>6586</v>
      </c>
    </row>
    <row r="1987" spans="1:7">
      <c r="A1987" t="s">
        <v>6581</v>
      </c>
      <c r="B1987" s="1">
        <v>1985</v>
      </c>
      <c r="C1987" t="s">
        <v>12496</v>
      </c>
      <c r="D1987" t="s">
        <v>10246</v>
      </c>
      <c r="E1987" t="s">
        <v>12497</v>
      </c>
      <c r="F1987" t="s">
        <v>12498</v>
      </c>
      <c r="G1987" t="s">
        <v>6586</v>
      </c>
    </row>
    <row r="1988" spans="1:7">
      <c r="A1988" t="s">
        <v>6581</v>
      </c>
      <c r="B1988" s="1">
        <v>1986</v>
      </c>
      <c r="C1988" t="s">
        <v>12499</v>
      </c>
      <c r="D1988" t="s">
        <v>10246</v>
      </c>
      <c r="E1988" t="s">
        <v>12500</v>
      </c>
      <c r="F1988" t="s">
        <v>12501</v>
      </c>
      <c r="G1988" t="s">
        <v>6586</v>
      </c>
    </row>
    <row r="1989" spans="1:7">
      <c r="A1989" t="s">
        <v>6581</v>
      </c>
      <c r="B1989" s="1">
        <v>1987</v>
      </c>
      <c r="C1989" t="s">
        <v>12502</v>
      </c>
      <c r="D1989" t="s">
        <v>6654</v>
      </c>
      <c r="E1989" t="s">
        <v>12503</v>
      </c>
      <c r="F1989" t="s">
        <v>12504</v>
      </c>
      <c r="G1989" t="s">
        <v>6586</v>
      </c>
    </row>
    <row r="1990" spans="1:7">
      <c r="A1990" t="s">
        <v>6581</v>
      </c>
      <c r="B1990" s="1">
        <v>1988</v>
      </c>
      <c r="C1990" t="s">
        <v>12505</v>
      </c>
      <c r="D1990" t="s">
        <v>6654</v>
      </c>
      <c r="E1990" t="s">
        <v>12506</v>
      </c>
      <c r="F1990" t="s">
        <v>12507</v>
      </c>
      <c r="G1990" t="s">
        <v>6586</v>
      </c>
    </row>
    <row r="1991" spans="1:7">
      <c r="A1991" t="s">
        <v>6581</v>
      </c>
      <c r="B1991" s="1">
        <v>1989</v>
      </c>
      <c r="C1991" t="s">
        <v>12508</v>
      </c>
      <c r="D1991" t="s">
        <v>10246</v>
      </c>
      <c r="E1991" t="s">
        <v>12509</v>
      </c>
      <c r="F1991" t="s">
        <v>12510</v>
      </c>
      <c r="G1991" t="s">
        <v>6586</v>
      </c>
    </row>
    <row r="1992" spans="1:7">
      <c r="A1992" t="s">
        <v>6581</v>
      </c>
      <c r="B1992" s="1">
        <v>1990</v>
      </c>
      <c r="C1992" t="s">
        <v>12511</v>
      </c>
      <c r="D1992" t="s">
        <v>6654</v>
      </c>
      <c r="E1992" t="s">
        <v>12512</v>
      </c>
      <c r="F1992" t="s">
        <v>12513</v>
      </c>
      <c r="G1992" t="s">
        <v>6586</v>
      </c>
    </row>
    <row r="1993" spans="1:7">
      <c r="A1993" t="s">
        <v>6581</v>
      </c>
      <c r="B1993" s="1">
        <v>1991</v>
      </c>
      <c r="C1993" t="s">
        <v>12514</v>
      </c>
      <c r="D1993" t="s">
        <v>6654</v>
      </c>
      <c r="E1993" t="s">
        <v>12515</v>
      </c>
      <c r="F1993" t="s">
        <v>12516</v>
      </c>
      <c r="G1993" t="s">
        <v>6586</v>
      </c>
    </row>
    <row r="1994" spans="1:7">
      <c r="A1994" t="s">
        <v>6581</v>
      </c>
      <c r="B1994" s="1">
        <v>1992</v>
      </c>
      <c r="C1994" t="s">
        <v>12105</v>
      </c>
      <c r="D1994" t="s">
        <v>10246</v>
      </c>
      <c r="E1994" t="s">
        <v>12517</v>
      </c>
      <c r="F1994" t="s">
        <v>12518</v>
      </c>
      <c r="G1994" t="s">
        <v>6586</v>
      </c>
    </row>
    <row r="1995" spans="1:7">
      <c r="A1995" t="s">
        <v>6581</v>
      </c>
      <c r="B1995" s="1">
        <v>1993</v>
      </c>
      <c r="C1995" t="s">
        <v>12519</v>
      </c>
      <c r="D1995" t="s">
        <v>10246</v>
      </c>
      <c r="E1995" t="s">
        <v>12520</v>
      </c>
      <c r="F1995" t="s">
        <v>12521</v>
      </c>
      <c r="G1995" t="s">
        <v>6586</v>
      </c>
    </row>
    <row r="1996" spans="1:7">
      <c r="A1996" t="s">
        <v>6581</v>
      </c>
      <c r="B1996" s="1">
        <v>1994</v>
      </c>
      <c r="C1996" t="s">
        <v>12522</v>
      </c>
      <c r="D1996" t="s">
        <v>10246</v>
      </c>
      <c r="E1996" t="s">
        <v>12523</v>
      </c>
      <c r="F1996" t="s">
        <v>12524</v>
      </c>
      <c r="G1996" t="s">
        <v>6586</v>
      </c>
    </row>
    <row r="1997" spans="1:7">
      <c r="A1997" t="s">
        <v>6581</v>
      </c>
      <c r="B1997" s="1">
        <v>1995</v>
      </c>
      <c r="C1997" t="s">
        <v>12525</v>
      </c>
      <c r="D1997" t="s">
        <v>10246</v>
      </c>
      <c r="E1997" t="s">
        <v>12526</v>
      </c>
      <c r="F1997" t="s">
        <v>12527</v>
      </c>
      <c r="G1997" t="s">
        <v>6586</v>
      </c>
    </row>
    <row r="1998" spans="1:7">
      <c r="A1998" t="s">
        <v>6581</v>
      </c>
      <c r="B1998" s="1">
        <v>1996</v>
      </c>
      <c r="C1998" t="s">
        <v>12312</v>
      </c>
      <c r="D1998" t="s">
        <v>10246</v>
      </c>
      <c r="E1998" t="s">
        <v>12528</v>
      </c>
      <c r="F1998" t="s">
        <v>12529</v>
      </c>
      <c r="G1998" t="s">
        <v>6586</v>
      </c>
    </row>
    <row r="1999" spans="1:7">
      <c r="A1999" t="s">
        <v>6581</v>
      </c>
      <c r="B1999" s="1">
        <v>1997</v>
      </c>
      <c r="C1999" t="s">
        <v>12530</v>
      </c>
      <c r="D1999" t="s">
        <v>10246</v>
      </c>
      <c r="E1999" t="s">
        <v>12531</v>
      </c>
      <c r="F1999" t="s">
        <v>12532</v>
      </c>
      <c r="G1999" t="s">
        <v>6586</v>
      </c>
    </row>
    <row r="2000" spans="1:7">
      <c r="A2000" t="s">
        <v>6581</v>
      </c>
      <c r="B2000" s="1">
        <v>1998</v>
      </c>
      <c r="C2000" t="s">
        <v>12533</v>
      </c>
      <c r="D2000" t="s">
        <v>10246</v>
      </c>
      <c r="E2000" t="s">
        <v>12534</v>
      </c>
      <c r="F2000" t="s">
        <v>12535</v>
      </c>
      <c r="G2000" t="s">
        <v>6586</v>
      </c>
    </row>
    <row r="2001" spans="1:7">
      <c r="A2001" t="s">
        <v>6581</v>
      </c>
      <c r="B2001" s="1">
        <v>1999</v>
      </c>
      <c r="C2001" t="s">
        <v>12536</v>
      </c>
      <c r="D2001" t="s">
        <v>10246</v>
      </c>
      <c r="E2001" t="s">
        <v>12537</v>
      </c>
      <c r="F2001" t="s">
        <v>12538</v>
      </c>
      <c r="G2001" t="s">
        <v>6586</v>
      </c>
    </row>
    <row r="2002" spans="1:7">
      <c r="A2002" t="s">
        <v>6581</v>
      </c>
      <c r="B2002" s="1">
        <v>2000</v>
      </c>
      <c r="C2002" t="s">
        <v>12539</v>
      </c>
      <c r="D2002" t="s">
        <v>10246</v>
      </c>
      <c r="E2002" t="s">
        <v>12540</v>
      </c>
      <c r="F2002" t="s">
        <v>12541</v>
      </c>
      <c r="G2002" t="s">
        <v>6586</v>
      </c>
    </row>
    <row r="2003" spans="1:7">
      <c r="A2003" t="s">
        <v>6581</v>
      </c>
      <c r="B2003" s="1">
        <v>2001</v>
      </c>
      <c r="C2003" t="s">
        <v>12542</v>
      </c>
      <c r="D2003" t="s">
        <v>10246</v>
      </c>
      <c r="E2003" t="s">
        <v>12543</v>
      </c>
      <c r="F2003" t="s">
        <v>12544</v>
      </c>
      <c r="G2003" t="s">
        <v>6586</v>
      </c>
    </row>
    <row r="2004" spans="1:7">
      <c r="A2004" t="s">
        <v>6581</v>
      </c>
      <c r="B2004" s="1">
        <v>2002</v>
      </c>
      <c r="C2004" t="s">
        <v>12545</v>
      </c>
      <c r="D2004" t="s">
        <v>6654</v>
      </c>
      <c r="E2004" t="s">
        <v>12546</v>
      </c>
      <c r="F2004" t="s">
        <v>12547</v>
      </c>
      <c r="G2004" t="s">
        <v>6586</v>
      </c>
    </row>
    <row r="2005" spans="1:7">
      <c r="A2005" t="s">
        <v>6581</v>
      </c>
      <c r="B2005" s="1">
        <v>2003</v>
      </c>
      <c r="C2005" t="s">
        <v>12548</v>
      </c>
      <c r="D2005" t="s">
        <v>6609</v>
      </c>
      <c r="E2005" t="s">
        <v>12549</v>
      </c>
      <c r="F2005" t="s">
        <v>12550</v>
      </c>
      <c r="G2005" t="s">
        <v>6586</v>
      </c>
    </row>
    <row r="2006" spans="1:7">
      <c r="A2006" t="s">
        <v>6581</v>
      </c>
      <c r="B2006" s="1">
        <v>2004</v>
      </c>
      <c r="C2006" t="s">
        <v>12551</v>
      </c>
      <c r="D2006" t="s">
        <v>6605</v>
      </c>
      <c r="E2006" t="s">
        <v>12552</v>
      </c>
      <c r="F2006" t="s">
        <v>12553</v>
      </c>
      <c r="G2006" t="s">
        <v>6586</v>
      </c>
    </row>
    <row r="2007" spans="1:7">
      <c r="A2007" t="s">
        <v>6581</v>
      </c>
      <c r="B2007" s="1">
        <v>2005</v>
      </c>
      <c r="C2007" t="s">
        <v>12554</v>
      </c>
      <c r="D2007" t="s">
        <v>10246</v>
      </c>
      <c r="E2007" t="s">
        <v>12555</v>
      </c>
      <c r="F2007" t="s">
        <v>12556</v>
      </c>
      <c r="G2007" t="s">
        <v>6586</v>
      </c>
    </row>
    <row r="2008" spans="1:7">
      <c r="A2008" t="s">
        <v>6581</v>
      </c>
      <c r="B2008" s="1">
        <v>2006</v>
      </c>
      <c r="C2008" t="s">
        <v>12557</v>
      </c>
      <c r="D2008" t="s">
        <v>10246</v>
      </c>
      <c r="E2008" t="s">
        <v>12558</v>
      </c>
      <c r="F2008" t="s">
        <v>12559</v>
      </c>
      <c r="G2008" t="s">
        <v>6586</v>
      </c>
    </row>
    <row r="2009" spans="1:7">
      <c r="A2009" t="s">
        <v>6581</v>
      </c>
      <c r="B2009" s="1">
        <v>2007</v>
      </c>
      <c r="C2009" t="s">
        <v>12560</v>
      </c>
      <c r="D2009" t="s">
        <v>10246</v>
      </c>
      <c r="E2009" t="s">
        <v>12561</v>
      </c>
      <c r="F2009" t="s">
        <v>12562</v>
      </c>
      <c r="G2009" t="s">
        <v>6586</v>
      </c>
    </row>
    <row r="2010" spans="1:7">
      <c r="A2010" t="s">
        <v>6581</v>
      </c>
      <c r="B2010" s="1">
        <v>2008</v>
      </c>
      <c r="C2010" t="s">
        <v>12563</v>
      </c>
      <c r="D2010" t="s">
        <v>6598</v>
      </c>
      <c r="E2010" t="s">
        <v>12564</v>
      </c>
      <c r="F2010" t="s">
        <v>12565</v>
      </c>
      <c r="G2010" t="s">
        <v>6586</v>
      </c>
    </row>
    <row r="2011" spans="1:7">
      <c r="A2011" t="s">
        <v>6581</v>
      </c>
      <c r="B2011" s="1">
        <v>2009</v>
      </c>
      <c r="C2011" t="s">
        <v>12566</v>
      </c>
      <c r="D2011" t="s">
        <v>6598</v>
      </c>
      <c r="E2011" t="s">
        <v>12567</v>
      </c>
      <c r="F2011" t="s">
        <v>12568</v>
      </c>
      <c r="G2011" t="s">
        <v>6586</v>
      </c>
    </row>
    <row r="2012" spans="1:7">
      <c r="A2012" t="s">
        <v>6581</v>
      </c>
      <c r="B2012" s="1">
        <v>2010</v>
      </c>
      <c r="C2012" t="s">
        <v>12569</v>
      </c>
      <c r="D2012" t="s">
        <v>6609</v>
      </c>
      <c r="E2012" t="s">
        <v>12570</v>
      </c>
      <c r="F2012" t="s">
        <v>12571</v>
      </c>
      <c r="G2012" t="s">
        <v>6586</v>
      </c>
    </row>
    <row r="2013" spans="1:7">
      <c r="A2013" t="s">
        <v>6581</v>
      </c>
      <c r="B2013" s="1">
        <v>2011</v>
      </c>
      <c r="C2013" t="s">
        <v>12572</v>
      </c>
      <c r="D2013" t="s">
        <v>6609</v>
      </c>
      <c r="E2013" t="s">
        <v>12573</v>
      </c>
      <c r="F2013" t="s">
        <v>12574</v>
      </c>
      <c r="G2013" t="s">
        <v>6586</v>
      </c>
    </row>
    <row r="2014" spans="1:7">
      <c r="A2014" t="s">
        <v>6581</v>
      </c>
      <c r="B2014" s="1">
        <v>2012</v>
      </c>
      <c r="C2014" t="s">
        <v>12575</v>
      </c>
      <c r="D2014" t="s">
        <v>6609</v>
      </c>
      <c r="E2014" t="s">
        <v>12576</v>
      </c>
      <c r="F2014" t="s">
        <v>12577</v>
      </c>
      <c r="G2014" t="s">
        <v>6586</v>
      </c>
    </row>
    <row r="2015" spans="1:7">
      <c r="A2015" t="s">
        <v>6581</v>
      </c>
      <c r="B2015" s="1">
        <v>2013</v>
      </c>
      <c r="C2015" t="s">
        <v>12578</v>
      </c>
      <c r="D2015" t="s">
        <v>6598</v>
      </c>
      <c r="E2015" t="s">
        <v>12579</v>
      </c>
      <c r="F2015" t="s">
        <v>12580</v>
      </c>
      <c r="G2015" t="s">
        <v>6586</v>
      </c>
    </row>
    <row r="2016" spans="1:7">
      <c r="A2016" t="s">
        <v>6581</v>
      </c>
      <c r="B2016" s="1">
        <v>2014</v>
      </c>
      <c r="C2016" t="s">
        <v>12581</v>
      </c>
      <c r="D2016" t="s">
        <v>10246</v>
      </c>
      <c r="E2016" t="s">
        <v>12582</v>
      </c>
      <c r="F2016" t="s">
        <v>12583</v>
      </c>
      <c r="G2016" t="s">
        <v>6586</v>
      </c>
    </row>
    <row r="2017" spans="1:7">
      <c r="A2017" t="s">
        <v>6581</v>
      </c>
      <c r="B2017" s="1">
        <v>2015</v>
      </c>
      <c r="C2017" t="s">
        <v>12584</v>
      </c>
      <c r="D2017" t="s">
        <v>6598</v>
      </c>
      <c r="E2017" t="s">
        <v>12585</v>
      </c>
      <c r="F2017" t="s">
        <v>12586</v>
      </c>
      <c r="G2017" t="s">
        <v>6586</v>
      </c>
    </row>
    <row r="2018" spans="1:7">
      <c r="A2018" t="s">
        <v>6581</v>
      </c>
      <c r="B2018" s="1">
        <v>2016</v>
      </c>
      <c r="C2018" t="s">
        <v>12587</v>
      </c>
      <c r="D2018" t="s">
        <v>10246</v>
      </c>
      <c r="E2018" t="s">
        <v>12588</v>
      </c>
      <c r="F2018" t="s">
        <v>12589</v>
      </c>
      <c r="G2018" t="s">
        <v>6586</v>
      </c>
    </row>
    <row r="2019" spans="1:7">
      <c r="A2019" t="s">
        <v>6581</v>
      </c>
      <c r="B2019" s="1">
        <v>2017</v>
      </c>
      <c r="C2019" t="s">
        <v>12590</v>
      </c>
      <c r="D2019" t="s">
        <v>10246</v>
      </c>
      <c r="E2019" t="s">
        <v>12591</v>
      </c>
      <c r="F2019" t="s">
        <v>12592</v>
      </c>
      <c r="G2019" t="s">
        <v>6586</v>
      </c>
    </row>
    <row r="2020" spans="1:7">
      <c r="A2020" t="s">
        <v>6581</v>
      </c>
      <c r="B2020" s="1">
        <v>2018</v>
      </c>
      <c r="C2020" t="s">
        <v>12593</v>
      </c>
      <c r="D2020" t="s">
        <v>6598</v>
      </c>
      <c r="E2020" t="s">
        <v>12594</v>
      </c>
      <c r="F2020" t="s">
        <v>12595</v>
      </c>
      <c r="G2020" t="s">
        <v>6586</v>
      </c>
    </row>
    <row r="2021" spans="1:7">
      <c r="A2021" t="s">
        <v>6581</v>
      </c>
      <c r="B2021" s="1">
        <v>2019</v>
      </c>
      <c r="C2021" t="s">
        <v>12596</v>
      </c>
      <c r="D2021" t="s">
        <v>10246</v>
      </c>
      <c r="E2021" t="s">
        <v>12597</v>
      </c>
      <c r="F2021" t="s">
        <v>12598</v>
      </c>
      <c r="G2021" t="s">
        <v>6586</v>
      </c>
    </row>
    <row r="2022" spans="1:7">
      <c r="A2022" t="s">
        <v>6581</v>
      </c>
      <c r="B2022" s="1">
        <v>2020</v>
      </c>
      <c r="C2022" t="s">
        <v>12599</v>
      </c>
      <c r="D2022" t="s">
        <v>6598</v>
      </c>
      <c r="E2022" t="s">
        <v>12600</v>
      </c>
      <c r="F2022" t="s">
        <v>12601</v>
      </c>
      <c r="G2022" t="s">
        <v>6586</v>
      </c>
    </row>
    <row r="2023" spans="1:7">
      <c r="A2023" t="s">
        <v>6581</v>
      </c>
      <c r="B2023" s="1">
        <v>2021</v>
      </c>
      <c r="C2023" t="s">
        <v>12602</v>
      </c>
      <c r="D2023" t="s">
        <v>10246</v>
      </c>
      <c r="E2023" t="s">
        <v>12603</v>
      </c>
      <c r="F2023" t="s">
        <v>12604</v>
      </c>
      <c r="G2023" t="s">
        <v>6586</v>
      </c>
    </row>
    <row r="2024" spans="1:7">
      <c r="A2024" t="s">
        <v>6581</v>
      </c>
      <c r="B2024" s="1">
        <v>2022</v>
      </c>
      <c r="C2024" t="s">
        <v>8162</v>
      </c>
      <c r="D2024" t="s">
        <v>6598</v>
      </c>
      <c r="E2024" t="s">
        <v>12605</v>
      </c>
      <c r="F2024" t="s">
        <v>12606</v>
      </c>
      <c r="G2024" t="s">
        <v>6586</v>
      </c>
    </row>
    <row r="2025" spans="1:7">
      <c r="A2025" t="s">
        <v>6581</v>
      </c>
      <c r="B2025" s="1">
        <v>2023</v>
      </c>
      <c r="C2025" t="s">
        <v>12607</v>
      </c>
      <c r="D2025" t="s">
        <v>6654</v>
      </c>
      <c r="E2025" t="s">
        <v>12608</v>
      </c>
      <c r="F2025" t="s">
        <v>12609</v>
      </c>
      <c r="G2025" t="s">
        <v>6586</v>
      </c>
    </row>
    <row r="2026" spans="1:7">
      <c r="A2026" t="s">
        <v>6581</v>
      </c>
      <c r="B2026" s="1">
        <v>2024</v>
      </c>
      <c r="C2026" t="s">
        <v>12610</v>
      </c>
      <c r="D2026" t="s">
        <v>10246</v>
      </c>
      <c r="E2026" t="s">
        <v>11856</v>
      </c>
      <c r="F2026" t="s">
        <v>12611</v>
      </c>
      <c r="G2026" t="s">
        <v>6586</v>
      </c>
    </row>
    <row r="2027" spans="1:7">
      <c r="A2027" t="s">
        <v>6581</v>
      </c>
      <c r="B2027" s="1">
        <v>2025</v>
      </c>
      <c r="C2027" t="s">
        <v>12612</v>
      </c>
      <c r="D2027" t="s">
        <v>6598</v>
      </c>
      <c r="E2027" t="s">
        <v>12613</v>
      </c>
      <c r="F2027" t="s">
        <v>12614</v>
      </c>
      <c r="G2027" t="s">
        <v>6586</v>
      </c>
    </row>
    <row r="2028" spans="1:7">
      <c r="A2028" t="s">
        <v>6581</v>
      </c>
      <c r="B2028" s="1">
        <v>2026</v>
      </c>
      <c r="C2028" t="s">
        <v>12615</v>
      </c>
      <c r="D2028" t="s">
        <v>6598</v>
      </c>
      <c r="E2028" t="s">
        <v>12616</v>
      </c>
      <c r="F2028" t="s">
        <v>12617</v>
      </c>
      <c r="G2028" t="s">
        <v>6586</v>
      </c>
    </row>
    <row r="2029" spans="1:7">
      <c r="A2029" t="s">
        <v>6581</v>
      </c>
      <c r="B2029" s="1">
        <v>2027</v>
      </c>
      <c r="C2029" t="s">
        <v>12618</v>
      </c>
      <c r="D2029" t="s">
        <v>6598</v>
      </c>
      <c r="E2029" t="s">
        <v>12619</v>
      </c>
      <c r="F2029" t="s">
        <v>12620</v>
      </c>
      <c r="G2029" t="s">
        <v>6586</v>
      </c>
    </row>
    <row r="2030" spans="1:7">
      <c r="A2030" t="s">
        <v>6581</v>
      </c>
      <c r="B2030" s="1">
        <v>2028</v>
      </c>
      <c r="C2030" t="s">
        <v>12621</v>
      </c>
      <c r="D2030" t="s">
        <v>10246</v>
      </c>
      <c r="E2030" t="s">
        <v>12622</v>
      </c>
      <c r="F2030" t="s">
        <v>12623</v>
      </c>
      <c r="G2030" t="s">
        <v>6586</v>
      </c>
    </row>
    <row r="2031" spans="1:7">
      <c r="A2031" t="s">
        <v>6581</v>
      </c>
      <c r="B2031" s="1">
        <v>2029</v>
      </c>
      <c r="C2031" t="s">
        <v>12624</v>
      </c>
      <c r="D2031" t="s">
        <v>10246</v>
      </c>
      <c r="E2031" t="s">
        <v>12625</v>
      </c>
      <c r="F2031" t="s">
        <v>12626</v>
      </c>
      <c r="G2031" t="s">
        <v>6586</v>
      </c>
    </row>
    <row r="2032" spans="1:7">
      <c r="A2032" t="s">
        <v>6581</v>
      </c>
      <c r="B2032" s="1">
        <v>2030</v>
      </c>
      <c r="C2032" t="s">
        <v>12627</v>
      </c>
      <c r="D2032" t="s">
        <v>10246</v>
      </c>
      <c r="E2032" t="s">
        <v>12628</v>
      </c>
      <c r="F2032" t="s">
        <v>12629</v>
      </c>
      <c r="G2032" t="s">
        <v>6586</v>
      </c>
    </row>
    <row r="2033" spans="1:7">
      <c r="A2033" t="s">
        <v>6581</v>
      </c>
      <c r="B2033" s="1">
        <v>2031</v>
      </c>
      <c r="C2033" t="s">
        <v>12630</v>
      </c>
      <c r="D2033" t="s">
        <v>10246</v>
      </c>
      <c r="E2033" t="s">
        <v>12631</v>
      </c>
      <c r="F2033" t="s">
        <v>12632</v>
      </c>
      <c r="G2033" t="s">
        <v>6586</v>
      </c>
    </row>
    <row r="2034" spans="1:7">
      <c r="A2034" t="s">
        <v>6581</v>
      </c>
      <c r="B2034" s="1">
        <v>2032</v>
      </c>
      <c r="C2034" t="s">
        <v>12633</v>
      </c>
      <c r="D2034" t="s">
        <v>6598</v>
      </c>
      <c r="E2034" t="s">
        <v>12634</v>
      </c>
      <c r="F2034" t="s">
        <v>12635</v>
      </c>
      <c r="G2034" t="s">
        <v>6586</v>
      </c>
    </row>
    <row r="2035" spans="1:7">
      <c r="A2035" t="s">
        <v>6581</v>
      </c>
      <c r="B2035" s="1">
        <v>2033</v>
      </c>
      <c r="C2035" t="s">
        <v>12636</v>
      </c>
      <c r="D2035" t="s">
        <v>10246</v>
      </c>
      <c r="E2035" t="s">
        <v>12637</v>
      </c>
      <c r="F2035" t="s">
        <v>12638</v>
      </c>
      <c r="G2035" t="s">
        <v>6586</v>
      </c>
    </row>
    <row r="2036" spans="1:7">
      <c r="A2036" t="s">
        <v>6581</v>
      </c>
      <c r="B2036" s="1">
        <v>2034</v>
      </c>
      <c r="C2036" t="s">
        <v>12639</v>
      </c>
      <c r="D2036" t="s">
        <v>10246</v>
      </c>
      <c r="E2036" t="s">
        <v>12640</v>
      </c>
      <c r="F2036" t="s">
        <v>12641</v>
      </c>
      <c r="G2036" t="s">
        <v>6586</v>
      </c>
    </row>
    <row r="2037" spans="1:7">
      <c r="A2037" t="s">
        <v>6581</v>
      </c>
      <c r="B2037" s="1">
        <v>2035</v>
      </c>
      <c r="C2037" t="s">
        <v>12642</v>
      </c>
      <c r="D2037" t="s">
        <v>6598</v>
      </c>
      <c r="E2037" t="s">
        <v>12643</v>
      </c>
      <c r="F2037" t="s">
        <v>12644</v>
      </c>
      <c r="G2037" t="s">
        <v>6586</v>
      </c>
    </row>
    <row r="2038" spans="1:7">
      <c r="A2038" t="s">
        <v>6581</v>
      </c>
      <c r="B2038" s="1">
        <v>2036</v>
      </c>
      <c r="C2038" t="s">
        <v>12645</v>
      </c>
      <c r="D2038" t="s">
        <v>10246</v>
      </c>
      <c r="E2038" t="s">
        <v>12646</v>
      </c>
      <c r="F2038" t="s">
        <v>12647</v>
      </c>
      <c r="G2038" t="s">
        <v>6586</v>
      </c>
    </row>
    <row r="2039" spans="1:7">
      <c r="A2039" t="s">
        <v>6581</v>
      </c>
      <c r="B2039" s="1">
        <v>2037</v>
      </c>
      <c r="C2039" t="s">
        <v>12648</v>
      </c>
      <c r="D2039" t="s">
        <v>6598</v>
      </c>
      <c r="E2039" t="s">
        <v>12649</v>
      </c>
      <c r="F2039" t="s">
        <v>12650</v>
      </c>
      <c r="G2039" t="s">
        <v>6586</v>
      </c>
    </row>
    <row r="2040" spans="1:7">
      <c r="A2040" t="s">
        <v>6581</v>
      </c>
      <c r="B2040" s="1">
        <v>2038</v>
      </c>
      <c r="C2040" t="s">
        <v>12651</v>
      </c>
      <c r="D2040" t="s">
        <v>6598</v>
      </c>
      <c r="E2040" t="s">
        <v>12652</v>
      </c>
      <c r="F2040" t="s">
        <v>12653</v>
      </c>
      <c r="G2040" t="s">
        <v>6586</v>
      </c>
    </row>
    <row r="2041" spans="1:7">
      <c r="A2041" t="s">
        <v>6581</v>
      </c>
      <c r="B2041" s="1">
        <v>2039</v>
      </c>
      <c r="C2041" t="s">
        <v>12654</v>
      </c>
      <c r="D2041" t="s">
        <v>6654</v>
      </c>
      <c r="E2041" t="s">
        <v>12655</v>
      </c>
      <c r="F2041" t="s">
        <v>12656</v>
      </c>
      <c r="G2041" t="s">
        <v>6586</v>
      </c>
    </row>
    <row r="2042" spans="1:7">
      <c r="A2042" t="s">
        <v>6581</v>
      </c>
      <c r="B2042" s="1">
        <v>2040</v>
      </c>
      <c r="C2042" t="s">
        <v>12657</v>
      </c>
      <c r="D2042" t="s">
        <v>6598</v>
      </c>
      <c r="E2042" t="s">
        <v>12658</v>
      </c>
      <c r="F2042" t="s">
        <v>12659</v>
      </c>
      <c r="G2042" t="s">
        <v>6586</v>
      </c>
    </row>
    <row r="2043" spans="1:7">
      <c r="A2043" t="s">
        <v>6581</v>
      </c>
      <c r="B2043" s="1">
        <v>2041</v>
      </c>
      <c r="C2043" t="s">
        <v>12660</v>
      </c>
      <c r="D2043" t="s">
        <v>10246</v>
      </c>
      <c r="E2043" t="s">
        <v>12661</v>
      </c>
      <c r="F2043" t="s">
        <v>12662</v>
      </c>
      <c r="G2043" t="s">
        <v>6586</v>
      </c>
    </row>
    <row r="2044" spans="1:7">
      <c r="A2044" t="s">
        <v>6581</v>
      </c>
      <c r="B2044" s="1">
        <v>2042</v>
      </c>
      <c r="C2044" t="s">
        <v>12663</v>
      </c>
      <c r="D2044" t="s">
        <v>6598</v>
      </c>
      <c r="E2044" t="s">
        <v>12664</v>
      </c>
      <c r="F2044" t="s">
        <v>12665</v>
      </c>
      <c r="G2044" t="s">
        <v>6586</v>
      </c>
    </row>
    <row r="2045" spans="1:7">
      <c r="A2045" t="s">
        <v>6581</v>
      </c>
      <c r="B2045" s="1">
        <v>2043</v>
      </c>
      <c r="C2045" t="s">
        <v>12666</v>
      </c>
      <c r="D2045" t="s">
        <v>6598</v>
      </c>
      <c r="E2045" t="s">
        <v>12667</v>
      </c>
      <c r="F2045" t="s">
        <v>12668</v>
      </c>
      <c r="G2045" t="s">
        <v>6586</v>
      </c>
    </row>
    <row r="2046" spans="1:7">
      <c r="A2046" t="s">
        <v>6581</v>
      </c>
      <c r="B2046" s="1">
        <v>2044</v>
      </c>
      <c r="C2046" t="s">
        <v>12669</v>
      </c>
      <c r="D2046" t="s">
        <v>6598</v>
      </c>
      <c r="E2046" t="s">
        <v>12670</v>
      </c>
      <c r="F2046" t="s">
        <v>12671</v>
      </c>
      <c r="G2046" t="s">
        <v>6586</v>
      </c>
    </row>
    <row r="2047" spans="1:7">
      <c r="A2047" t="s">
        <v>6581</v>
      </c>
      <c r="B2047" s="1">
        <v>2045</v>
      </c>
      <c r="C2047" t="s">
        <v>12672</v>
      </c>
      <c r="D2047" t="s">
        <v>6598</v>
      </c>
      <c r="E2047" t="s">
        <v>12673</v>
      </c>
      <c r="F2047" t="s">
        <v>12674</v>
      </c>
      <c r="G2047" t="s">
        <v>6586</v>
      </c>
    </row>
    <row r="2048" spans="1:7">
      <c r="A2048" t="s">
        <v>6581</v>
      </c>
      <c r="B2048" s="1">
        <v>2046</v>
      </c>
      <c r="C2048" t="s">
        <v>12675</v>
      </c>
      <c r="D2048" t="s">
        <v>6598</v>
      </c>
      <c r="E2048" t="s">
        <v>12676</v>
      </c>
      <c r="F2048" t="s">
        <v>12677</v>
      </c>
      <c r="G2048" t="s">
        <v>6586</v>
      </c>
    </row>
    <row r="2049" spans="1:7">
      <c r="A2049" t="s">
        <v>6581</v>
      </c>
      <c r="B2049" s="1">
        <v>2047</v>
      </c>
      <c r="C2049" t="s">
        <v>12678</v>
      </c>
      <c r="D2049" t="s">
        <v>10246</v>
      </c>
      <c r="E2049" t="s">
        <v>12679</v>
      </c>
      <c r="F2049" t="s">
        <v>12680</v>
      </c>
      <c r="G2049" t="s">
        <v>6586</v>
      </c>
    </row>
    <row r="2050" spans="1:7">
      <c r="A2050" t="s">
        <v>6581</v>
      </c>
      <c r="B2050" s="1">
        <v>2048</v>
      </c>
      <c r="C2050" t="s">
        <v>12681</v>
      </c>
      <c r="D2050" t="s">
        <v>6705</v>
      </c>
      <c r="E2050" t="s">
        <v>12682</v>
      </c>
      <c r="F2050" t="s">
        <v>12683</v>
      </c>
      <c r="G2050" t="s">
        <v>6586</v>
      </c>
    </row>
    <row r="2051" spans="1:7">
      <c r="A2051" t="s">
        <v>6581</v>
      </c>
      <c r="B2051" s="1">
        <v>2049</v>
      </c>
      <c r="C2051" t="s">
        <v>12684</v>
      </c>
      <c r="D2051" t="s">
        <v>6598</v>
      </c>
      <c r="E2051" t="s">
        <v>12685</v>
      </c>
      <c r="F2051" t="s">
        <v>12686</v>
      </c>
      <c r="G2051" t="s">
        <v>6586</v>
      </c>
    </row>
    <row r="2052" spans="1:7">
      <c r="A2052" t="s">
        <v>6581</v>
      </c>
      <c r="B2052" s="1">
        <v>2050</v>
      </c>
      <c r="C2052" t="s">
        <v>12687</v>
      </c>
      <c r="D2052" t="s">
        <v>6654</v>
      </c>
      <c r="E2052" t="s">
        <v>12688</v>
      </c>
      <c r="F2052" t="s">
        <v>12689</v>
      </c>
      <c r="G2052" t="s">
        <v>6586</v>
      </c>
    </row>
    <row r="2053" spans="1:7">
      <c r="A2053" t="s">
        <v>6581</v>
      </c>
      <c r="B2053" s="1">
        <v>2051</v>
      </c>
      <c r="C2053" t="s">
        <v>12690</v>
      </c>
      <c r="D2053" t="s">
        <v>6598</v>
      </c>
      <c r="E2053" t="s">
        <v>12691</v>
      </c>
      <c r="F2053" t="s">
        <v>12692</v>
      </c>
      <c r="G2053" t="s">
        <v>6586</v>
      </c>
    </row>
    <row r="2054" spans="1:7">
      <c r="A2054" t="s">
        <v>6581</v>
      </c>
      <c r="B2054" s="1">
        <v>2052</v>
      </c>
      <c r="C2054" t="s">
        <v>12693</v>
      </c>
      <c r="D2054" t="s">
        <v>10246</v>
      </c>
      <c r="E2054" t="s">
        <v>12694</v>
      </c>
      <c r="F2054" t="s">
        <v>12695</v>
      </c>
      <c r="G2054" t="s">
        <v>6586</v>
      </c>
    </row>
    <row r="2055" spans="1:7">
      <c r="A2055" t="s">
        <v>6581</v>
      </c>
      <c r="B2055" s="1">
        <v>2053</v>
      </c>
      <c r="C2055" t="s">
        <v>12696</v>
      </c>
      <c r="D2055" t="s">
        <v>10246</v>
      </c>
      <c r="E2055" t="s">
        <v>12697</v>
      </c>
      <c r="F2055" t="s">
        <v>12698</v>
      </c>
      <c r="G2055" t="s">
        <v>6586</v>
      </c>
    </row>
    <row r="2056" spans="1:7">
      <c r="A2056" t="s">
        <v>6581</v>
      </c>
      <c r="B2056" s="1">
        <v>2054</v>
      </c>
      <c r="C2056" t="s">
        <v>7817</v>
      </c>
      <c r="D2056" t="s">
        <v>6609</v>
      </c>
      <c r="E2056" t="s">
        <v>12699</v>
      </c>
      <c r="F2056" t="s">
        <v>12700</v>
      </c>
      <c r="G2056" t="s">
        <v>6586</v>
      </c>
    </row>
    <row r="2057" spans="1:7">
      <c r="A2057" t="s">
        <v>6581</v>
      </c>
      <c r="B2057" s="1">
        <v>2055</v>
      </c>
      <c r="C2057" t="s">
        <v>12701</v>
      </c>
      <c r="D2057" t="s">
        <v>10246</v>
      </c>
      <c r="E2057" t="s">
        <v>12702</v>
      </c>
      <c r="F2057" t="s">
        <v>12703</v>
      </c>
      <c r="G2057" t="s">
        <v>6586</v>
      </c>
    </row>
    <row r="2058" spans="1:7">
      <c r="A2058" t="s">
        <v>6581</v>
      </c>
      <c r="B2058" s="1">
        <v>2056</v>
      </c>
      <c r="C2058" t="s">
        <v>12704</v>
      </c>
      <c r="D2058" t="s">
        <v>10246</v>
      </c>
      <c r="E2058" t="s">
        <v>12705</v>
      </c>
      <c r="F2058" t="s">
        <v>12706</v>
      </c>
      <c r="G2058" t="s">
        <v>6586</v>
      </c>
    </row>
    <row r="2059" spans="1:7">
      <c r="A2059" t="s">
        <v>6581</v>
      </c>
      <c r="B2059" s="1">
        <v>2057</v>
      </c>
      <c r="C2059" t="s">
        <v>12707</v>
      </c>
      <c r="D2059" t="s">
        <v>10246</v>
      </c>
      <c r="E2059" t="s">
        <v>12708</v>
      </c>
      <c r="F2059" t="s">
        <v>12709</v>
      </c>
      <c r="G2059" t="s">
        <v>6586</v>
      </c>
    </row>
    <row r="2060" spans="1:7">
      <c r="A2060" t="s">
        <v>6581</v>
      </c>
      <c r="B2060" s="1">
        <v>2058</v>
      </c>
      <c r="C2060" t="s">
        <v>12710</v>
      </c>
      <c r="D2060" t="s">
        <v>6598</v>
      </c>
      <c r="E2060" t="s">
        <v>12711</v>
      </c>
      <c r="F2060" t="s">
        <v>12712</v>
      </c>
      <c r="G2060" t="s">
        <v>6586</v>
      </c>
    </row>
    <row r="2061" spans="1:7">
      <c r="A2061" t="s">
        <v>6581</v>
      </c>
      <c r="B2061" s="1">
        <v>2059</v>
      </c>
      <c r="C2061" t="s">
        <v>12713</v>
      </c>
      <c r="D2061" t="s">
        <v>6654</v>
      </c>
      <c r="E2061" t="s">
        <v>12714</v>
      </c>
      <c r="F2061" t="s">
        <v>12715</v>
      </c>
      <c r="G2061" t="s">
        <v>6586</v>
      </c>
    </row>
    <row r="2062" spans="1:7">
      <c r="A2062" t="s">
        <v>6581</v>
      </c>
      <c r="B2062" s="1">
        <v>2060</v>
      </c>
      <c r="C2062" t="s">
        <v>12716</v>
      </c>
      <c r="D2062" t="s">
        <v>6598</v>
      </c>
      <c r="E2062" t="s">
        <v>12717</v>
      </c>
      <c r="F2062" t="s">
        <v>12718</v>
      </c>
      <c r="G2062" t="s">
        <v>6586</v>
      </c>
    </row>
    <row r="2063" spans="1:7">
      <c r="A2063" t="s">
        <v>6581</v>
      </c>
      <c r="B2063" s="1">
        <v>2061</v>
      </c>
      <c r="C2063" t="s">
        <v>12719</v>
      </c>
      <c r="D2063" t="s">
        <v>6605</v>
      </c>
      <c r="E2063" t="s">
        <v>12720</v>
      </c>
      <c r="F2063" t="s">
        <v>12721</v>
      </c>
      <c r="G2063" t="s">
        <v>6586</v>
      </c>
    </row>
    <row r="2064" spans="1:7">
      <c r="A2064" t="s">
        <v>6581</v>
      </c>
      <c r="B2064" s="1">
        <v>2062</v>
      </c>
      <c r="C2064" t="s">
        <v>12722</v>
      </c>
      <c r="D2064" t="s">
        <v>6598</v>
      </c>
      <c r="E2064" t="s">
        <v>12723</v>
      </c>
      <c r="F2064" t="s">
        <v>12724</v>
      </c>
      <c r="G2064" t="s">
        <v>6586</v>
      </c>
    </row>
    <row r="2065" spans="1:7">
      <c r="A2065" t="s">
        <v>6581</v>
      </c>
      <c r="B2065" s="1">
        <v>2063</v>
      </c>
      <c r="C2065" t="s">
        <v>12725</v>
      </c>
      <c r="D2065" t="s">
        <v>6598</v>
      </c>
      <c r="E2065" t="s">
        <v>12726</v>
      </c>
      <c r="F2065" t="s">
        <v>12727</v>
      </c>
      <c r="G2065" t="s">
        <v>6586</v>
      </c>
    </row>
    <row r="2066" spans="1:7">
      <c r="A2066" t="s">
        <v>6581</v>
      </c>
      <c r="B2066" s="1">
        <v>2064</v>
      </c>
      <c r="C2066" t="s">
        <v>12728</v>
      </c>
      <c r="D2066" t="s">
        <v>6598</v>
      </c>
      <c r="E2066" t="s">
        <v>12729</v>
      </c>
      <c r="F2066" t="s">
        <v>12730</v>
      </c>
      <c r="G2066" t="s">
        <v>6586</v>
      </c>
    </row>
    <row r="2067" spans="1:7">
      <c r="A2067" t="s">
        <v>6581</v>
      </c>
      <c r="B2067" s="1">
        <v>2065</v>
      </c>
      <c r="C2067" t="s">
        <v>12731</v>
      </c>
      <c r="D2067" t="s">
        <v>10246</v>
      </c>
      <c r="E2067" t="s">
        <v>12732</v>
      </c>
      <c r="F2067" t="s">
        <v>12733</v>
      </c>
      <c r="G2067" t="s">
        <v>6586</v>
      </c>
    </row>
    <row r="2068" spans="1:7">
      <c r="A2068" t="s">
        <v>6581</v>
      </c>
      <c r="B2068" s="1">
        <v>2066</v>
      </c>
      <c r="C2068" t="s">
        <v>12734</v>
      </c>
      <c r="D2068" t="s">
        <v>10246</v>
      </c>
      <c r="E2068" t="s">
        <v>12735</v>
      </c>
      <c r="F2068" t="s">
        <v>12736</v>
      </c>
      <c r="G2068" t="s">
        <v>6586</v>
      </c>
    </row>
    <row r="2069" spans="1:7">
      <c r="A2069" t="s">
        <v>6581</v>
      </c>
      <c r="B2069" s="1">
        <v>2067</v>
      </c>
      <c r="C2069" t="s">
        <v>12737</v>
      </c>
      <c r="D2069" t="s">
        <v>10246</v>
      </c>
      <c r="E2069" t="s">
        <v>12738</v>
      </c>
      <c r="F2069" t="s">
        <v>12739</v>
      </c>
      <c r="G2069" t="s">
        <v>6586</v>
      </c>
    </row>
    <row r="2070" spans="1:7">
      <c r="A2070" t="s">
        <v>6581</v>
      </c>
      <c r="B2070" s="1">
        <v>2068</v>
      </c>
      <c r="C2070" t="s">
        <v>12740</v>
      </c>
      <c r="D2070" t="s">
        <v>10246</v>
      </c>
      <c r="E2070" t="s">
        <v>12741</v>
      </c>
      <c r="F2070" t="s">
        <v>12742</v>
      </c>
      <c r="G2070" t="s">
        <v>6586</v>
      </c>
    </row>
    <row r="2071" spans="1:7">
      <c r="A2071" t="s">
        <v>6581</v>
      </c>
      <c r="B2071" s="1">
        <v>2069</v>
      </c>
      <c r="C2071" t="s">
        <v>12743</v>
      </c>
      <c r="D2071" t="s">
        <v>6598</v>
      </c>
      <c r="E2071" t="s">
        <v>12744</v>
      </c>
      <c r="F2071" t="s">
        <v>12745</v>
      </c>
      <c r="G2071" t="s">
        <v>6586</v>
      </c>
    </row>
    <row r="2072" spans="1:7">
      <c r="A2072" t="s">
        <v>6581</v>
      </c>
      <c r="B2072" s="1">
        <v>2070</v>
      </c>
      <c r="C2072" t="s">
        <v>12746</v>
      </c>
      <c r="D2072" t="s">
        <v>6598</v>
      </c>
      <c r="E2072" t="s">
        <v>12747</v>
      </c>
      <c r="F2072" t="s">
        <v>12748</v>
      </c>
      <c r="G2072" t="s">
        <v>6586</v>
      </c>
    </row>
    <row r="2073" spans="1:7">
      <c r="A2073" t="s">
        <v>6581</v>
      </c>
      <c r="B2073" s="1">
        <v>2071</v>
      </c>
      <c r="C2073" t="s">
        <v>12749</v>
      </c>
      <c r="D2073" t="s">
        <v>10246</v>
      </c>
      <c r="E2073" t="s">
        <v>12750</v>
      </c>
      <c r="F2073" t="s">
        <v>12751</v>
      </c>
      <c r="G2073" t="s">
        <v>6586</v>
      </c>
    </row>
    <row r="2074" spans="1:7">
      <c r="A2074" t="s">
        <v>6581</v>
      </c>
      <c r="B2074" s="1">
        <v>2072</v>
      </c>
      <c r="C2074" t="s">
        <v>12752</v>
      </c>
      <c r="D2074" t="s">
        <v>10246</v>
      </c>
      <c r="E2074" t="s">
        <v>12753</v>
      </c>
      <c r="F2074" t="s">
        <v>12754</v>
      </c>
      <c r="G2074" t="s">
        <v>6586</v>
      </c>
    </row>
    <row r="2075" spans="1:7">
      <c r="A2075" t="s">
        <v>6581</v>
      </c>
      <c r="B2075" s="1">
        <v>2073</v>
      </c>
      <c r="C2075" t="s">
        <v>12755</v>
      </c>
      <c r="D2075" t="s">
        <v>10246</v>
      </c>
      <c r="E2075" t="s">
        <v>12756</v>
      </c>
      <c r="F2075" t="s">
        <v>12757</v>
      </c>
      <c r="G2075" t="s">
        <v>6586</v>
      </c>
    </row>
    <row r="2076" spans="1:7">
      <c r="A2076" t="s">
        <v>6581</v>
      </c>
      <c r="B2076" s="1">
        <v>2074</v>
      </c>
      <c r="C2076" t="s">
        <v>12758</v>
      </c>
      <c r="D2076" t="s">
        <v>6598</v>
      </c>
      <c r="E2076" t="s">
        <v>12759</v>
      </c>
      <c r="F2076" t="s">
        <v>12760</v>
      </c>
      <c r="G2076" t="s">
        <v>6586</v>
      </c>
    </row>
    <row r="2077" spans="1:7">
      <c r="A2077" t="s">
        <v>6581</v>
      </c>
      <c r="B2077" s="1">
        <v>2075</v>
      </c>
      <c r="C2077" t="s">
        <v>12761</v>
      </c>
      <c r="D2077" t="s">
        <v>10246</v>
      </c>
      <c r="E2077" t="s">
        <v>12762</v>
      </c>
      <c r="F2077" t="s">
        <v>12763</v>
      </c>
      <c r="G2077" t="s">
        <v>6586</v>
      </c>
    </row>
    <row r="2078" spans="1:7">
      <c r="A2078" t="s">
        <v>6581</v>
      </c>
      <c r="B2078" s="1">
        <v>2076</v>
      </c>
      <c r="C2078" t="s">
        <v>12764</v>
      </c>
      <c r="D2078" t="s">
        <v>10246</v>
      </c>
      <c r="E2078" t="s">
        <v>12765</v>
      </c>
      <c r="F2078" t="s">
        <v>12766</v>
      </c>
      <c r="G2078" t="s">
        <v>6586</v>
      </c>
    </row>
    <row r="2079" spans="1:7">
      <c r="A2079" t="s">
        <v>6581</v>
      </c>
      <c r="B2079" s="1">
        <v>2077</v>
      </c>
      <c r="C2079" t="s">
        <v>12767</v>
      </c>
      <c r="D2079" t="s">
        <v>10246</v>
      </c>
      <c r="E2079" t="s">
        <v>12768</v>
      </c>
      <c r="F2079" t="s">
        <v>12769</v>
      </c>
      <c r="G2079" t="s">
        <v>6586</v>
      </c>
    </row>
    <row r="2080" spans="1:7">
      <c r="A2080" t="s">
        <v>6581</v>
      </c>
      <c r="B2080" s="1">
        <v>2078</v>
      </c>
      <c r="C2080" t="s">
        <v>12770</v>
      </c>
      <c r="D2080" t="s">
        <v>6598</v>
      </c>
      <c r="E2080" t="s">
        <v>12771</v>
      </c>
      <c r="F2080" t="s">
        <v>12772</v>
      </c>
      <c r="G2080" t="s">
        <v>6586</v>
      </c>
    </row>
    <row r="2081" spans="1:7">
      <c r="A2081" t="s">
        <v>6581</v>
      </c>
      <c r="B2081" s="1">
        <v>2079</v>
      </c>
      <c r="C2081" t="s">
        <v>12773</v>
      </c>
      <c r="D2081" t="s">
        <v>10246</v>
      </c>
      <c r="E2081" t="s">
        <v>12774</v>
      </c>
      <c r="F2081" t="s">
        <v>12775</v>
      </c>
      <c r="G2081" t="s">
        <v>6586</v>
      </c>
    </row>
    <row r="2082" spans="1:7">
      <c r="A2082" t="s">
        <v>6581</v>
      </c>
      <c r="B2082" s="1">
        <v>2080</v>
      </c>
      <c r="C2082" t="s">
        <v>12776</v>
      </c>
      <c r="D2082" t="s">
        <v>10246</v>
      </c>
      <c r="E2082" t="s">
        <v>12777</v>
      </c>
      <c r="F2082" t="s">
        <v>12778</v>
      </c>
      <c r="G2082" t="s">
        <v>6586</v>
      </c>
    </row>
    <row r="2083" spans="1:7">
      <c r="A2083" t="s">
        <v>6581</v>
      </c>
      <c r="B2083" s="1">
        <v>2081</v>
      </c>
      <c r="C2083" t="s">
        <v>12779</v>
      </c>
      <c r="D2083" t="s">
        <v>6598</v>
      </c>
      <c r="E2083" t="s">
        <v>12780</v>
      </c>
      <c r="F2083" t="s">
        <v>12781</v>
      </c>
      <c r="G2083" t="s">
        <v>6586</v>
      </c>
    </row>
    <row r="2084" spans="1:7">
      <c r="A2084" t="s">
        <v>6581</v>
      </c>
      <c r="B2084" s="1">
        <v>2082</v>
      </c>
      <c r="C2084" t="s">
        <v>12782</v>
      </c>
      <c r="D2084" t="s">
        <v>10246</v>
      </c>
      <c r="E2084" t="s">
        <v>12783</v>
      </c>
      <c r="F2084" t="s">
        <v>12784</v>
      </c>
      <c r="G2084" t="s">
        <v>6586</v>
      </c>
    </row>
    <row r="2085" spans="1:7">
      <c r="A2085" t="s">
        <v>6581</v>
      </c>
      <c r="B2085" s="1">
        <v>2083</v>
      </c>
      <c r="C2085" t="s">
        <v>12785</v>
      </c>
      <c r="D2085" t="s">
        <v>10246</v>
      </c>
      <c r="E2085" t="s">
        <v>12786</v>
      </c>
      <c r="F2085" t="s">
        <v>12787</v>
      </c>
      <c r="G2085" t="s">
        <v>6586</v>
      </c>
    </row>
    <row r="2086" spans="1:7">
      <c r="A2086" t="s">
        <v>6581</v>
      </c>
      <c r="B2086" s="1">
        <v>2084</v>
      </c>
      <c r="C2086" t="s">
        <v>12788</v>
      </c>
      <c r="D2086" t="s">
        <v>10246</v>
      </c>
      <c r="E2086" t="s">
        <v>12789</v>
      </c>
      <c r="F2086" t="s">
        <v>12790</v>
      </c>
      <c r="G2086" t="s">
        <v>6586</v>
      </c>
    </row>
    <row r="2087" spans="1:7">
      <c r="A2087" t="s">
        <v>6581</v>
      </c>
      <c r="B2087" s="1">
        <v>2085</v>
      </c>
      <c r="C2087" t="s">
        <v>12791</v>
      </c>
      <c r="D2087" t="s">
        <v>10246</v>
      </c>
      <c r="E2087" t="s">
        <v>12792</v>
      </c>
      <c r="F2087" t="s">
        <v>12793</v>
      </c>
      <c r="G2087" t="s">
        <v>6586</v>
      </c>
    </row>
    <row r="2088" spans="1:7">
      <c r="A2088" t="s">
        <v>6581</v>
      </c>
      <c r="B2088" s="1">
        <v>2086</v>
      </c>
      <c r="C2088" t="s">
        <v>12794</v>
      </c>
      <c r="D2088" t="s">
        <v>10246</v>
      </c>
      <c r="E2088" t="s">
        <v>12795</v>
      </c>
      <c r="F2088" t="s">
        <v>12796</v>
      </c>
      <c r="G2088" t="s">
        <v>6586</v>
      </c>
    </row>
    <row r="2089" spans="1:7">
      <c r="A2089" t="s">
        <v>6581</v>
      </c>
      <c r="B2089" s="1">
        <v>2087</v>
      </c>
      <c r="C2089" t="s">
        <v>12797</v>
      </c>
      <c r="D2089" t="s">
        <v>10246</v>
      </c>
      <c r="E2089" t="s">
        <v>12534</v>
      </c>
      <c r="F2089" t="s">
        <v>12798</v>
      </c>
      <c r="G2089" t="s">
        <v>6586</v>
      </c>
    </row>
    <row r="2090" spans="1:7">
      <c r="A2090" t="s">
        <v>6581</v>
      </c>
      <c r="B2090" s="1">
        <v>2088</v>
      </c>
      <c r="C2090" t="s">
        <v>12799</v>
      </c>
      <c r="D2090" t="s">
        <v>6598</v>
      </c>
      <c r="E2090" t="s">
        <v>12800</v>
      </c>
      <c r="F2090" t="s">
        <v>12801</v>
      </c>
      <c r="G2090" t="s">
        <v>6586</v>
      </c>
    </row>
    <row r="2091" spans="1:7">
      <c r="A2091" t="s">
        <v>6581</v>
      </c>
      <c r="B2091" s="1">
        <v>2089</v>
      </c>
      <c r="C2091" t="s">
        <v>12802</v>
      </c>
      <c r="D2091" t="s">
        <v>6598</v>
      </c>
      <c r="E2091" t="s">
        <v>12803</v>
      </c>
      <c r="F2091" t="s">
        <v>12804</v>
      </c>
      <c r="G2091" t="s">
        <v>6586</v>
      </c>
    </row>
    <row r="2092" spans="1:7">
      <c r="A2092" t="s">
        <v>6581</v>
      </c>
      <c r="B2092" s="1">
        <v>2090</v>
      </c>
      <c r="C2092" t="s">
        <v>12805</v>
      </c>
      <c r="D2092" t="s">
        <v>6609</v>
      </c>
      <c r="E2092" t="s">
        <v>12806</v>
      </c>
      <c r="F2092" t="s">
        <v>12807</v>
      </c>
      <c r="G2092" t="s">
        <v>6586</v>
      </c>
    </row>
    <row r="2093" spans="1:7">
      <c r="A2093" t="s">
        <v>6581</v>
      </c>
      <c r="B2093" s="1">
        <v>2091</v>
      </c>
      <c r="C2093" t="s">
        <v>12808</v>
      </c>
      <c r="D2093" t="s">
        <v>6609</v>
      </c>
      <c r="E2093" t="s">
        <v>12809</v>
      </c>
      <c r="F2093" t="s">
        <v>12810</v>
      </c>
      <c r="G2093" t="s">
        <v>6586</v>
      </c>
    </row>
    <row r="2094" spans="1:7">
      <c r="A2094" t="s">
        <v>6581</v>
      </c>
      <c r="B2094" s="1">
        <v>2092</v>
      </c>
      <c r="C2094" t="s">
        <v>12811</v>
      </c>
      <c r="D2094" t="s">
        <v>10246</v>
      </c>
      <c r="E2094" t="s">
        <v>12812</v>
      </c>
      <c r="F2094" t="s">
        <v>12813</v>
      </c>
      <c r="G2094" t="s">
        <v>6586</v>
      </c>
    </row>
    <row r="2095" spans="1:7">
      <c r="A2095" t="s">
        <v>6581</v>
      </c>
      <c r="B2095" s="1">
        <v>2093</v>
      </c>
      <c r="C2095" t="s">
        <v>12814</v>
      </c>
      <c r="D2095" t="s">
        <v>6598</v>
      </c>
      <c r="E2095" t="s">
        <v>12815</v>
      </c>
      <c r="F2095" t="s">
        <v>12816</v>
      </c>
      <c r="G2095" t="s">
        <v>6586</v>
      </c>
    </row>
    <row r="2096" spans="1:7">
      <c r="A2096" t="s">
        <v>6581</v>
      </c>
      <c r="B2096" s="1">
        <v>2094</v>
      </c>
      <c r="C2096" t="s">
        <v>12817</v>
      </c>
      <c r="D2096" t="s">
        <v>10246</v>
      </c>
      <c r="E2096" t="s">
        <v>12818</v>
      </c>
      <c r="F2096" t="s">
        <v>12819</v>
      </c>
      <c r="G2096" t="s">
        <v>6586</v>
      </c>
    </row>
    <row r="2097" spans="1:7">
      <c r="A2097" t="s">
        <v>6581</v>
      </c>
      <c r="B2097" s="1">
        <v>2095</v>
      </c>
      <c r="C2097" t="s">
        <v>11524</v>
      </c>
      <c r="D2097" t="s">
        <v>6598</v>
      </c>
      <c r="E2097" t="s">
        <v>12820</v>
      </c>
      <c r="F2097" t="s">
        <v>12821</v>
      </c>
      <c r="G2097" t="s">
        <v>6586</v>
      </c>
    </row>
    <row r="2098" spans="1:7">
      <c r="A2098" t="s">
        <v>6581</v>
      </c>
      <c r="B2098" s="1">
        <v>2096</v>
      </c>
      <c r="C2098" t="s">
        <v>12822</v>
      </c>
      <c r="D2098" t="s">
        <v>6598</v>
      </c>
      <c r="E2098" t="s">
        <v>12823</v>
      </c>
      <c r="F2098" t="s">
        <v>12824</v>
      </c>
      <c r="G2098" t="s">
        <v>6586</v>
      </c>
    </row>
    <row r="2099" spans="1:7">
      <c r="A2099" t="s">
        <v>6581</v>
      </c>
      <c r="B2099" s="1">
        <v>2097</v>
      </c>
      <c r="C2099" t="s">
        <v>12825</v>
      </c>
      <c r="D2099" t="s">
        <v>10246</v>
      </c>
      <c r="E2099" t="s">
        <v>12826</v>
      </c>
      <c r="F2099" t="s">
        <v>12827</v>
      </c>
      <c r="G2099" t="s">
        <v>6586</v>
      </c>
    </row>
    <row r="2100" spans="1:7">
      <c r="A2100" t="s">
        <v>6581</v>
      </c>
      <c r="B2100" s="1">
        <v>2098</v>
      </c>
      <c r="C2100" t="s">
        <v>12828</v>
      </c>
      <c r="D2100" t="s">
        <v>6598</v>
      </c>
      <c r="E2100" t="s">
        <v>12829</v>
      </c>
      <c r="F2100" t="s">
        <v>12830</v>
      </c>
      <c r="G2100" t="s">
        <v>6586</v>
      </c>
    </row>
    <row r="2101" spans="1:7">
      <c r="A2101" t="s">
        <v>6581</v>
      </c>
      <c r="B2101" s="1">
        <v>2099</v>
      </c>
      <c r="C2101" t="s">
        <v>12831</v>
      </c>
      <c r="D2101" t="s">
        <v>10246</v>
      </c>
      <c r="E2101" t="s">
        <v>12832</v>
      </c>
      <c r="F2101" t="s">
        <v>12833</v>
      </c>
      <c r="G2101" t="s">
        <v>6586</v>
      </c>
    </row>
    <row r="2102" spans="1:7">
      <c r="A2102" t="s">
        <v>6581</v>
      </c>
      <c r="B2102" s="1">
        <v>2100</v>
      </c>
      <c r="C2102" t="s">
        <v>12834</v>
      </c>
      <c r="D2102" t="s">
        <v>10246</v>
      </c>
      <c r="E2102" t="s">
        <v>12835</v>
      </c>
      <c r="F2102" t="s">
        <v>12836</v>
      </c>
      <c r="G2102" t="s">
        <v>6586</v>
      </c>
    </row>
    <row r="2103" spans="1:7">
      <c r="A2103" t="s">
        <v>6581</v>
      </c>
      <c r="B2103" s="1">
        <v>2101</v>
      </c>
      <c r="C2103" t="s">
        <v>12837</v>
      </c>
      <c r="D2103" t="s">
        <v>6598</v>
      </c>
      <c r="E2103" t="s">
        <v>12838</v>
      </c>
      <c r="F2103" t="s">
        <v>12839</v>
      </c>
      <c r="G2103" t="s">
        <v>6586</v>
      </c>
    </row>
    <row r="2104" spans="1:7">
      <c r="A2104" t="s">
        <v>6581</v>
      </c>
      <c r="B2104" s="1">
        <v>2102</v>
      </c>
      <c r="C2104" t="s">
        <v>10207</v>
      </c>
      <c r="D2104" t="s">
        <v>6598</v>
      </c>
      <c r="E2104" t="s">
        <v>12840</v>
      </c>
      <c r="F2104" t="s">
        <v>12841</v>
      </c>
      <c r="G2104" t="s">
        <v>6586</v>
      </c>
    </row>
    <row r="2105" spans="1:7">
      <c r="A2105" t="s">
        <v>6581</v>
      </c>
      <c r="B2105" s="1">
        <v>2103</v>
      </c>
      <c r="C2105" t="s">
        <v>12842</v>
      </c>
      <c r="D2105" t="s">
        <v>10246</v>
      </c>
      <c r="E2105" t="s">
        <v>12843</v>
      </c>
      <c r="F2105" t="s">
        <v>12844</v>
      </c>
      <c r="G2105" t="s">
        <v>6586</v>
      </c>
    </row>
    <row r="2106" spans="1:7">
      <c r="A2106" t="s">
        <v>6581</v>
      </c>
      <c r="B2106" s="1">
        <v>2104</v>
      </c>
      <c r="C2106" t="s">
        <v>12845</v>
      </c>
      <c r="D2106" t="s">
        <v>6609</v>
      </c>
      <c r="E2106" t="s">
        <v>12846</v>
      </c>
      <c r="F2106" t="s">
        <v>12847</v>
      </c>
      <c r="G2106" t="s">
        <v>6586</v>
      </c>
    </row>
    <row r="2107" spans="1:7">
      <c r="A2107" t="s">
        <v>6581</v>
      </c>
      <c r="B2107" s="1">
        <v>2105</v>
      </c>
      <c r="C2107" t="s">
        <v>12848</v>
      </c>
      <c r="D2107" t="s">
        <v>6609</v>
      </c>
      <c r="E2107" t="s">
        <v>12849</v>
      </c>
      <c r="F2107" t="s">
        <v>12850</v>
      </c>
      <c r="G2107" t="s">
        <v>6586</v>
      </c>
    </row>
    <row r="2108" spans="1:7">
      <c r="A2108" t="s">
        <v>6581</v>
      </c>
      <c r="B2108" s="1">
        <v>2106</v>
      </c>
      <c r="C2108" t="s">
        <v>12851</v>
      </c>
      <c r="D2108" t="s">
        <v>6609</v>
      </c>
      <c r="E2108" t="s">
        <v>12852</v>
      </c>
      <c r="F2108" t="s">
        <v>12853</v>
      </c>
      <c r="G2108" t="s">
        <v>6586</v>
      </c>
    </row>
    <row r="2109" spans="1:7">
      <c r="A2109" t="s">
        <v>6581</v>
      </c>
      <c r="B2109" s="1">
        <v>2107</v>
      </c>
      <c r="C2109" t="s">
        <v>12854</v>
      </c>
      <c r="D2109" t="s">
        <v>6598</v>
      </c>
      <c r="E2109" t="s">
        <v>12855</v>
      </c>
      <c r="F2109" t="s">
        <v>12856</v>
      </c>
      <c r="G2109" t="s">
        <v>6586</v>
      </c>
    </row>
    <row r="2110" spans="1:7">
      <c r="A2110" t="s">
        <v>6581</v>
      </c>
      <c r="B2110" s="1">
        <v>2108</v>
      </c>
      <c r="C2110" t="s">
        <v>10216</v>
      </c>
      <c r="D2110" t="s">
        <v>6598</v>
      </c>
      <c r="E2110" t="s">
        <v>12857</v>
      </c>
      <c r="F2110" t="s">
        <v>12858</v>
      </c>
      <c r="G2110" t="s">
        <v>6586</v>
      </c>
    </row>
    <row r="2111" spans="1:7">
      <c r="A2111" t="s">
        <v>6581</v>
      </c>
      <c r="B2111" s="1">
        <v>2109</v>
      </c>
      <c r="C2111" t="s">
        <v>12859</v>
      </c>
      <c r="D2111" t="s">
        <v>6598</v>
      </c>
      <c r="E2111" t="s">
        <v>12860</v>
      </c>
      <c r="F2111" t="s">
        <v>12861</v>
      </c>
      <c r="G2111" t="s">
        <v>6586</v>
      </c>
    </row>
    <row r="2112" spans="1:7">
      <c r="A2112" t="s">
        <v>6581</v>
      </c>
      <c r="B2112" s="1">
        <v>2110</v>
      </c>
      <c r="C2112" t="s">
        <v>12862</v>
      </c>
      <c r="D2112" t="s">
        <v>6598</v>
      </c>
      <c r="E2112" t="s">
        <v>12863</v>
      </c>
      <c r="F2112" t="s">
        <v>12864</v>
      </c>
      <c r="G2112" t="s">
        <v>6586</v>
      </c>
    </row>
    <row r="2113" spans="1:7">
      <c r="A2113" t="s">
        <v>6581</v>
      </c>
      <c r="B2113" s="1">
        <v>2111</v>
      </c>
      <c r="C2113" t="s">
        <v>12865</v>
      </c>
      <c r="D2113" t="s">
        <v>10246</v>
      </c>
      <c r="E2113" t="s">
        <v>12866</v>
      </c>
      <c r="F2113" t="s">
        <v>12867</v>
      </c>
      <c r="G2113" t="s">
        <v>6586</v>
      </c>
    </row>
    <row r="2114" spans="1:7">
      <c r="A2114" t="s">
        <v>6581</v>
      </c>
      <c r="B2114" s="1">
        <v>2112</v>
      </c>
      <c r="C2114" t="s">
        <v>12868</v>
      </c>
      <c r="D2114" t="s">
        <v>6598</v>
      </c>
      <c r="E2114" t="s">
        <v>12869</v>
      </c>
      <c r="F2114" t="s">
        <v>12870</v>
      </c>
      <c r="G2114" t="s">
        <v>6586</v>
      </c>
    </row>
    <row r="2115" spans="1:7">
      <c r="A2115" t="s">
        <v>6581</v>
      </c>
      <c r="B2115" s="1">
        <v>2113</v>
      </c>
      <c r="C2115" t="s">
        <v>12871</v>
      </c>
      <c r="D2115" t="s">
        <v>6598</v>
      </c>
      <c r="E2115" t="s">
        <v>12872</v>
      </c>
      <c r="F2115" t="s">
        <v>12873</v>
      </c>
      <c r="G2115" t="s">
        <v>6586</v>
      </c>
    </row>
    <row r="2116" spans="1:7">
      <c r="A2116" t="s">
        <v>6581</v>
      </c>
      <c r="B2116" s="1">
        <v>2114</v>
      </c>
      <c r="C2116" t="s">
        <v>12874</v>
      </c>
      <c r="D2116" t="s">
        <v>6598</v>
      </c>
      <c r="E2116" t="s">
        <v>12875</v>
      </c>
      <c r="F2116" t="s">
        <v>12876</v>
      </c>
      <c r="G2116" t="s">
        <v>6586</v>
      </c>
    </row>
    <row r="2117" spans="1:7">
      <c r="A2117" t="s">
        <v>6581</v>
      </c>
      <c r="B2117" s="1">
        <v>2115</v>
      </c>
      <c r="C2117" t="s">
        <v>12877</v>
      </c>
      <c r="D2117" t="s">
        <v>6598</v>
      </c>
      <c r="E2117" t="s">
        <v>12878</v>
      </c>
      <c r="F2117" t="s">
        <v>12879</v>
      </c>
      <c r="G2117" t="s">
        <v>6586</v>
      </c>
    </row>
    <row r="2118" spans="1:7">
      <c r="A2118" t="s">
        <v>6581</v>
      </c>
      <c r="B2118" s="1">
        <v>2116</v>
      </c>
      <c r="C2118" t="s">
        <v>12880</v>
      </c>
      <c r="D2118" t="s">
        <v>6609</v>
      </c>
      <c r="E2118" t="s">
        <v>12881</v>
      </c>
      <c r="F2118" t="s">
        <v>12882</v>
      </c>
      <c r="G2118" t="s">
        <v>6586</v>
      </c>
    </row>
    <row r="2119" spans="1:7">
      <c r="A2119" t="s">
        <v>6581</v>
      </c>
      <c r="B2119" s="1">
        <v>2117</v>
      </c>
      <c r="C2119" t="s">
        <v>12883</v>
      </c>
      <c r="D2119" t="s">
        <v>10246</v>
      </c>
      <c r="E2119" t="s">
        <v>12884</v>
      </c>
      <c r="F2119" t="s">
        <v>12885</v>
      </c>
      <c r="G2119" t="s">
        <v>6586</v>
      </c>
    </row>
    <row r="2120" spans="1:7">
      <c r="A2120" t="s">
        <v>6581</v>
      </c>
      <c r="B2120" s="1">
        <v>2118</v>
      </c>
      <c r="C2120" t="s">
        <v>11966</v>
      </c>
      <c r="D2120" t="s">
        <v>10246</v>
      </c>
      <c r="E2120" t="s">
        <v>12886</v>
      </c>
      <c r="F2120" t="s">
        <v>12887</v>
      </c>
      <c r="G2120" t="s">
        <v>6586</v>
      </c>
    </row>
    <row r="2121" spans="1:7">
      <c r="A2121" t="s">
        <v>6581</v>
      </c>
      <c r="B2121" s="1">
        <v>2119</v>
      </c>
      <c r="C2121" t="s">
        <v>12888</v>
      </c>
      <c r="D2121" t="s">
        <v>10246</v>
      </c>
      <c r="E2121" t="s">
        <v>12889</v>
      </c>
      <c r="F2121" t="s">
        <v>12890</v>
      </c>
      <c r="G2121" t="s">
        <v>6586</v>
      </c>
    </row>
    <row r="2122" spans="1:7">
      <c r="A2122" t="s">
        <v>6581</v>
      </c>
      <c r="B2122" s="1">
        <v>2120</v>
      </c>
      <c r="C2122" t="s">
        <v>12891</v>
      </c>
      <c r="D2122" t="s">
        <v>6609</v>
      </c>
      <c r="E2122" t="s">
        <v>12892</v>
      </c>
      <c r="F2122" t="s">
        <v>12893</v>
      </c>
      <c r="G2122" t="s">
        <v>6586</v>
      </c>
    </row>
    <row r="2123" spans="1:7">
      <c r="A2123" t="s">
        <v>6581</v>
      </c>
      <c r="B2123" s="1">
        <v>2121</v>
      </c>
      <c r="C2123" t="s">
        <v>12894</v>
      </c>
      <c r="D2123" t="s">
        <v>10246</v>
      </c>
      <c r="E2123" t="s">
        <v>12895</v>
      </c>
      <c r="F2123" t="s">
        <v>12896</v>
      </c>
      <c r="G2123" t="s">
        <v>6586</v>
      </c>
    </row>
    <row r="2124" spans="1:7">
      <c r="A2124" t="s">
        <v>6581</v>
      </c>
      <c r="B2124" s="1">
        <v>2122</v>
      </c>
      <c r="C2124" t="s">
        <v>12897</v>
      </c>
      <c r="D2124" t="s">
        <v>6609</v>
      </c>
      <c r="E2124" t="s">
        <v>12898</v>
      </c>
      <c r="F2124" t="s">
        <v>12899</v>
      </c>
      <c r="G2124" t="s">
        <v>6586</v>
      </c>
    </row>
    <row r="2125" spans="1:7">
      <c r="A2125" t="s">
        <v>6581</v>
      </c>
      <c r="B2125" s="1">
        <v>2123</v>
      </c>
      <c r="C2125" t="s">
        <v>12900</v>
      </c>
      <c r="D2125" t="s">
        <v>10246</v>
      </c>
      <c r="E2125" t="s">
        <v>12901</v>
      </c>
      <c r="F2125" t="s">
        <v>12902</v>
      </c>
      <c r="G2125" t="s">
        <v>6586</v>
      </c>
    </row>
    <row r="2126" spans="1:7">
      <c r="A2126" t="s">
        <v>6581</v>
      </c>
      <c r="B2126" s="1">
        <v>2124</v>
      </c>
      <c r="C2126" t="s">
        <v>12903</v>
      </c>
      <c r="D2126" t="s">
        <v>10246</v>
      </c>
      <c r="E2126" t="s">
        <v>12904</v>
      </c>
      <c r="F2126" t="s">
        <v>12905</v>
      </c>
      <c r="G2126" t="s">
        <v>6586</v>
      </c>
    </row>
    <row r="2127" spans="1:7">
      <c r="A2127" t="s">
        <v>6581</v>
      </c>
      <c r="B2127" s="1">
        <v>2125</v>
      </c>
      <c r="C2127" t="s">
        <v>12906</v>
      </c>
      <c r="D2127" t="s">
        <v>6598</v>
      </c>
      <c r="E2127" t="s">
        <v>12907</v>
      </c>
      <c r="F2127" t="s">
        <v>12908</v>
      </c>
      <c r="G2127" t="s">
        <v>6586</v>
      </c>
    </row>
    <row r="2128" spans="1:7">
      <c r="A2128" t="s">
        <v>6581</v>
      </c>
      <c r="B2128" s="1">
        <v>2126</v>
      </c>
      <c r="C2128" t="s">
        <v>12909</v>
      </c>
      <c r="D2128" t="s">
        <v>10246</v>
      </c>
      <c r="E2128" t="s">
        <v>12910</v>
      </c>
      <c r="F2128" t="s">
        <v>12911</v>
      </c>
      <c r="G2128" t="s">
        <v>6586</v>
      </c>
    </row>
    <row r="2129" spans="1:7">
      <c r="A2129" t="s">
        <v>6581</v>
      </c>
      <c r="B2129" s="1">
        <v>2127</v>
      </c>
      <c r="C2129" t="s">
        <v>12912</v>
      </c>
      <c r="D2129" t="s">
        <v>10246</v>
      </c>
      <c r="E2129" t="s">
        <v>12789</v>
      </c>
      <c r="F2129" t="s">
        <v>12913</v>
      </c>
      <c r="G2129" t="s">
        <v>6586</v>
      </c>
    </row>
    <row r="2130" spans="1:7">
      <c r="A2130" t="s">
        <v>6581</v>
      </c>
      <c r="B2130" s="1">
        <v>2128</v>
      </c>
      <c r="C2130" t="s">
        <v>12914</v>
      </c>
      <c r="D2130" t="s">
        <v>6598</v>
      </c>
      <c r="E2130" t="s">
        <v>12915</v>
      </c>
      <c r="F2130" t="s">
        <v>12916</v>
      </c>
      <c r="G2130" t="s">
        <v>6586</v>
      </c>
    </row>
    <row r="2131" spans="1:7">
      <c r="A2131" t="s">
        <v>6581</v>
      </c>
      <c r="B2131" s="1">
        <v>2129</v>
      </c>
      <c r="C2131" t="s">
        <v>12917</v>
      </c>
      <c r="D2131" t="s">
        <v>6705</v>
      </c>
      <c r="E2131" t="s">
        <v>12918</v>
      </c>
      <c r="F2131" t="s">
        <v>12919</v>
      </c>
      <c r="G2131" t="s">
        <v>6586</v>
      </c>
    </row>
    <row r="2132" spans="1:7">
      <c r="A2132" t="s">
        <v>6581</v>
      </c>
      <c r="B2132" s="1">
        <v>2130</v>
      </c>
      <c r="C2132" t="s">
        <v>12920</v>
      </c>
      <c r="D2132" t="s">
        <v>6598</v>
      </c>
      <c r="E2132" t="s">
        <v>12921</v>
      </c>
      <c r="F2132" t="s">
        <v>12922</v>
      </c>
      <c r="G2132" t="s">
        <v>6586</v>
      </c>
    </row>
    <row r="2133" spans="1:7">
      <c r="A2133" t="s">
        <v>6581</v>
      </c>
      <c r="B2133" s="1">
        <v>2131</v>
      </c>
      <c r="C2133" t="s">
        <v>12923</v>
      </c>
      <c r="D2133" t="s">
        <v>6598</v>
      </c>
      <c r="E2133" t="s">
        <v>12924</v>
      </c>
      <c r="F2133" t="s">
        <v>12925</v>
      </c>
      <c r="G2133" t="s">
        <v>6586</v>
      </c>
    </row>
    <row r="2134" spans="1:7">
      <c r="A2134" t="s">
        <v>6581</v>
      </c>
      <c r="B2134" s="1">
        <v>2132</v>
      </c>
      <c r="C2134" t="s">
        <v>12926</v>
      </c>
      <c r="D2134" t="s">
        <v>6598</v>
      </c>
      <c r="E2134" t="s">
        <v>12927</v>
      </c>
      <c r="F2134" t="s">
        <v>12928</v>
      </c>
      <c r="G2134" t="s">
        <v>6586</v>
      </c>
    </row>
    <row r="2135" spans="1:7">
      <c r="A2135" t="s">
        <v>6581</v>
      </c>
      <c r="B2135" s="1">
        <v>2133</v>
      </c>
      <c r="C2135" t="s">
        <v>12929</v>
      </c>
      <c r="D2135" t="s">
        <v>6598</v>
      </c>
      <c r="E2135" t="s">
        <v>12930</v>
      </c>
      <c r="F2135" t="s">
        <v>12931</v>
      </c>
      <c r="G2135" t="s">
        <v>6586</v>
      </c>
    </row>
    <row r="2136" spans="1:7">
      <c r="A2136" t="s">
        <v>6581</v>
      </c>
      <c r="B2136" s="1">
        <v>2134</v>
      </c>
      <c r="C2136" t="s">
        <v>12932</v>
      </c>
      <c r="D2136" t="s">
        <v>6605</v>
      </c>
      <c r="E2136" t="s">
        <v>12933</v>
      </c>
      <c r="F2136" t="s">
        <v>12934</v>
      </c>
      <c r="G2136" t="s">
        <v>6586</v>
      </c>
    </row>
    <row r="2137" spans="1:7">
      <c r="A2137" t="s">
        <v>6581</v>
      </c>
      <c r="B2137" s="1">
        <v>2135</v>
      </c>
      <c r="C2137" t="s">
        <v>12935</v>
      </c>
      <c r="D2137" t="s">
        <v>6605</v>
      </c>
      <c r="E2137" t="s">
        <v>12936</v>
      </c>
      <c r="F2137" t="s">
        <v>12937</v>
      </c>
      <c r="G2137" t="s">
        <v>6586</v>
      </c>
    </row>
    <row r="2138" spans="1:7">
      <c r="A2138" t="s">
        <v>6581</v>
      </c>
      <c r="B2138" s="1">
        <v>2136</v>
      </c>
      <c r="C2138" t="s">
        <v>12938</v>
      </c>
      <c r="D2138" t="s">
        <v>6605</v>
      </c>
      <c r="E2138" t="s">
        <v>12939</v>
      </c>
      <c r="F2138" t="s">
        <v>12940</v>
      </c>
      <c r="G2138" t="s">
        <v>6586</v>
      </c>
    </row>
    <row r="2139" spans="1:7">
      <c r="A2139" t="s">
        <v>6581</v>
      </c>
      <c r="B2139" s="1">
        <v>2137</v>
      </c>
      <c r="C2139" t="s">
        <v>12941</v>
      </c>
      <c r="D2139" t="s">
        <v>6705</v>
      </c>
      <c r="E2139" t="s">
        <v>12942</v>
      </c>
      <c r="F2139" t="s">
        <v>12943</v>
      </c>
      <c r="G2139" t="s">
        <v>6586</v>
      </c>
    </row>
    <row r="2140" spans="1:7">
      <c r="A2140" t="s">
        <v>6581</v>
      </c>
      <c r="B2140" s="1">
        <v>2138</v>
      </c>
      <c r="C2140" t="s">
        <v>12944</v>
      </c>
      <c r="D2140" t="s">
        <v>6605</v>
      </c>
      <c r="E2140" t="s">
        <v>12945</v>
      </c>
      <c r="F2140" t="s">
        <v>12946</v>
      </c>
      <c r="G2140" t="s">
        <v>6586</v>
      </c>
    </row>
    <row r="2141" spans="1:7">
      <c r="A2141" t="s">
        <v>6581</v>
      </c>
      <c r="B2141" s="1">
        <v>2139</v>
      </c>
      <c r="C2141" t="s">
        <v>12947</v>
      </c>
      <c r="D2141" t="s">
        <v>6705</v>
      </c>
      <c r="E2141" t="s">
        <v>12948</v>
      </c>
      <c r="F2141" t="s">
        <v>12949</v>
      </c>
      <c r="G2141" t="s">
        <v>6586</v>
      </c>
    </row>
    <row r="2142" spans="1:7">
      <c r="A2142" t="s">
        <v>6581</v>
      </c>
      <c r="B2142" s="1">
        <v>2140</v>
      </c>
      <c r="C2142" t="s">
        <v>12950</v>
      </c>
      <c r="D2142" t="s">
        <v>6598</v>
      </c>
      <c r="E2142" t="s">
        <v>12951</v>
      </c>
      <c r="F2142" t="s">
        <v>12952</v>
      </c>
      <c r="G2142" t="s">
        <v>6586</v>
      </c>
    </row>
    <row r="2143" spans="1:7">
      <c r="A2143" t="s">
        <v>6581</v>
      </c>
      <c r="B2143" s="1">
        <v>2141</v>
      </c>
      <c r="C2143" t="s">
        <v>9338</v>
      </c>
      <c r="D2143" t="s">
        <v>6598</v>
      </c>
      <c r="E2143" t="s">
        <v>12953</v>
      </c>
      <c r="F2143" t="s">
        <v>12954</v>
      </c>
      <c r="G2143" t="s">
        <v>6586</v>
      </c>
    </row>
    <row r="2144" spans="1:7">
      <c r="A2144" t="s">
        <v>6581</v>
      </c>
      <c r="B2144" s="1">
        <v>2142</v>
      </c>
      <c r="C2144" t="s">
        <v>12955</v>
      </c>
      <c r="D2144" t="s">
        <v>6598</v>
      </c>
      <c r="E2144" t="s">
        <v>12956</v>
      </c>
      <c r="F2144" t="s">
        <v>12957</v>
      </c>
      <c r="G2144" t="s">
        <v>6586</v>
      </c>
    </row>
    <row r="2145" spans="1:7">
      <c r="A2145" t="s">
        <v>6581</v>
      </c>
      <c r="B2145" s="1">
        <v>2143</v>
      </c>
      <c r="C2145" t="s">
        <v>12958</v>
      </c>
      <c r="D2145" t="s">
        <v>6598</v>
      </c>
      <c r="E2145" t="s">
        <v>12959</v>
      </c>
      <c r="F2145" t="s">
        <v>12960</v>
      </c>
      <c r="G2145" t="s">
        <v>6586</v>
      </c>
    </row>
    <row r="2146" spans="1:7">
      <c r="A2146" t="s">
        <v>6581</v>
      </c>
      <c r="B2146" s="1">
        <v>2144</v>
      </c>
      <c r="C2146" t="s">
        <v>7817</v>
      </c>
      <c r="D2146" t="s">
        <v>6609</v>
      </c>
      <c r="E2146" t="s">
        <v>12961</v>
      </c>
      <c r="F2146" t="s">
        <v>12962</v>
      </c>
      <c r="G2146" t="s">
        <v>6586</v>
      </c>
    </row>
    <row r="2147" spans="1:7">
      <c r="A2147" t="s">
        <v>6581</v>
      </c>
      <c r="B2147" s="1">
        <v>2145</v>
      </c>
      <c r="C2147" t="s">
        <v>12551</v>
      </c>
      <c r="D2147" t="s">
        <v>6598</v>
      </c>
      <c r="E2147" t="s">
        <v>12963</v>
      </c>
      <c r="F2147" t="s">
        <v>12964</v>
      </c>
      <c r="G2147" t="s">
        <v>6586</v>
      </c>
    </row>
    <row r="2148" spans="1:7">
      <c r="A2148" t="s">
        <v>6581</v>
      </c>
      <c r="B2148" s="1">
        <v>2146</v>
      </c>
      <c r="C2148" t="s">
        <v>12965</v>
      </c>
      <c r="D2148" t="s">
        <v>6609</v>
      </c>
      <c r="E2148" t="s">
        <v>12966</v>
      </c>
      <c r="F2148" t="s">
        <v>12967</v>
      </c>
      <c r="G2148" t="s">
        <v>6586</v>
      </c>
    </row>
    <row r="2149" spans="1:7">
      <c r="A2149" t="s">
        <v>6581</v>
      </c>
      <c r="B2149" s="1">
        <v>2147</v>
      </c>
      <c r="C2149" t="s">
        <v>12968</v>
      </c>
      <c r="D2149" t="s">
        <v>6654</v>
      </c>
      <c r="E2149" t="s">
        <v>12969</v>
      </c>
      <c r="F2149" t="s">
        <v>12970</v>
      </c>
      <c r="G2149" t="s">
        <v>6586</v>
      </c>
    </row>
    <row r="2150" spans="1:7">
      <c r="A2150" t="s">
        <v>6581</v>
      </c>
      <c r="B2150" s="1">
        <v>2148</v>
      </c>
      <c r="C2150" t="s">
        <v>12971</v>
      </c>
      <c r="D2150" t="s">
        <v>6598</v>
      </c>
      <c r="E2150" t="s">
        <v>12972</v>
      </c>
      <c r="F2150" t="s">
        <v>12973</v>
      </c>
      <c r="G2150" t="s">
        <v>6586</v>
      </c>
    </row>
    <row r="2151" spans="1:7">
      <c r="A2151" t="s">
        <v>6581</v>
      </c>
      <c r="B2151" s="1">
        <v>2149</v>
      </c>
      <c r="C2151" t="s">
        <v>12974</v>
      </c>
      <c r="D2151" t="s">
        <v>10246</v>
      </c>
      <c r="E2151" t="s">
        <v>12975</v>
      </c>
      <c r="F2151" t="s">
        <v>12976</v>
      </c>
      <c r="G2151" t="s">
        <v>6586</v>
      </c>
    </row>
    <row r="2152" spans="1:7">
      <c r="A2152" t="s">
        <v>6581</v>
      </c>
      <c r="B2152" s="1">
        <v>2150</v>
      </c>
      <c r="C2152" t="s">
        <v>12977</v>
      </c>
      <c r="D2152" t="s">
        <v>10246</v>
      </c>
      <c r="E2152" t="s">
        <v>12978</v>
      </c>
      <c r="F2152" t="s">
        <v>12979</v>
      </c>
      <c r="G2152" t="s">
        <v>6586</v>
      </c>
    </row>
    <row r="2153" spans="1:7">
      <c r="A2153" t="s">
        <v>6581</v>
      </c>
      <c r="B2153" s="1">
        <v>2151</v>
      </c>
      <c r="C2153" t="s">
        <v>12179</v>
      </c>
      <c r="D2153" t="s">
        <v>6598</v>
      </c>
      <c r="E2153" t="s">
        <v>12180</v>
      </c>
      <c r="F2153" t="s">
        <v>12980</v>
      </c>
      <c r="G2153" t="s">
        <v>6586</v>
      </c>
    </row>
    <row r="2154" spans="1:7">
      <c r="A2154" t="s">
        <v>6581</v>
      </c>
      <c r="B2154" s="1">
        <v>2152</v>
      </c>
      <c r="C2154" t="s">
        <v>12981</v>
      </c>
      <c r="D2154" t="s">
        <v>10246</v>
      </c>
      <c r="E2154" t="s">
        <v>12982</v>
      </c>
      <c r="F2154" t="s">
        <v>12983</v>
      </c>
      <c r="G2154" t="s">
        <v>6586</v>
      </c>
    </row>
    <row r="2155" spans="1:7">
      <c r="A2155" t="s">
        <v>6581</v>
      </c>
      <c r="B2155" s="1">
        <v>2153</v>
      </c>
      <c r="C2155" t="s">
        <v>12984</v>
      </c>
      <c r="D2155" t="s">
        <v>10246</v>
      </c>
      <c r="E2155" t="s">
        <v>12985</v>
      </c>
      <c r="F2155" t="s">
        <v>12986</v>
      </c>
      <c r="G2155" t="s">
        <v>6586</v>
      </c>
    </row>
    <row r="2156" spans="1:7">
      <c r="A2156" t="s">
        <v>6581</v>
      </c>
      <c r="B2156" s="1">
        <v>2154</v>
      </c>
      <c r="C2156" t="s">
        <v>12987</v>
      </c>
      <c r="D2156" t="s">
        <v>6598</v>
      </c>
      <c r="E2156" t="s">
        <v>12988</v>
      </c>
      <c r="F2156" t="s">
        <v>12989</v>
      </c>
      <c r="G2156" t="s">
        <v>6586</v>
      </c>
    </row>
    <row r="2157" spans="1:7">
      <c r="A2157" t="s">
        <v>6581</v>
      </c>
      <c r="B2157" s="1">
        <v>2155</v>
      </c>
      <c r="C2157" t="s">
        <v>12990</v>
      </c>
      <c r="D2157" t="s">
        <v>6598</v>
      </c>
      <c r="E2157" t="s">
        <v>12991</v>
      </c>
      <c r="F2157" t="s">
        <v>12992</v>
      </c>
      <c r="G2157" t="s">
        <v>6586</v>
      </c>
    </row>
    <row r="2158" spans="1:7">
      <c r="A2158" t="s">
        <v>6581</v>
      </c>
      <c r="B2158" s="1">
        <v>2156</v>
      </c>
      <c r="C2158" t="s">
        <v>12993</v>
      </c>
      <c r="D2158" t="s">
        <v>6598</v>
      </c>
      <c r="E2158" t="s">
        <v>12994</v>
      </c>
      <c r="F2158" t="s">
        <v>12995</v>
      </c>
      <c r="G2158" t="s">
        <v>6586</v>
      </c>
    </row>
    <row r="2159" spans="1:7">
      <c r="A2159" t="s">
        <v>6581</v>
      </c>
      <c r="B2159" s="1">
        <v>2157</v>
      </c>
      <c r="C2159" t="s">
        <v>12996</v>
      </c>
      <c r="D2159" t="s">
        <v>6609</v>
      </c>
      <c r="E2159" t="s">
        <v>12997</v>
      </c>
      <c r="F2159" t="s">
        <v>12998</v>
      </c>
      <c r="G2159" t="s">
        <v>6586</v>
      </c>
    </row>
    <row r="2160" spans="1:7">
      <c r="A2160" t="s">
        <v>6581</v>
      </c>
      <c r="B2160" s="1">
        <v>2158</v>
      </c>
      <c r="C2160" t="s">
        <v>12999</v>
      </c>
      <c r="D2160" t="s">
        <v>6598</v>
      </c>
      <c r="E2160" t="s">
        <v>13000</v>
      </c>
      <c r="F2160" t="s">
        <v>13001</v>
      </c>
      <c r="G2160" t="s">
        <v>6586</v>
      </c>
    </row>
    <row r="2161" spans="1:7">
      <c r="A2161" t="s">
        <v>6581</v>
      </c>
      <c r="B2161" s="1">
        <v>2159</v>
      </c>
      <c r="C2161" t="s">
        <v>13002</v>
      </c>
      <c r="D2161" t="s">
        <v>6609</v>
      </c>
      <c r="E2161" t="s">
        <v>13003</v>
      </c>
      <c r="F2161" t="s">
        <v>13004</v>
      </c>
      <c r="G2161" t="s">
        <v>6586</v>
      </c>
    </row>
    <row r="2162" spans="1:7">
      <c r="A2162" t="s">
        <v>6581</v>
      </c>
      <c r="B2162" s="1">
        <v>2160</v>
      </c>
      <c r="C2162" t="s">
        <v>13005</v>
      </c>
      <c r="D2162" t="s">
        <v>6609</v>
      </c>
      <c r="E2162" t="s">
        <v>13006</v>
      </c>
      <c r="F2162" t="s">
        <v>13007</v>
      </c>
      <c r="G2162" t="s">
        <v>6586</v>
      </c>
    </row>
    <row r="2163" spans="1:7">
      <c r="A2163" t="s">
        <v>6581</v>
      </c>
      <c r="B2163" s="1">
        <v>2161</v>
      </c>
      <c r="C2163" t="s">
        <v>13008</v>
      </c>
      <c r="D2163" t="s">
        <v>10246</v>
      </c>
      <c r="E2163" t="s">
        <v>13009</v>
      </c>
      <c r="F2163" t="s">
        <v>13010</v>
      </c>
      <c r="G2163" t="s">
        <v>6586</v>
      </c>
    </row>
    <row r="2164" spans="1:7">
      <c r="A2164" t="s">
        <v>6581</v>
      </c>
      <c r="B2164" s="1">
        <v>2162</v>
      </c>
      <c r="C2164" t="s">
        <v>13011</v>
      </c>
      <c r="D2164" t="s">
        <v>6654</v>
      </c>
      <c r="E2164" t="s">
        <v>13012</v>
      </c>
      <c r="F2164" t="s">
        <v>13013</v>
      </c>
      <c r="G2164" t="s">
        <v>6586</v>
      </c>
    </row>
    <row r="2165" spans="1:7">
      <c r="A2165" t="s">
        <v>6581</v>
      </c>
      <c r="B2165" s="1">
        <v>2163</v>
      </c>
      <c r="C2165" t="s">
        <v>13014</v>
      </c>
      <c r="D2165" t="s">
        <v>6605</v>
      </c>
      <c r="E2165" t="s">
        <v>13015</v>
      </c>
      <c r="F2165" t="s">
        <v>13016</v>
      </c>
      <c r="G2165" t="s">
        <v>6586</v>
      </c>
    </row>
    <row r="2166" spans="1:7">
      <c r="A2166" t="s">
        <v>6581</v>
      </c>
      <c r="B2166" s="1">
        <v>2164</v>
      </c>
      <c r="C2166" t="s">
        <v>13017</v>
      </c>
      <c r="D2166" t="s">
        <v>6598</v>
      </c>
      <c r="E2166" t="s">
        <v>13018</v>
      </c>
      <c r="F2166" t="s">
        <v>13019</v>
      </c>
      <c r="G2166" t="s">
        <v>6586</v>
      </c>
    </row>
    <row r="2167" spans="1:7">
      <c r="A2167" t="s">
        <v>6581</v>
      </c>
      <c r="B2167" s="1">
        <v>2165</v>
      </c>
      <c r="C2167" t="s">
        <v>13020</v>
      </c>
      <c r="D2167" t="s">
        <v>6598</v>
      </c>
      <c r="E2167" t="s">
        <v>13021</v>
      </c>
      <c r="F2167" t="s">
        <v>13022</v>
      </c>
      <c r="G2167" t="s">
        <v>6586</v>
      </c>
    </row>
    <row r="2168" spans="1:7">
      <c r="A2168" t="s">
        <v>6581</v>
      </c>
      <c r="B2168" s="1">
        <v>2166</v>
      </c>
      <c r="C2168" t="s">
        <v>13023</v>
      </c>
      <c r="D2168" t="s">
        <v>6609</v>
      </c>
      <c r="E2168" t="s">
        <v>13024</v>
      </c>
      <c r="F2168" t="s">
        <v>13025</v>
      </c>
      <c r="G2168" t="s">
        <v>6586</v>
      </c>
    </row>
    <row r="2169" spans="1:7">
      <c r="A2169" t="s">
        <v>6581</v>
      </c>
      <c r="B2169" s="1">
        <v>2167</v>
      </c>
      <c r="C2169" t="s">
        <v>13026</v>
      </c>
      <c r="D2169" t="s">
        <v>10246</v>
      </c>
      <c r="E2169" t="s">
        <v>13027</v>
      </c>
      <c r="F2169" t="s">
        <v>13028</v>
      </c>
      <c r="G2169" t="s">
        <v>6586</v>
      </c>
    </row>
    <row r="2170" spans="1:7">
      <c r="A2170" t="s">
        <v>6581</v>
      </c>
      <c r="B2170" s="1">
        <v>2168</v>
      </c>
      <c r="C2170" t="s">
        <v>13029</v>
      </c>
      <c r="D2170" t="s">
        <v>6598</v>
      </c>
      <c r="E2170" t="s">
        <v>13030</v>
      </c>
      <c r="F2170" t="s">
        <v>13031</v>
      </c>
      <c r="G2170" t="s">
        <v>6586</v>
      </c>
    </row>
    <row r="2171" spans="1:7">
      <c r="A2171" t="s">
        <v>6581</v>
      </c>
      <c r="B2171" s="1">
        <v>2169</v>
      </c>
      <c r="C2171" t="s">
        <v>13032</v>
      </c>
      <c r="D2171" t="s">
        <v>6598</v>
      </c>
      <c r="E2171" t="s">
        <v>13033</v>
      </c>
      <c r="F2171" t="s">
        <v>13034</v>
      </c>
      <c r="G2171" t="s">
        <v>6586</v>
      </c>
    </row>
    <row r="2172" spans="1:7">
      <c r="A2172" t="s">
        <v>6581</v>
      </c>
      <c r="B2172" s="1">
        <v>2170</v>
      </c>
      <c r="C2172" t="s">
        <v>13035</v>
      </c>
      <c r="D2172" t="s">
        <v>10246</v>
      </c>
      <c r="E2172" t="s">
        <v>13036</v>
      </c>
      <c r="F2172" t="s">
        <v>13037</v>
      </c>
      <c r="G2172" t="s">
        <v>6586</v>
      </c>
    </row>
    <row r="2173" spans="1:7">
      <c r="A2173" t="s">
        <v>6581</v>
      </c>
      <c r="B2173" s="1">
        <v>2171</v>
      </c>
      <c r="C2173" t="s">
        <v>13038</v>
      </c>
      <c r="D2173" t="s">
        <v>6598</v>
      </c>
      <c r="E2173" t="s">
        <v>13039</v>
      </c>
      <c r="F2173" t="s">
        <v>13040</v>
      </c>
      <c r="G2173" t="s">
        <v>6586</v>
      </c>
    </row>
    <row r="2174" spans="1:7">
      <c r="A2174" t="s">
        <v>6581</v>
      </c>
      <c r="B2174" s="1">
        <v>2172</v>
      </c>
      <c r="C2174" t="s">
        <v>13041</v>
      </c>
      <c r="D2174" t="s">
        <v>6598</v>
      </c>
      <c r="E2174" t="s">
        <v>13042</v>
      </c>
      <c r="F2174" t="s">
        <v>13043</v>
      </c>
      <c r="G2174" t="s">
        <v>6586</v>
      </c>
    </row>
    <row r="2175" spans="1:7">
      <c r="A2175" t="s">
        <v>6581</v>
      </c>
      <c r="B2175" s="1">
        <v>2173</v>
      </c>
      <c r="C2175" t="s">
        <v>13044</v>
      </c>
      <c r="D2175" t="s">
        <v>6598</v>
      </c>
      <c r="E2175" t="s">
        <v>13045</v>
      </c>
      <c r="F2175" t="s">
        <v>13046</v>
      </c>
      <c r="G2175" t="s">
        <v>6586</v>
      </c>
    </row>
    <row r="2176" spans="1:7">
      <c r="A2176" t="s">
        <v>6581</v>
      </c>
      <c r="B2176" s="1">
        <v>2174</v>
      </c>
      <c r="C2176" t="s">
        <v>13047</v>
      </c>
      <c r="D2176" t="s">
        <v>6598</v>
      </c>
      <c r="E2176" t="s">
        <v>13048</v>
      </c>
      <c r="F2176" t="s">
        <v>13049</v>
      </c>
      <c r="G2176" t="s">
        <v>6586</v>
      </c>
    </row>
    <row r="2177" spans="1:7">
      <c r="A2177" t="s">
        <v>6581</v>
      </c>
      <c r="B2177" s="1">
        <v>2175</v>
      </c>
      <c r="C2177" t="s">
        <v>13050</v>
      </c>
      <c r="D2177" t="s">
        <v>6598</v>
      </c>
      <c r="E2177" t="s">
        <v>13051</v>
      </c>
      <c r="F2177" t="s">
        <v>13052</v>
      </c>
      <c r="G2177" t="s">
        <v>6586</v>
      </c>
    </row>
    <row r="2178" spans="1:7">
      <c r="A2178" t="s">
        <v>6581</v>
      </c>
      <c r="B2178" s="1">
        <v>2176</v>
      </c>
      <c r="C2178" t="s">
        <v>13053</v>
      </c>
      <c r="D2178" t="s">
        <v>6705</v>
      </c>
      <c r="E2178" t="s">
        <v>13054</v>
      </c>
      <c r="F2178" t="s">
        <v>13055</v>
      </c>
      <c r="G2178" t="s">
        <v>6586</v>
      </c>
    </row>
    <row r="2179" spans="1:7">
      <c r="A2179" t="s">
        <v>6581</v>
      </c>
      <c r="B2179" s="1">
        <v>2177</v>
      </c>
      <c r="C2179" t="s">
        <v>13056</v>
      </c>
      <c r="D2179" t="s">
        <v>10246</v>
      </c>
      <c r="E2179" t="s">
        <v>13057</v>
      </c>
      <c r="F2179" t="s">
        <v>13058</v>
      </c>
      <c r="G2179" t="s">
        <v>6586</v>
      </c>
    </row>
    <row r="2180" spans="1:7">
      <c r="A2180" t="s">
        <v>6581</v>
      </c>
      <c r="B2180" s="1">
        <v>2178</v>
      </c>
      <c r="C2180" t="s">
        <v>13059</v>
      </c>
      <c r="D2180" t="s">
        <v>6598</v>
      </c>
      <c r="E2180" t="s">
        <v>13060</v>
      </c>
      <c r="F2180" t="s">
        <v>13061</v>
      </c>
      <c r="G2180" t="s">
        <v>6586</v>
      </c>
    </row>
    <row r="2181" spans="1:7">
      <c r="A2181" t="s">
        <v>6581</v>
      </c>
      <c r="B2181" s="1">
        <v>2179</v>
      </c>
      <c r="C2181" t="s">
        <v>13062</v>
      </c>
      <c r="D2181" t="s">
        <v>6598</v>
      </c>
      <c r="E2181" t="s">
        <v>13063</v>
      </c>
      <c r="F2181" t="s">
        <v>13064</v>
      </c>
      <c r="G2181" t="s">
        <v>6586</v>
      </c>
    </row>
    <row r="2182" spans="1:7">
      <c r="A2182" t="s">
        <v>6581</v>
      </c>
      <c r="B2182" s="1">
        <v>2180</v>
      </c>
      <c r="C2182" t="s">
        <v>13065</v>
      </c>
      <c r="D2182" t="s">
        <v>6598</v>
      </c>
      <c r="E2182" t="s">
        <v>13066</v>
      </c>
      <c r="F2182" t="s">
        <v>13067</v>
      </c>
      <c r="G2182" t="s">
        <v>6586</v>
      </c>
    </row>
    <row r="2183" spans="1:7">
      <c r="A2183" t="s">
        <v>6581</v>
      </c>
      <c r="B2183" s="1">
        <v>2181</v>
      </c>
      <c r="C2183" t="s">
        <v>13068</v>
      </c>
      <c r="D2183" t="s">
        <v>10246</v>
      </c>
      <c r="E2183" t="s">
        <v>13069</v>
      </c>
      <c r="F2183" t="s">
        <v>13070</v>
      </c>
      <c r="G2183" t="s">
        <v>6586</v>
      </c>
    </row>
    <row r="2184" spans="1:7">
      <c r="A2184" t="s">
        <v>6581</v>
      </c>
      <c r="B2184" s="1">
        <v>2182</v>
      </c>
      <c r="C2184" t="s">
        <v>13071</v>
      </c>
      <c r="D2184" t="s">
        <v>10246</v>
      </c>
      <c r="E2184" t="s">
        <v>13072</v>
      </c>
      <c r="F2184" t="s">
        <v>13073</v>
      </c>
      <c r="G2184" t="s">
        <v>6586</v>
      </c>
    </row>
    <row r="2185" spans="1:7">
      <c r="A2185" t="s">
        <v>6581</v>
      </c>
      <c r="B2185" s="1">
        <v>2183</v>
      </c>
      <c r="C2185" t="s">
        <v>13074</v>
      </c>
      <c r="D2185" t="s">
        <v>6598</v>
      </c>
      <c r="E2185" t="s">
        <v>13075</v>
      </c>
      <c r="F2185" t="s">
        <v>13076</v>
      </c>
      <c r="G2185" t="s">
        <v>6586</v>
      </c>
    </row>
    <row r="2186" spans="1:7">
      <c r="A2186" t="s">
        <v>6581</v>
      </c>
      <c r="B2186" s="1">
        <v>2184</v>
      </c>
      <c r="C2186" t="s">
        <v>13077</v>
      </c>
      <c r="D2186" t="s">
        <v>6598</v>
      </c>
      <c r="E2186" t="s">
        <v>13078</v>
      </c>
      <c r="F2186" t="s">
        <v>13079</v>
      </c>
      <c r="G2186" t="s">
        <v>6586</v>
      </c>
    </row>
    <row r="2187" spans="1:7">
      <c r="A2187" t="s">
        <v>6581</v>
      </c>
      <c r="B2187" s="1">
        <v>2185</v>
      </c>
      <c r="C2187" t="s">
        <v>13080</v>
      </c>
      <c r="D2187" t="s">
        <v>10246</v>
      </c>
      <c r="E2187" t="s">
        <v>13081</v>
      </c>
      <c r="F2187" t="s">
        <v>13082</v>
      </c>
      <c r="G2187" t="s">
        <v>6586</v>
      </c>
    </row>
    <row r="2188" spans="1:7">
      <c r="A2188" t="s">
        <v>6581</v>
      </c>
      <c r="B2188" s="1">
        <v>2186</v>
      </c>
      <c r="C2188" t="s">
        <v>13083</v>
      </c>
      <c r="D2188" t="s">
        <v>6598</v>
      </c>
      <c r="E2188" t="s">
        <v>13084</v>
      </c>
      <c r="F2188" t="s">
        <v>13085</v>
      </c>
      <c r="G2188" t="s">
        <v>6586</v>
      </c>
    </row>
    <row r="2189" spans="1:7">
      <c r="A2189" t="s">
        <v>6581</v>
      </c>
      <c r="B2189" s="1">
        <v>2187</v>
      </c>
      <c r="C2189" t="s">
        <v>13086</v>
      </c>
      <c r="D2189" t="s">
        <v>10246</v>
      </c>
      <c r="E2189" t="s">
        <v>13087</v>
      </c>
      <c r="F2189" t="s">
        <v>13088</v>
      </c>
      <c r="G2189" t="s">
        <v>6586</v>
      </c>
    </row>
    <row r="2190" spans="1:7">
      <c r="A2190" t="s">
        <v>6581</v>
      </c>
      <c r="B2190" s="1">
        <v>2188</v>
      </c>
      <c r="C2190" t="s">
        <v>12615</v>
      </c>
      <c r="D2190" t="s">
        <v>6598</v>
      </c>
      <c r="E2190" t="s">
        <v>12616</v>
      </c>
      <c r="F2190" t="s">
        <v>13089</v>
      </c>
      <c r="G2190" t="s">
        <v>6586</v>
      </c>
    </row>
    <row r="2191" spans="1:7">
      <c r="A2191" t="s">
        <v>6581</v>
      </c>
      <c r="B2191" s="1">
        <v>2189</v>
      </c>
      <c r="C2191" t="s">
        <v>13090</v>
      </c>
      <c r="D2191" t="s">
        <v>6598</v>
      </c>
      <c r="E2191" t="s">
        <v>13091</v>
      </c>
      <c r="F2191" t="s">
        <v>13092</v>
      </c>
      <c r="G2191" t="s">
        <v>6586</v>
      </c>
    </row>
    <row r="2192" spans="1:7">
      <c r="A2192" t="s">
        <v>6581</v>
      </c>
      <c r="B2192" s="1">
        <v>2190</v>
      </c>
      <c r="C2192" t="s">
        <v>13093</v>
      </c>
      <c r="D2192" t="s">
        <v>6598</v>
      </c>
      <c r="E2192" t="s">
        <v>13094</v>
      </c>
      <c r="F2192" t="s">
        <v>13095</v>
      </c>
      <c r="G2192" t="s">
        <v>6586</v>
      </c>
    </row>
    <row r="2193" spans="1:7">
      <c r="A2193" t="s">
        <v>6581</v>
      </c>
      <c r="B2193" s="1">
        <v>2191</v>
      </c>
      <c r="C2193" t="s">
        <v>13096</v>
      </c>
      <c r="D2193" t="s">
        <v>10246</v>
      </c>
      <c r="E2193" t="s">
        <v>13097</v>
      </c>
      <c r="F2193" t="s">
        <v>13098</v>
      </c>
      <c r="G2193" t="s">
        <v>6586</v>
      </c>
    </row>
    <row r="2194" spans="1:7">
      <c r="A2194" t="s">
        <v>6581</v>
      </c>
      <c r="B2194" s="1">
        <v>2192</v>
      </c>
      <c r="C2194" t="s">
        <v>13099</v>
      </c>
      <c r="D2194" t="s">
        <v>6598</v>
      </c>
      <c r="E2194" t="s">
        <v>13100</v>
      </c>
      <c r="F2194" t="s">
        <v>13101</v>
      </c>
      <c r="G2194" t="s">
        <v>6586</v>
      </c>
    </row>
    <row r="2195" spans="1:7">
      <c r="A2195" t="s">
        <v>6581</v>
      </c>
      <c r="B2195" s="1">
        <v>2193</v>
      </c>
      <c r="C2195" t="s">
        <v>13102</v>
      </c>
      <c r="D2195" t="s">
        <v>10246</v>
      </c>
      <c r="E2195" t="s">
        <v>13103</v>
      </c>
      <c r="F2195" t="s">
        <v>13104</v>
      </c>
      <c r="G2195" t="s">
        <v>6586</v>
      </c>
    </row>
    <row r="2196" spans="1:7">
      <c r="A2196" t="s">
        <v>6581</v>
      </c>
      <c r="B2196" s="1">
        <v>2194</v>
      </c>
      <c r="C2196" t="s">
        <v>13105</v>
      </c>
      <c r="D2196" t="s">
        <v>6598</v>
      </c>
      <c r="E2196" t="s">
        <v>13106</v>
      </c>
      <c r="F2196" t="s">
        <v>13107</v>
      </c>
      <c r="G2196" t="s">
        <v>6586</v>
      </c>
    </row>
    <row r="2197" spans="1:7">
      <c r="A2197" t="s">
        <v>6581</v>
      </c>
      <c r="B2197" s="1">
        <v>2195</v>
      </c>
      <c r="C2197" t="s">
        <v>12374</v>
      </c>
      <c r="D2197" t="s">
        <v>10246</v>
      </c>
      <c r="E2197" t="s">
        <v>13108</v>
      </c>
      <c r="F2197" t="s">
        <v>13109</v>
      </c>
      <c r="G2197" t="s">
        <v>6586</v>
      </c>
    </row>
    <row r="2198" spans="1:7">
      <c r="A2198" t="s">
        <v>6581</v>
      </c>
      <c r="B2198" s="1">
        <v>2196</v>
      </c>
      <c r="C2198" t="s">
        <v>13110</v>
      </c>
      <c r="D2198" t="s">
        <v>10246</v>
      </c>
      <c r="E2198" t="s">
        <v>13111</v>
      </c>
      <c r="F2198" t="s">
        <v>13112</v>
      </c>
      <c r="G2198" t="s">
        <v>6586</v>
      </c>
    </row>
    <row r="2199" spans="1:7">
      <c r="A2199" t="s">
        <v>6581</v>
      </c>
      <c r="B2199" s="1">
        <v>2197</v>
      </c>
      <c r="C2199" t="s">
        <v>13113</v>
      </c>
      <c r="D2199" t="s">
        <v>6598</v>
      </c>
      <c r="E2199" t="s">
        <v>13114</v>
      </c>
      <c r="F2199" t="s">
        <v>13115</v>
      </c>
      <c r="G2199" t="s">
        <v>6586</v>
      </c>
    </row>
    <row r="2200" spans="1:7">
      <c r="A2200" t="s">
        <v>6581</v>
      </c>
      <c r="B2200" s="1">
        <v>2198</v>
      </c>
      <c r="C2200" t="s">
        <v>13116</v>
      </c>
      <c r="D2200" t="s">
        <v>10246</v>
      </c>
      <c r="E2200" t="s">
        <v>13117</v>
      </c>
      <c r="F2200" t="s">
        <v>13118</v>
      </c>
      <c r="G2200" t="s">
        <v>6586</v>
      </c>
    </row>
    <row r="2201" spans="1:7">
      <c r="A2201" t="s">
        <v>6581</v>
      </c>
      <c r="B2201" s="1">
        <v>2199</v>
      </c>
      <c r="C2201" t="s">
        <v>13119</v>
      </c>
      <c r="D2201" t="s">
        <v>6598</v>
      </c>
      <c r="E2201" t="s">
        <v>13120</v>
      </c>
      <c r="F2201" t="s">
        <v>13121</v>
      </c>
      <c r="G2201" t="s">
        <v>6586</v>
      </c>
    </row>
    <row r="2202" spans="1:7">
      <c r="A2202" t="s">
        <v>6581</v>
      </c>
      <c r="B2202" s="1">
        <v>2200</v>
      </c>
      <c r="C2202" t="s">
        <v>13122</v>
      </c>
      <c r="D2202" t="s">
        <v>6609</v>
      </c>
      <c r="E2202" t="s">
        <v>13123</v>
      </c>
      <c r="F2202" t="s">
        <v>13124</v>
      </c>
      <c r="G2202" t="s">
        <v>6586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O124"/>
  <sheetViews>
    <sheetView showGridLines="0" zoomScale="63" zoomScaleNormal="63" workbookViewId="0">
      <selection activeCell="B40" sqref="B40:Y43"/>
    </sheetView>
  </sheetViews>
  <sheetFormatPr defaultColWidth="5" defaultRowHeight="16.95" customHeight="1"/>
  <cols>
    <col min="1" max="19" width="5.66363636363636" style="1592" customWidth="1"/>
    <col min="20" max="20" width="59.8909090909091" style="1592" customWidth="1"/>
    <col min="21" max="21" width="5.66363636363636" style="1592" customWidth="1"/>
    <col min="22" max="16384" width="5.66363636363636" style="1592"/>
  </cols>
  <sheetData>
    <row r="1" ht="7" customHeight="1"/>
    <row r="2" customHeight="1" spans="2:40">
      <c r="B2" s="1608" t="str">
        <f>人物卡!E3&amp;"，"&amp;人物卡!M6&amp;"，"&amp;人物卡!E6&amp;"岁"&amp;"，"&amp;人物卡!E5&amp;"，"&amp;人物卡!M4&amp;"，"&amp;"现居："&amp;人物卡!E7&amp;"，"&amp;人物卡!M7&amp;"人"</f>
        <v>，，岁，自定义职业，现代，现居：，人</v>
      </c>
      <c r="C2" s="1609"/>
      <c r="D2" s="1609"/>
      <c r="E2" s="1609"/>
      <c r="F2" s="1609"/>
      <c r="G2" s="1609"/>
      <c r="H2" s="1609"/>
      <c r="I2" s="1609"/>
      <c r="J2" s="1609"/>
      <c r="K2" s="1609"/>
      <c r="L2" s="1609"/>
      <c r="M2" s="1681"/>
      <c r="N2" s="1682" t="s">
        <v>328</v>
      </c>
      <c r="O2" s="1683"/>
      <c r="P2" s="1683"/>
      <c r="Q2" s="1683"/>
      <c r="R2" s="1683"/>
      <c r="S2" s="1683"/>
      <c r="T2" s="1683"/>
      <c r="U2" s="1683"/>
      <c r="V2" s="1683"/>
      <c r="W2" s="1683"/>
      <c r="X2" s="1683"/>
      <c r="Y2" s="1726"/>
      <c r="Z2" s="1727" t="s">
        <v>413</v>
      </c>
      <c r="AA2" s="1728"/>
      <c r="AB2" s="1728"/>
      <c r="AC2" s="1728"/>
      <c r="AD2" s="1728"/>
      <c r="AE2" s="1729"/>
      <c r="AF2" s="1730"/>
      <c r="AG2" s="1730"/>
      <c r="AH2" s="1730"/>
      <c r="AI2" s="1730"/>
      <c r="AJ2" s="1730"/>
      <c r="AK2" s="1730"/>
      <c r="AL2" s="1730"/>
      <c r="AM2" s="1730"/>
      <c r="AN2" s="1730"/>
    </row>
    <row r="3" customHeight="1" spans="2:40">
      <c r="B3" s="1610" t="s">
        <v>414</v>
      </c>
      <c r="C3" s="1611">
        <f>STR</f>
        <v>0</v>
      </c>
      <c r="D3" s="1612">
        <f>INT(C3/2)</f>
        <v>0</v>
      </c>
      <c r="E3" s="1613" t="s">
        <v>415</v>
      </c>
      <c r="F3" s="1612">
        <f>DEX</f>
        <v>0</v>
      </c>
      <c r="G3" s="1612">
        <f>INT(F3/2)</f>
        <v>0</v>
      </c>
      <c r="H3" s="1613" t="s">
        <v>416</v>
      </c>
      <c r="I3" s="1612">
        <f>POW</f>
        <v>0</v>
      </c>
      <c r="J3" s="1612">
        <f>INT(I3/2)</f>
        <v>0</v>
      </c>
      <c r="K3" s="1613" t="s">
        <v>417</v>
      </c>
      <c r="L3" s="1612">
        <f>INT</f>
        <v>0</v>
      </c>
      <c r="M3" s="1684">
        <f>INT(L3/2)</f>
        <v>0</v>
      </c>
      <c r="N3" s="1685" t="str">
        <f>IF(Q3=0,"",人物卡!F16)</f>
        <v/>
      </c>
      <c r="O3" s="1686"/>
      <c r="P3" s="1686"/>
      <c r="Q3" s="1714">
        <f>IF(人物卡!R16-人物卡!J16=0,0,人物卡!R16)</f>
        <v>0</v>
      </c>
      <c r="R3" s="1715">
        <f t="shared" ref="R3:R12" si="0">INT(Q3/2)</f>
        <v>0</v>
      </c>
      <c r="S3" s="1716">
        <f t="shared" ref="S3:S12" si="1">INT(Q3/5)</f>
        <v>0</v>
      </c>
      <c r="T3" s="1686" t="str">
        <f>IF(W3=0,"",人物卡!AB16)</f>
        <v/>
      </c>
      <c r="U3" s="1686"/>
      <c r="V3" s="1686"/>
      <c r="W3" s="1714">
        <f>IF(人物卡!AN16-人物卡!AF16=0,0,人物卡!AN16)</f>
        <v>0</v>
      </c>
      <c r="X3" s="1715">
        <f t="shared" ref="X3:X36" si="2">INT(W3/2)</f>
        <v>0</v>
      </c>
      <c r="Y3" s="1731">
        <f t="shared" ref="Y3:Y36" si="3">INT(W3/5)</f>
        <v>0</v>
      </c>
      <c r="Z3" s="1732" t="str">
        <f>人物卡!E8</f>
        <v>公元</v>
      </c>
      <c r="AA3" s="1733">
        <f>人物卡!G8</f>
        <v>2025</v>
      </c>
      <c r="AB3" s="1733"/>
      <c r="AC3" s="1734" t="str">
        <f>人物卡!J8</f>
        <v>1月</v>
      </c>
      <c r="AD3" s="1735" t="str">
        <f>人物卡!N8</f>
        <v>0：00</v>
      </c>
      <c r="AE3" s="1736"/>
      <c r="AF3" s="1730"/>
      <c r="AG3" s="1730"/>
      <c r="AH3" s="1730"/>
      <c r="AI3" s="1730"/>
      <c r="AJ3" s="1730"/>
      <c r="AK3" s="1730"/>
      <c r="AL3" s="1730"/>
      <c r="AM3" s="1730"/>
      <c r="AN3" s="1730"/>
    </row>
    <row r="4" customHeight="1" spans="2:40">
      <c r="B4" s="1610"/>
      <c r="C4" s="1611"/>
      <c r="D4" s="1614">
        <f>INT(C3/5)</f>
        <v>0</v>
      </c>
      <c r="E4" s="1613"/>
      <c r="F4" s="1612"/>
      <c r="G4" s="1614">
        <f>INT(F3/5)</f>
        <v>0</v>
      </c>
      <c r="H4" s="1613"/>
      <c r="I4" s="1612"/>
      <c r="J4" s="1614">
        <f>INT(I3/5)</f>
        <v>0</v>
      </c>
      <c r="K4" s="1613"/>
      <c r="L4" s="1612"/>
      <c r="M4" s="1687">
        <f>INT(L3/5)</f>
        <v>0</v>
      </c>
      <c r="N4" s="1685" t="str">
        <f>IF(Q4=0,"",人物卡!F17)</f>
        <v/>
      </c>
      <c r="O4" s="1686"/>
      <c r="P4" s="1686"/>
      <c r="Q4" s="1714">
        <f>IF(人物卡!R17-人物卡!J17=0,0,人物卡!R17)</f>
        <v>0</v>
      </c>
      <c r="R4" s="1715">
        <f t="shared" si="0"/>
        <v>0</v>
      </c>
      <c r="S4" s="1716">
        <f t="shared" si="1"/>
        <v>0</v>
      </c>
      <c r="T4" s="1686" t="str">
        <f>IF(W4=0,"",人物卡!AB17)</f>
        <v/>
      </c>
      <c r="U4" s="1686"/>
      <c r="V4" s="1686"/>
      <c r="W4" s="1714">
        <f>IF(人物卡!AN17-人物卡!AF17=0,0,人物卡!AN17)</f>
        <v>0</v>
      </c>
      <c r="X4" s="1715">
        <f t="shared" si="2"/>
        <v>0</v>
      </c>
      <c r="Y4" s="1731">
        <f t="shared" si="3"/>
        <v>0</v>
      </c>
      <c r="Z4" s="1737"/>
      <c r="AA4" s="1738"/>
      <c r="AB4" s="1738"/>
      <c r="AC4" s="1739" t="str">
        <f>人物卡!L8</f>
        <v>1日</v>
      </c>
      <c r="AD4" s="1740"/>
      <c r="AE4" s="1741"/>
      <c r="AF4" s="1730"/>
      <c r="AG4" s="1730"/>
      <c r="AH4" s="1730"/>
      <c r="AI4" s="1730"/>
      <c r="AJ4" s="1730"/>
      <c r="AK4" s="1730"/>
      <c r="AL4" s="1730"/>
      <c r="AM4" s="1730"/>
      <c r="AN4" s="1730"/>
    </row>
    <row r="5" customHeight="1" spans="2:40">
      <c r="B5" s="1615" t="s">
        <v>418</v>
      </c>
      <c r="C5" s="1616">
        <f>CON</f>
        <v>0</v>
      </c>
      <c r="D5" s="1612">
        <f>INT(C5/2)</f>
        <v>0</v>
      </c>
      <c r="E5" s="1613" t="s">
        <v>419</v>
      </c>
      <c r="F5" s="1612">
        <f>APP</f>
        <v>0</v>
      </c>
      <c r="G5" s="1612">
        <f>INT(F5/2)</f>
        <v>0</v>
      </c>
      <c r="H5" s="1613" t="s">
        <v>420</v>
      </c>
      <c r="I5" s="1612">
        <f>EDU</f>
        <v>0</v>
      </c>
      <c r="J5" s="1612">
        <f>INT(I5/2)</f>
        <v>0</v>
      </c>
      <c r="K5" s="1613" t="s">
        <v>421</v>
      </c>
      <c r="L5" s="1612">
        <f>SIZ</f>
        <v>0</v>
      </c>
      <c r="M5" s="1684">
        <f>INT(L5/2)</f>
        <v>0</v>
      </c>
      <c r="N5" s="1685" t="str">
        <f>IF(Q5=0,"",人物卡!F18)</f>
        <v/>
      </c>
      <c r="O5" s="1686"/>
      <c r="P5" s="1686"/>
      <c r="Q5" s="1714">
        <f>IF(人物卡!R18-人物卡!J18=0,0,人物卡!R18)</f>
        <v>0</v>
      </c>
      <c r="R5" s="1715">
        <f t="shared" si="0"/>
        <v>0</v>
      </c>
      <c r="S5" s="1716">
        <f t="shared" si="1"/>
        <v>0</v>
      </c>
      <c r="T5" s="1686" t="str">
        <f>IF(W5=0,"",人物卡!AB18)</f>
        <v/>
      </c>
      <c r="U5" s="1686"/>
      <c r="V5" s="1686"/>
      <c r="W5" s="1714">
        <f>IF(人物卡!AN18-人物卡!AF18=0,0,人物卡!AN18)</f>
        <v>0</v>
      </c>
      <c r="X5" s="1715">
        <f t="shared" si="2"/>
        <v>0</v>
      </c>
      <c r="Y5" s="1731">
        <f t="shared" si="3"/>
        <v>0</v>
      </c>
      <c r="Z5" s="1742" t="s">
        <v>422</v>
      </c>
      <c r="AA5" s="1743"/>
      <c r="AB5" s="1743"/>
      <c r="AC5" s="1743"/>
      <c r="AD5" s="1743"/>
      <c r="AE5" s="1744"/>
      <c r="AF5" s="1730"/>
      <c r="AG5" s="1730"/>
      <c r="AH5" s="1730"/>
      <c r="AI5" s="1730"/>
      <c r="AJ5" s="1730"/>
      <c r="AK5" s="1730"/>
      <c r="AL5" s="1730"/>
      <c r="AM5" s="1730"/>
      <c r="AN5" s="1730"/>
    </row>
    <row r="6" customHeight="1" spans="2:40">
      <c r="B6" s="1617"/>
      <c r="C6" s="1618"/>
      <c r="D6" s="1619">
        <f>INT(C5/5)</f>
        <v>0</v>
      </c>
      <c r="E6" s="1620"/>
      <c r="F6" s="1621"/>
      <c r="G6" s="1619">
        <f>INT(F5/5)</f>
        <v>0</v>
      </c>
      <c r="H6" s="1620"/>
      <c r="I6" s="1621"/>
      <c r="J6" s="1619">
        <f>INT(I5/5)</f>
        <v>0</v>
      </c>
      <c r="K6" s="1620"/>
      <c r="L6" s="1621"/>
      <c r="M6" s="1688">
        <f>INT(L5/5)</f>
        <v>0</v>
      </c>
      <c r="N6" s="1685" t="str">
        <f>IF(Q6=0,"",人物卡!F19)</f>
        <v/>
      </c>
      <c r="O6" s="1686"/>
      <c r="P6" s="1686"/>
      <c r="Q6" s="1714">
        <f>IF(人物卡!R19-人物卡!J19=0,0,人物卡!R19)</f>
        <v>0</v>
      </c>
      <c r="R6" s="1715">
        <f t="shared" si="0"/>
        <v>0</v>
      </c>
      <c r="S6" s="1716">
        <f t="shared" si="1"/>
        <v>0</v>
      </c>
      <c r="T6" s="1686" t="str">
        <f>IF(W6=0,"",人物卡!AB19)</f>
        <v/>
      </c>
      <c r="U6" s="1686"/>
      <c r="V6" s="1686"/>
      <c r="W6" s="1714">
        <f>IF(人物卡!AN19-人物卡!AF19=0,0,人物卡!AN19)</f>
        <v>0</v>
      </c>
      <c r="X6" s="1715">
        <f t="shared" si="2"/>
        <v>0</v>
      </c>
      <c r="Y6" s="1731">
        <f t="shared" si="3"/>
        <v>0</v>
      </c>
      <c r="Z6" s="1745" t="s">
        <v>6</v>
      </c>
      <c r="AA6" s="1746"/>
      <c r="AB6" s="1746" t="s">
        <v>423</v>
      </c>
      <c r="AC6" s="1746"/>
      <c r="AD6" s="1746"/>
      <c r="AE6" s="1747"/>
      <c r="AF6" s="1730"/>
      <c r="AG6" s="1730"/>
      <c r="AH6" s="1730"/>
      <c r="AI6" s="1730"/>
      <c r="AJ6" s="1730"/>
      <c r="AK6" s="1730"/>
      <c r="AL6" s="1730"/>
      <c r="AM6" s="1730"/>
      <c r="AN6" s="1730"/>
    </row>
    <row r="7" customHeight="1" spans="2:40">
      <c r="B7" s="1622" t="s">
        <v>424</v>
      </c>
      <c r="C7" s="1623">
        <f>人物卡!E10</f>
        <v>0</v>
      </c>
      <c r="D7" s="1624">
        <f>人物卡!G10</f>
        <v>0</v>
      </c>
      <c r="E7" s="1625" t="s">
        <v>425</v>
      </c>
      <c r="F7" s="1626">
        <f>人物卡!N10</f>
        <v>0</v>
      </c>
      <c r="G7" s="1627">
        <f>人物卡!P10</f>
        <v>99</v>
      </c>
      <c r="H7" s="1628" t="s">
        <v>426</v>
      </c>
      <c r="I7" s="1623">
        <f>人物卡!W10</f>
        <v>0</v>
      </c>
      <c r="J7" s="1624">
        <f>MP</f>
        <v>0</v>
      </c>
      <c r="K7" s="1689" t="s">
        <v>427</v>
      </c>
      <c r="L7" s="1625" t="str">
        <f>人物卡!AN10</f>
        <v>0</v>
      </c>
      <c r="M7" s="1690"/>
      <c r="N7" s="1691">
        <f>IF(Q7=0,0,"技艺：")</f>
        <v>0</v>
      </c>
      <c r="O7" s="1686" t="str">
        <f>IF(N7=0,"",人物卡!H20)</f>
        <v/>
      </c>
      <c r="P7" s="1686"/>
      <c r="Q7" s="1714">
        <f>IF(人物卡!R20-人物卡!J20=0,0,人物卡!R20)</f>
        <v>0</v>
      </c>
      <c r="R7" s="1715">
        <f t="shared" si="0"/>
        <v>0</v>
      </c>
      <c r="S7" s="1716">
        <f t="shared" si="1"/>
        <v>0</v>
      </c>
      <c r="T7" s="1686" t="str">
        <f>IF(W7=0,"",人物卡!AB20)</f>
        <v/>
      </c>
      <c r="U7" s="1686"/>
      <c r="V7" s="1686"/>
      <c r="W7" s="1714">
        <f>IF(人物卡!AN20-人物卡!AF20=0,0,人物卡!AN20)</f>
        <v>0</v>
      </c>
      <c r="X7" s="1715">
        <f t="shared" si="2"/>
        <v>0</v>
      </c>
      <c r="Y7" s="1731">
        <f t="shared" si="3"/>
        <v>0</v>
      </c>
      <c r="Z7" s="1748" t="str">
        <f>人物卡!W142</f>
        <v>示例：张三</v>
      </c>
      <c r="AA7" s="1749"/>
      <c r="AB7" s="1749" t="str">
        <f>人物卡!AD142</f>
        <v>一起调查的挚交好友</v>
      </c>
      <c r="AC7" s="1749"/>
      <c r="AD7" s="1749"/>
      <c r="AE7" s="1750"/>
      <c r="AF7" s="1730"/>
      <c r="AG7" s="1730"/>
      <c r="AH7" s="1730"/>
      <c r="AI7" s="1730"/>
      <c r="AJ7" s="1730"/>
      <c r="AK7" s="1730"/>
      <c r="AL7" s="1730"/>
      <c r="AM7" s="1730"/>
      <c r="AN7" s="1730"/>
    </row>
    <row r="8" customHeight="1" spans="2:40">
      <c r="B8" s="409"/>
      <c r="C8" s="1629"/>
      <c r="D8" s="1630"/>
      <c r="E8" s="1631"/>
      <c r="F8" s="1632"/>
      <c r="G8" s="1633"/>
      <c r="H8" s="1634"/>
      <c r="I8" s="1629"/>
      <c r="J8" s="1692"/>
      <c r="K8" s="1693"/>
      <c r="L8" s="1635"/>
      <c r="M8" s="1694"/>
      <c r="N8" s="1691">
        <f>IF(Q8=0,0,"技艺：")</f>
        <v>0</v>
      </c>
      <c r="O8" s="1686" t="str">
        <f>IF(N8=0,"",人物卡!H21)</f>
        <v/>
      </c>
      <c r="P8" s="1686"/>
      <c r="Q8" s="1714">
        <f>IF(人物卡!R21-人物卡!J21=0,0,人物卡!R21)</f>
        <v>0</v>
      </c>
      <c r="R8" s="1715">
        <f t="shared" si="0"/>
        <v>0</v>
      </c>
      <c r="S8" s="1716">
        <f t="shared" si="1"/>
        <v>0</v>
      </c>
      <c r="T8" s="1686" t="str">
        <f>IF(W8=0,"",人物卡!AB21)</f>
        <v/>
      </c>
      <c r="U8" s="1686"/>
      <c r="V8" s="1686"/>
      <c r="W8" s="1714">
        <f>IF(人物卡!AN21-人物卡!AF21=0,0,人物卡!AN21)</f>
        <v>0</v>
      </c>
      <c r="X8" s="1715">
        <f t="shared" si="2"/>
        <v>0</v>
      </c>
      <c r="Y8" s="1731">
        <f t="shared" si="3"/>
        <v>0</v>
      </c>
      <c r="Z8" s="1748">
        <f>人物卡!W143</f>
        <v>0</v>
      </c>
      <c r="AA8" s="1749"/>
      <c r="AB8" s="1749">
        <f>人物卡!AD143</f>
        <v>0</v>
      </c>
      <c r="AC8" s="1749"/>
      <c r="AD8" s="1749"/>
      <c r="AE8" s="1750"/>
      <c r="AF8" s="1730"/>
      <c r="AG8" s="1730"/>
      <c r="AH8" s="1730"/>
      <c r="AI8" s="1730"/>
      <c r="AJ8" s="1730"/>
      <c r="AK8" s="1730"/>
      <c r="AL8" s="1730"/>
      <c r="AM8" s="1730"/>
      <c r="AN8" s="1730"/>
    </row>
    <row r="9" customHeight="1" spans="2:40">
      <c r="B9" s="409" t="s">
        <v>389</v>
      </c>
      <c r="C9" s="376" t="str">
        <f>人物卡!AP64</f>
        <v>0</v>
      </c>
      <c r="D9" s="376"/>
      <c r="E9" s="1635" t="s">
        <v>428</v>
      </c>
      <c r="F9" s="1635" t="str">
        <f>人物卡!AP67</f>
        <v>0</v>
      </c>
      <c r="G9" s="1635"/>
      <c r="H9" s="1634" t="s">
        <v>429</v>
      </c>
      <c r="I9" s="376">
        <f>Luck</f>
        <v>0</v>
      </c>
      <c r="J9" s="376"/>
      <c r="K9" s="1631" t="s">
        <v>430</v>
      </c>
      <c r="L9" s="1635">
        <f>人物卡!AF10</f>
        <v>8</v>
      </c>
      <c r="M9" s="1694"/>
      <c r="N9" s="1691">
        <f>IF(Q9=0,0,"技艺：")</f>
        <v>0</v>
      </c>
      <c r="O9" s="1686" t="str">
        <f>IF(N9=0,"",人物卡!H22)</f>
        <v/>
      </c>
      <c r="P9" s="1686"/>
      <c r="Q9" s="1714">
        <f>IF(人物卡!R22-人物卡!J22=0,0,人物卡!R22)</f>
        <v>0</v>
      </c>
      <c r="R9" s="1715">
        <f t="shared" si="0"/>
        <v>0</v>
      </c>
      <c r="S9" s="1716">
        <f t="shared" si="1"/>
        <v>0</v>
      </c>
      <c r="T9" s="1686" t="str">
        <f>IF(W9=0,"",人物卡!AB22)</f>
        <v/>
      </c>
      <c r="U9" s="1686"/>
      <c r="V9" s="1686"/>
      <c r="W9" s="1714">
        <f>IF(人物卡!AN22-人物卡!AF22=0,0,人物卡!AN22)</f>
        <v>0</v>
      </c>
      <c r="X9" s="1715">
        <f t="shared" si="2"/>
        <v>0</v>
      </c>
      <c r="Y9" s="1731">
        <f t="shared" si="3"/>
        <v>0</v>
      </c>
      <c r="Z9" s="1748">
        <f>人物卡!W144</f>
        <v>0</v>
      </c>
      <c r="AA9" s="1749"/>
      <c r="AB9" s="1749">
        <f>人物卡!AD144</f>
        <v>0</v>
      </c>
      <c r="AC9" s="1749"/>
      <c r="AD9" s="1749"/>
      <c r="AE9" s="1750"/>
      <c r="AF9" s="1730"/>
      <c r="AM9" s="1730"/>
      <c r="AN9" s="1730"/>
    </row>
    <row r="10" customHeight="1" spans="2:40">
      <c r="B10" s="680"/>
      <c r="C10" s="681"/>
      <c r="D10" s="681"/>
      <c r="E10" s="1636"/>
      <c r="F10" s="1636"/>
      <c r="G10" s="1636"/>
      <c r="H10" s="681"/>
      <c r="I10" s="681"/>
      <c r="J10" s="681"/>
      <c r="K10" s="1636"/>
      <c r="L10" s="1636"/>
      <c r="M10" s="1695"/>
      <c r="N10" s="1685" t="str">
        <f>IF(Q10=0,"",人物卡!F23)</f>
        <v/>
      </c>
      <c r="O10" s="1686"/>
      <c r="P10" s="1686"/>
      <c r="Q10" s="1714">
        <f>IF(人物卡!R23-人物卡!J23=0,0,人物卡!R23)</f>
        <v>0</v>
      </c>
      <c r="R10" s="1715">
        <f t="shared" si="0"/>
        <v>0</v>
      </c>
      <c r="S10" s="1716">
        <f t="shared" si="1"/>
        <v>0</v>
      </c>
      <c r="T10" s="1686" t="str">
        <f>IF(W10=0,"",人物卡!AB23)</f>
        <v/>
      </c>
      <c r="U10" s="1686"/>
      <c r="V10" s="1686"/>
      <c r="W10" s="1714">
        <f>IF(人物卡!AN23-人物卡!AF23=0,0,人物卡!AN23)</f>
        <v>0</v>
      </c>
      <c r="X10" s="1715">
        <f t="shared" si="2"/>
        <v>0</v>
      </c>
      <c r="Y10" s="1731">
        <f t="shared" si="3"/>
        <v>0</v>
      </c>
      <c r="Z10" s="1748">
        <f>人物卡!W145</f>
        <v>0</v>
      </c>
      <c r="AA10" s="1749"/>
      <c r="AB10" s="1749">
        <f>人物卡!AD145</f>
        <v>0</v>
      </c>
      <c r="AC10" s="1749"/>
      <c r="AD10" s="1749"/>
      <c r="AE10" s="1750"/>
      <c r="AF10" s="1730"/>
      <c r="AG10" s="1730"/>
      <c r="AH10" s="1730"/>
      <c r="AI10" s="1730"/>
      <c r="AJ10" s="1730"/>
      <c r="AK10" s="1730"/>
      <c r="AL10" s="1730"/>
      <c r="AM10" s="1730"/>
      <c r="AN10" s="1730"/>
    </row>
    <row r="11" customHeight="1" spans="2:40">
      <c r="B11" s="1608" t="s">
        <v>194</v>
      </c>
      <c r="C11" s="1609"/>
      <c r="D11" s="1609"/>
      <c r="E11" s="1609"/>
      <c r="F11" s="1609"/>
      <c r="G11" s="1609"/>
      <c r="H11" s="1609"/>
      <c r="I11" s="1609"/>
      <c r="J11" s="1609"/>
      <c r="K11" s="1609"/>
      <c r="L11" s="1609"/>
      <c r="M11" s="1681"/>
      <c r="N11" s="1685" t="str">
        <f>IF(Q11=0,"",人物卡!F24)</f>
        <v/>
      </c>
      <c r="O11" s="1686"/>
      <c r="P11" s="1686"/>
      <c r="Q11" s="1714">
        <f>IF(人物卡!R24-人物卡!J24=0,0,人物卡!R24)</f>
        <v>0</v>
      </c>
      <c r="R11" s="1715">
        <f t="shared" si="0"/>
        <v>0</v>
      </c>
      <c r="S11" s="1716">
        <f t="shared" si="1"/>
        <v>0</v>
      </c>
      <c r="T11" s="1686" t="str">
        <f>IF(W11=0,"",人物卡!AB24)</f>
        <v/>
      </c>
      <c r="U11" s="1686"/>
      <c r="V11" s="1686"/>
      <c r="W11" s="1714">
        <f>IF(人物卡!AN24-人物卡!AF24=0,0,人物卡!AN24)</f>
        <v>0</v>
      </c>
      <c r="X11" s="1715">
        <f t="shared" si="2"/>
        <v>0</v>
      </c>
      <c r="Y11" s="1731">
        <f t="shared" si="3"/>
        <v>0</v>
      </c>
      <c r="Z11" s="1748">
        <f>人物卡!W146</f>
        <v>0</v>
      </c>
      <c r="AA11" s="1749"/>
      <c r="AB11" s="1749">
        <f>人物卡!AD146</f>
        <v>0</v>
      </c>
      <c r="AC11" s="1749"/>
      <c r="AD11" s="1749"/>
      <c r="AE11" s="1750"/>
      <c r="AM11" s="1730"/>
      <c r="AN11" s="1730"/>
    </row>
    <row r="12" customHeight="1" spans="2:40">
      <c r="B12" s="1637" t="str">
        <f>人物卡!B65</f>
        <v>无</v>
      </c>
      <c r="C12" s="1638" t="str">
        <f>人物卡!G65</f>
        <v>肉搏</v>
      </c>
      <c r="D12" s="1638" t="str">
        <f>人物卡!M65</f>
        <v>斗殴</v>
      </c>
      <c r="E12" s="1638">
        <f>人物卡!Q65</f>
        <v>25</v>
      </c>
      <c r="F12" s="1638">
        <f>人物卡!S65</f>
        <v>12</v>
      </c>
      <c r="G12" s="1638">
        <f>人物卡!U65</f>
        <v>5</v>
      </c>
      <c r="H12" s="1638" t="str">
        <f>人物卡!W65</f>
        <v>1D3+DB</v>
      </c>
      <c r="I12" s="1638" t="str">
        <f>人物卡!AA65</f>
        <v>——</v>
      </c>
      <c r="J12" s="1638" t="str">
        <f>人物卡!AC65</f>
        <v>×</v>
      </c>
      <c r="K12" s="1638">
        <f>人物卡!AE65</f>
        <v>1</v>
      </c>
      <c r="L12" s="1638" t="str">
        <f>人物卡!AG65</f>
        <v>——</v>
      </c>
      <c r="M12" s="1696" t="str">
        <f>人物卡!AJ65</f>
        <v>——</v>
      </c>
      <c r="N12" s="1685" t="str">
        <f>IF(Q12=0,"",人物卡!F25)</f>
        <v/>
      </c>
      <c r="O12" s="1686"/>
      <c r="P12" s="1686"/>
      <c r="Q12" s="1714">
        <f>IF(人物卡!R25-人物卡!J25=0,0,人物卡!R25)</f>
        <v>0</v>
      </c>
      <c r="R12" s="1715">
        <f t="shared" si="0"/>
        <v>0</v>
      </c>
      <c r="S12" s="1716">
        <f t="shared" si="1"/>
        <v>0</v>
      </c>
      <c r="T12" s="1686" t="str">
        <f>IF(W12=0,"",人物卡!AB25)</f>
        <v/>
      </c>
      <c r="U12" s="1686"/>
      <c r="V12" s="1686"/>
      <c r="W12" s="1714">
        <f>IF(人物卡!AN25-人物卡!AF25=0,0,人物卡!AN25)</f>
        <v>0</v>
      </c>
      <c r="X12" s="1715">
        <f t="shared" si="2"/>
        <v>0</v>
      </c>
      <c r="Y12" s="1731">
        <f t="shared" si="3"/>
        <v>0</v>
      </c>
      <c r="Z12" s="1748">
        <f>人物卡!W147</f>
        <v>0</v>
      </c>
      <c r="AA12" s="1749"/>
      <c r="AB12" s="1749">
        <f>人物卡!AD147</f>
        <v>0</v>
      </c>
      <c r="AC12" s="1749"/>
      <c r="AD12" s="1749"/>
      <c r="AE12" s="1750"/>
      <c r="AI12" s="1730"/>
      <c r="AJ12" s="1730"/>
      <c r="AK12" s="1730"/>
      <c r="AL12" s="1730"/>
      <c r="AM12" s="1730"/>
      <c r="AN12" s="1730"/>
    </row>
    <row r="13" customHeight="1" spans="2:40">
      <c r="B13" s="1639">
        <f>人物卡!B66</f>
        <v>0</v>
      </c>
      <c r="C13" s="1640">
        <f>人物卡!G66</f>
        <v>0</v>
      </c>
      <c r="D13" s="1641" t="str">
        <f>IF(人物卡!M66="请选择类型","",人物卡!M66)</f>
        <v>←请选择类型</v>
      </c>
      <c r="E13" s="1641">
        <f>人物卡!Q66</f>
        <v>0</v>
      </c>
      <c r="F13" s="1641">
        <f>人物卡!S66</f>
        <v>0</v>
      </c>
      <c r="G13" s="1641">
        <f>人物卡!U66</f>
        <v>0</v>
      </c>
      <c r="H13" s="1641" t="str">
        <f>人物卡!W66</f>
        <v/>
      </c>
      <c r="I13" s="1641" t="str">
        <f>人物卡!AA66</f>
        <v/>
      </c>
      <c r="J13" s="1641" t="str">
        <f>人物卡!AC66</f>
        <v/>
      </c>
      <c r="K13" s="1641" t="str">
        <f>人物卡!AE66</f>
        <v/>
      </c>
      <c r="L13" s="1641" t="str">
        <f>人物卡!AG66</f>
        <v/>
      </c>
      <c r="M13" s="1697" t="str">
        <f>人物卡!AJ66</f>
        <v/>
      </c>
      <c r="N13" s="1685" t="str">
        <f>人物卡!F26</f>
        <v>信用评级</v>
      </c>
      <c r="O13" s="1686"/>
      <c r="P13" s="1686"/>
      <c r="Q13" s="1717">
        <f>人物卡!R26</f>
        <v>0</v>
      </c>
      <c r="R13" s="1718">
        <f>IF(Q13=0,32767,INT(Q13/2))</f>
        <v>32767</v>
      </c>
      <c r="S13" s="1719">
        <f>IF(Q13=0,32767,INT(Q13/5))</f>
        <v>32767</v>
      </c>
      <c r="T13" s="1686" t="str">
        <f>IF(W13=0,"",人物卡!AB26)</f>
        <v/>
      </c>
      <c r="U13" s="1686"/>
      <c r="V13" s="1686"/>
      <c r="W13" s="1714">
        <f>IF(人物卡!AN26-人物卡!AF26=0,0,人物卡!AN26)</f>
        <v>0</v>
      </c>
      <c r="X13" s="1715">
        <f t="shared" si="2"/>
        <v>0</v>
      </c>
      <c r="Y13" s="1731">
        <f t="shared" si="3"/>
        <v>0</v>
      </c>
      <c r="Z13" s="1748">
        <f>人物卡!W148</f>
        <v>0</v>
      </c>
      <c r="AA13" s="1749"/>
      <c r="AB13" s="1749">
        <f>人物卡!AD148</f>
        <v>0</v>
      </c>
      <c r="AC13" s="1749"/>
      <c r="AD13" s="1749"/>
      <c r="AE13" s="1750"/>
      <c r="AF13" s="1730"/>
      <c r="AM13" s="1730"/>
      <c r="AN13" s="1730"/>
    </row>
    <row r="14" customHeight="1" spans="2:40">
      <c r="B14" s="1642">
        <f>人物卡!B67</f>
        <v>0</v>
      </c>
      <c r="C14" s="1643">
        <f>人物卡!G67</f>
        <v>0</v>
      </c>
      <c r="D14" s="1643" t="str">
        <f>IF(人物卡!M67="请选择类型","",人物卡!M67)</f>
        <v/>
      </c>
      <c r="E14" s="1643">
        <f>人物卡!Q67</f>
        <v>0</v>
      </c>
      <c r="F14" s="1643">
        <f>人物卡!S67</f>
        <v>0</v>
      </c>
      <c r="G14" s="1643">
        <f>人物卡!U67</f>
        <v>0</v>
      </c>
      <c r="H14" s="1643" t="str">
        <f>人物卡!W67</f>
        <v/>
      </c>
      <c r="I14" s="1643" t="str">
        <f>人物卡!AA67</f>
        <v/>
      </c>
      <c r="J14" s="1643" t="str">
        <f>人物卡!AC67</f>
        <v/>
      </c>
      <c r="K14" s="1643" t="str">
        <f>人物卡!AE67</f>
        <v/>
      </c>
      <c r="L14" s="1643" t="str">
        <f>人物卡!AG67</f>
        <v/>
      </c>
      <c r="M14" s="1698" t="str">
        <f>人物卡!AJ67</f>
        <v/>
      </c>
      <c r="N14" s="1685" t="str">
        <f>IF(Q14=0,"",人物卡!F27)</f>
        <v/>
      </c>
      <c r="O14" s="1686"/>
      <c r="P14" s="1686"/>
      <c r="Q14" s="1714">
        <f>IF(人物卡!R27-人物卡!J27=0,0,人物卡!R27)</f>
        <v>0</v>
      </c>
      <c r="R14" s="1715">
        <f>INT(Q14/2)</f>
        <v>0</v>
      </c>
      <c r="S14" s="1716">
        <f>INT(Q14/5)</f>
        <v>0</v>
      </c>
      <c r="T14" s="1720">
        <f>IF(W14=0,0,人物卡!AB27)</f>
        <v>0</v>
      </c>
      <c r="U14" s="1686" t="str">
        <f>IF(T14=0,"",人物卡!AD27)</f>
        <v/>
      </c>
      <c r="V14" s="1686"/>
      <c r="W14" s="1714">
        <f>IF(人物卡!AN27-人物卡!AF27=0,0,人物卡!AN27)</f>
        <v>0</v>
      </c>
      <c r="X14" s="1715">
        <f t="shared" si="2"/>
        <v>0</v>
      </c>
      <c r="Y14" s="1731">
        <f t="shared" si="3"/>
        <v>0</v>
      </c>
      <c r="Z14" s="1748">
        <f>人物卡!W149</f>
        <v>0</v>
      </c>
      <c r="AA14" s="1749"/>
      <c r="AB14" s="1749">
        <f>人物卡!AD149</f>
        <v>0</v>
      </c>
      <c r="AC14" s="1749"/>
      <c r="AD14" s="1749"/>
      <c r="AE14" s="1750"/>
      <c r="AF14" s="1730"/>
      <c r="AG14" s="1730"/>
      <c r="AH14" s="1730"/>
      <c r="AI14" s="1730"/>
      <c r="AJ14" s="1730"/>
      <c r="AK14" s="1730"/>
      <c r="AL14" s="1730"/>
      <c r="AM14" s="1730"/>
      <c r="AN14" s="1730"/>
    </row>
    <row r="15" customHeight="1" spans="2:40">
      <c r="B15" s="1639">
        <f>人物卡!B68</f>
        <v>0</v>
      </c>
      <c r="C15" s="1640">
        <f>人物卡!G68</f>
        <v>0</v>
      </c>
      <c r="D15" s="1641" t="str">
        <f>IF(人物卡!M68="请选择类型","",人物卡!M68)</f>
        <v/>
      </c>
      <c r="E15" s="1641">
        <f>人物卡!Q68</f>
        <v>0</v>
      </c>
      <c r="F15" s="1641">
        <f>人物卡!S68</f>
        <v>0</v>
      </c>
      <c r="G15" s="1641">
        <f>人物卡!U68</f>
        <v>0</v>
      </c>
      <c r="H15" s="1641" t="str">
        <f>人物卡!W68</f>
        <v/>
      </c>
      <c r="I15" s="1641" t="str">
        <f>人物卡!AA68</f>
        <v/>
      </c>
      <c r="J15" s="1641" t="str">
        <f>人物卡!AC68</f>
        <v/>
      </c>
      <c r="K15" s="1641" t="str">
        <f>人物卡!AE68</f>
        <v/>
      </c>
      <c r="L15" s="1641" t="str">
        <f>人物卡!AG68</f>
        <v/>
      </c>
      <c r="M15" s="1697" t="str">
        <f>人物卡!AJ68</f>
        <v/>
      </c>
      <c r="N15" s="1685" t="str">
        <f>IF(Q15=0,"",人物卡!F28)</f>
        <v/>
      </c>
      <c r="O15" s="1686"/>
      <c r="P15" s="1686"/>
      <c r="Q15" s="1714">
        <f>IF(人物卡!R28-人物卡!J28=0,0,人物卡!R28)</f>
        <v>0</v>
      </c>
      <c r="R15" s="1715">
        <f>INT(Q15/2)</f>
        <v>0</v>
      </c>
      <c r="S15" s="1716">
        <f>INT(Q15/5)</f>
        <v>0</v>
      </c>
      <c r="T15" s="1686" t="str">
        <f>IF(W15=0,"",人物卡!AB28)</f>
        <v/>
      </c>
      <c r="U15" s="1686"/>
      <c r="V15" s="1686"/>
      <c r="W15" s="1714">
        <f>IF(人物卡!AN28-人物卡!AF28=0,0,人物卡!AN28)</f>
        <v>0</v>
      </c>
      <c r="X15" s="1715">
        <f t="shared" si="2"/>
        <v>0</v>
      </c>
      <c r="Y15" s="1731">
        <f t="shared" si="3"/>
        <v>0</v>
      </c>
      <c r="Z15" s="1748">
        <f>人物卡!W150</f>
        <v>0</v>
      </c>
      <c r="AA15" s="1749"/>
      <c r="AB15" s="1749">
        <f>人物卡!AD150</f>
        <v>0</v>
      </c>
      <c r="AC15" s="1749"/>
      <c r="AD15" s="1749"/>
      <c r="AE15" s="1750"/>
      <c r="AF15" s="1730"/>
      <c r="AJ15" s="1730"/>
      <c r="AM15" s="1730"/>
      <c r="AN15" s="1730"/>
    </row>
    <row r="16" customHeight="1" spans="2:40">
      <c r="B16" s="1642">
        <f>人物卡!B69</f>
        <v>0</v>
      </c>
      <c r="C16" s="1644">
        <f>人物卡!G69</f>
        <v>0</v>
      </c>
      <c r="D16" s="1644" t="str">
        <f>IF(人物卡!M69="请选择类型","",人物卡!M69)</f>
        <v/>
      </c>
      <c r="E16" s="1644">
        <f>人物卡!Q69</f>
        <v>0</v>
      </c>
      <c r="F16" s="1644">
        <f>人物卡!S69</f>
        <v>0</v>
      </c>
      <c r="G16" s="1644">
        <f>人物卡!U69</f>
        <v>0</v>
      </c>
      <c r="H16" s="1644" t="str">
        <f>人物卡!W69</f>
        <v/>
      </c>
      <c r="I16" s="1644" t="str">
        <f>人物卡!AA69</f>
        <v/>
      </c>
      <c r="J16" s="1644" t="str">
        <f>人物卡!AC69</f>
        <v/>
      </c>
      <c r="K16" s="1644" t="str">
        <f>人物卡!AE69</f>
        <v/>
      </c>
      <c r="L16" s="1644" t="str">
        <f>人物卡!AG69</f>
        <v/>
      </c>
      <c r="M16" s="1698" t="str">
        <f>人物卡!AJ69</f>
        <v/>
      </c>
      <c r="N16" s="1685" t="str">
        <f>人物卡!F29</f>
        <v>闪避</v>
      </c>
      <c r="O16" s="1686"/>
      <c r="P16" s="1686"/>
      <c r="Q16" s="1717">
        <f>人物卡!R29</f>
        <v>0</v>
      </c>
      <c r="R16" s="1718">
        <f>IF(Q16=0,32767,INT(Q16/2))</f>
        <v>32767</v>
      </c>
      <c r="S16" s="1719">
        <f>IF(Q16=0,32767,INT(Q16/5))</f>
        <v>32767</v>
      </c>
      <c r="T16" s="1686" t="str">
        <f>IF(W16=0,"",人物卡!AB29)</f>
        <v/>
      </c>
      <c r="U16" s="1686"/>
      <c r="V16" s="1686"/>
      <c r="W16" s="1714">
        <f>IF(人物卡!AN29-人物卡!AF29=0,0,人物卡!AN29)</f>
        <v>0</v>
      </c>
      <c r="X16" s="1715">
        <f t="shared" si="2"/>
        <v>0</v>
      </c>
      <c r="Y16" s="1731">
        <f t="shared" si="3"/>
        <v>0</v>
      </c>
      <c r="Z16" s="1748">
        <f>人物卡!W151</f>
        <v>0</v>
      </c>
      <c r="AA16" s="1749"/>
      <c r="AB16" s="1749">
        <f>人物卡!AD151</f>
        <v>0</v>
      </c>
      <c r="AC16" s="1749"/>
      <c r="AD16" s="1749"/>
      <c r="AE16" s="1750"/>
      <c r="AF16" s="1730"/>
      <c r="AG16" s="1730"/>
      <c r="AH16" s="1730"/>
      <c r="AI16" s="1730"/>
      <c r="AJ16" s="1730"/>
      <c r="AK16" s="1730"/>
      <c r="AL16" s="1730"/>
      <c r="AM16" s="1730"/>
      <c r="AN16" s="1730"/>
    </row>
    <row r="17" customHeight="1" spans="2:40">
      <c r="B17" s="1608" t="s">
        <v>224</v>
      </c>
      <c r="C17" s="1609"/>
      <c r="D17" s="1609"/>
      <c r="E17" s="1609"/>
      <c r="F17" s="1609"/>
      <c r="G17" s="1609"/>
      <c r="H17" s="1609"/>
      <c r="I17" s="1609"/>
      <c r="J17" s="1609"/>
      <c r="K17" s="1609"/>
      <c r="L17" s="1609"/>
      <c r="M17" s="1681"/>
      <c r="N17" s="1685" t="str">
        <f>IF(Q17=0,"",人物卡!F30)</f>
        <v/>
      </c>
      <c r="O17" s="1686"/>
      <c r="P17" s="1686"/>
      <c r="Q17" s="1714">
        <f>IF(人物卡!R30-人物卡!J30=0,0,人物卡!R30)</f>
        <v>0</v>
      </c>
      <c r="R17" s="1715">
        <f t="shared" ref="R17:R35" si="4">INT(Q17/2)</f>
        <v>0</v>
      </c>
      <c r="S17" s="1716">
        <f t="shared" ref="S17:S35" si="5">INT(Q17/5)</f>
        <v>0</v>
      </c>
      <c r="T17" s="1686" t="str">
        <f>IF(W17=0,"",人物卡!AB30)</f>
        <v/>
      </c>
      <c r="U17" s="1686"/>
      <c r="V17" s="1686"/>
      <c r="W17" s="1714">
        <f>IF(人物卡!AN30-人物卡!AF30=0,0,人物卡!AN30)</f>
        <v>0</v>
      </c>
      <c r="X17" s="1715">
        <f t="shared" si="2"/>
        <v>0</v>
      </c>
      <c r="Y17" s="1731">
        <f t="shared" si="3"/>
        <v>0</v>
      </c>
      <c r="Z17" s="1751">
        <f>人物卡!W152</f>
        <v>0</v>
      </c>
      <c r="AA17" s="1752"/>
      <c r="AB17" s="1752">
        <f>人物卡!AD152</f>
        <v>0</v>
      </c>
      <c r="AC17" s="1752"/>
      <c r="AD17" s="1752"/>
      <c r="AE17" s="1753"/>
      <c r="AF17" s="1730"/>
      <c r="AM17" s="1730"/>
      <c r="AN17" s="1730"/>
    </row>
    <row r="18" customHeight="1" spans="2:40">
      <c r="B18" s="1645" t="s">
        <v>93</v>
      </c>
      <c r="C18" s="1646"/>
      <c r="D18" s="1646"/>
      <c r="E18" s="1646" t="s">
        <v>229</v>
      </c>
      <c r="F18" s="1646"/>
      <c r="G18" s="1646" t="s">
        <v>230</v>
      </c>
      <c r="H18" s="1646"/>
      <c r="I18" s="1646" t="s">
        <v>231</v>
      </c>
      <c r="J18" s="1646"/>
      <c r="K18" s="1646" t="s">
        <v>431</v>
      </c>
      <c r="L18" s="1646"/>
      <c r="M18" s="1699" t="s">
        <v>233</v>
      </c>
      <c r="N18" s="1685" t="str">
        <f>IF(Q18=0,"",人物卡!F31)</f>
        <v/>
      </c>
      <c r="O18" s="1686"/>
      <c r="P18" s="1686"/>
      <c r="Q18" s="1714">
        <f>IF(人物卡!R31-人物卡!J31=0,0,人物卡!R31)</f>
        <v>0</v>
      </c>
      <c r="R18" s="1715">
        <f t="shared" si="4"/>
        <v>0</v>
      </c>
      <c r="S18" s="1716">
        <f t="shared" si="5"/>
        <v>0</v>
      </c>
      <c r="T18" s="1720">
        <f>IF(W18=0,0,"科学：")</f>
        <v>0</v>
      </c>
      <c r="U18" s="1686" t="str">
        <f>IF(T18=0,"",人物卡!AD31)</f>
        <v/>
      </c>
      <c r="V18" s="1686"/>
      <c r="W18" s="1714">
        <f>IF(人物卡!AN31-人物卡!AF31=0,0,人物卡!AN31)</f>
        <v>0</v>
      </c>
      <c r="X18" s="1715">
        <f t="shared" si="2"/>
        <v>0</v>
      </c>
      <c r="Y18" s="1731">
        <f t="shared" si="3"/>
        <v>0</v>
      </c>
      <c r="Z18" s="1665"/>
      <c r="AA18" s="1754"/>
      <c r="AB18" s="1754"/>
      <c r="AC18" s="1754"/>
      <c r="AD18" s="1754"/>
      <c r="AE18" s="1755"/>
      <c r="AF18" s="1730"/>
      <c r="AM18" s="1730"/>
      <c r="AN18" s="1730"/>
    </row>
    <row r="19" customHeight="1" spans="2:40">
      <c r="B19" s="1647" t="str">
        <f>人物卡!B74</f>
        <v>0%/0%/0%</v>
      </c>
      <c r="C19" s="1648"/>
      <c r="D19" s="1648"/>
      <c r="E19" s="1648" t="str">
        <f>人物卡!F74</f>
        <v>身无分文</v>
      </c>
      <c r="F19" s="1648"/>
      <c r="G19" s="1649">
        <f>人物卡!I74</f>
        <v>1500</v>
      </c>
      <c r="H19" s="1649"/>
      <c r="I19" s="1648" t="str">
        <f>人物卡!L74</f>
        <v>没有</v>
      </c>
      <c r="J19" s="1648"/>
      <c r="K19" s="1649">
        <f>人物卡!O74</f>
        <v>1500</v>
      </c>
      <c r="L19" s="1649"/>
      <c r="M19" s="1700" t="str">
        <f>人物卡!S74</f>
        <v>日元</v>
      </c>
      <c r="N19" s="1685" t="str">
        <f>IF(Q19=0,"",人物卡!F32)</f>
        <v/>
      </c>
      <c r="O19" s="1686"/>
      <c r="P19" s="1686"/>
      <c r="Q19" s="1714">
        <f>IF(人物卡!R32-人物卡!J32=0,0,人物卡!R32)</f>
        <v>0</v>
      </c>
      <c r="R19" s="1715">
        <f t="shared" si="4"/>
        <v>0</v>
      </c>
      <c r="S19" s="1716">
        <f t="shared" si="5"/>
        <v>0</v>
      </c>
      <c r="T19" s="1720">
        <f>IF(W19=0,0,"科学：")</f>
        <v>0</v>
      </c>
      <c r="U19" s="1686" t="str">
        <f>IF(T19=0,"",人物卡!AD32)</f>
        <v/>
      </c>
      <c r="V19" s="1686"/>
      <c r="W19" s="1714">
        <f>IF(人物卡!AN32-人物卡!AF32=0,0,人物卡!AN32)</f>
        <v>0</v>
      </c>
      <c r="X19" s="1715">
        <f t="shared" si="2"/>
        <v>0</v>
      </c>
      <c r="Y19" s="1731">
        <f t="shared" si="3"/>
        <v>0</v>
      </c>
      <c r="Z19" s="1665"/>
      <c r="AA19" s="1754"/>
      <c r="AB19" s="1754"/>
      <c r="AC19" s="1754"/>
      <c r="AD19" s="1754"/>
      <c r="AE19" s="1755"/>
      <c r="AF19" s="1730"/>
      <c r="AM19" s="1730"/>
      <c r="AN19" s="1730"/>
    </row>
    <row r="20" customHeight="1" spans="2:40">
      <c r="B20" s="1650">
        <f>人物卡!L75</f>
        <v>0</v>
      </c>
      <c r="C20" s="1651"/>
      <c r="D20" s="1651"/>
      <c r="E20" s="1651"/>
      <c r="F20" s="1651"/>
      <c r="G20" s="1651"/>
      <c r="H20" s="1651"/>
      <c r="I20" s="1651"/>
      <c r="J20" s="1651"/>
      <c r="K20" s="1651"/>
      <c r="L20" s="1651"/>
      <c r="M20" s="1701"/>
      <c r="N20" s="1685" t="str">
        <f>IF(Q20=0,"",人物卡!F33)</f>
        <v/>
      </c>
      <c r="O20" s="1686"/>
      <c r="P20" s="1686"/>
      <c r="Q20" s="1714">
        <f>IF(人物卡!R33-人物卡!J33=0,0,人物卡!R33)</f>
        <v>0</v>
      </c>
      <c r="R20" s="1715">
        <f t="shared" si="4"/>
        <v>0</v>
      </c>
      <c r="S20" s="1716">
        <f t="shared" si="5"/>
        <v>0</v>
      </c>
      <c r="T20" s="1720">
        <f>IF(W20=0,0,"科学：")</f>
        <v>0</v>
      </c>
      <c r="U20" s="1686" t="str">
        <f>IF(T20=0,"",人物卡!AD33)</f>
        <v/>
      </c>
      <c r="V20" s="1686"/>
      <c r="W20" s="1714">
        <f>IF(人物卡!AN33-人物卡!AF33=0,0,人物卡!AN33)</f>
        <v>0</v>
      </c>
      <c r="X20" s="1715">
        <f t="shared" si="2"/>
        <v>0</v>
      </c>
      <c r="Y20" s="1731">
        <f t="shared" si="3"/>
        <v>0</v>
      </c>
      <c r="Z20" s="1756"/>
      <c r="AA20" s="1757"/>
      <c r="AB20" s="1757"/>
      <c r="AC20" s="1757"/>
      <c r="AD20" s="1757"/>
      <c r="AE20" s="1758"/>
      <c r="AF20" s="1730"/>
      <c r="AM20" s="1730"/>
      <c r="AN20" s="1730"/>
    </row>
    <row r="21" customHeight="1" spans="2:40">
      <c r="B21" s="1608" t="s">
        <v>432</v>
      </c>
      <c r="C21" s="1609"/>
      <c r="D21" s="1609"/>
      <c r="E21" s="1609"/>
      <c r="F21" s="1609"/>
      <c r="G21" s="1609"/>
      <c r="H21" s="1609"/>
      <c r="I21" s="1609"/>
      <c r="J21" s="1609"/>
      <c r="K21" s="1609"/>
      <c r="L21" s="1609"/>
      <c r="M21" s="1681"/>
      <c r="N21" s="1691">
        <f>IF(Q21=0,0,"格斗：")</f>
        <v>0</v>
      </c>
      <c r="O21" s="1686" t="str">
        <f>IF(N21=0,"",人物卡!H34)</f>
        <v/>
      </c>
      <c r="P21" s="1686"/>
      <c r="Q21" s="1714">
        <f>IF(人物卡!R34-人物卡!J34=0,0,人物卡!R34)</f>
        <v>0</v>
      </c>
      <c r="R21" s="1715">
        <f t="shared" si="4"/>
        <v>0</v>
      </c>
      <c r="S21" s="1716">
        <f t="shared" si="5"/>
        <v>0</v>
      </c>
      <c r="T21" s="1686" t="str">
        <f>IF(W21=0,"",人物卡!AB34)</f>
        <v/>
      </c>
      <c r="U21" s="1686"/>
      <c r="V21" s="1686"/>
      <c r="W21" s="1714">
        <f>IF(人物卡!AN34-人物卡!AF34=0,0,人物卡!AN34)</f>
        <v>0</v>
      </c>
      <c r="X21" s="1715">
        <f t="shared" si="2"/>
        <v>0</v>
      </c>
      <c r="Y21" s="1731">
        <f t="shared" si="3"/>
        <v>0</v>
      </c>
      <c r="Z21" s="1742" t="s">
        <v>433</v>
      </c>
      <c r="AA21" s="1743"/>
      <c r="AB21" s="1743"/>
      <c r="AC21" s="1743"/>
      <c r="AD21" s="1743"/>
      <c r="AE21" s="1744"/>
      <c r="AF21" s="1730"/>
      <c r="AM21" s="1730"/>
      <c r="AN21" s="1730"/>
    </row>
    <row r="22" customHeight="1" spans="2:40">
      <c r="B22" s="1652" t="e">
        <f>人物卡!#REF!</f>
        <v>#REF!</v>
      </c>
      <c r="C22" s="1653"/>
      <c r="D22" s="1653"/>
      <c r="E22" s="1653" t="e">
        <f>人物卡!#REF!</f>
        <v>#REF!</v>
      </c>
      <c r="F22" s="1653"/>
      <c r="G22" s="1653"/>
      <c r="H22" s="1653" t="e">
        <f>人物卡!#REF!</f>
        <v>#REF!</v>
      </c>
      <c r="I22" s="1653"/>
      <c r="J22" s="1653"/>
      <c r="K22" s="1653">
        <f>人物卡!F89</f>
        <v>0</v>
      </c>
      <c r="L22" s="1653"/>
      <c r="M22" s="1702"/>
      <c r="N22" s="1691">
        <f>IF(Q22=0,0,"格斗：")</f>
        <v>0</v>
      </c>
      <c r="O22" s="1686" t="str">
        <f>IF(N22=0,"",人物卡!H35)</f>
        <v/>
      </c>
      <c r="P22" s="1686"/>
      <c r="Q22" s="1714">
        <f>IF(人物卡!R35-人物卡!J35=0,0,人物卡!R35)</f>
        <v>0</v>
      </c>
      <c r="R22" s="1715">
        <f t="shared" si="4"/>
        <v>0</v>
      </c>
      <c r="S22" s="1716">
        <f t="shared" si="5"/>
        <v>0</v>
      </c>
      <c r="T22" s="1686" t="str">
        <f>IF(W22=0,"",人物卡!AB35)</f>
        <v/>
      </c>
      <c r="U22" s="1686"/>
      <c r="V22" s="1686"/>
      <c r="W22" s="1714">
        <f>IF(人物卡!AN35-人物卡!AF35=0,0,人物卡!AN35)</f>
        <v>0</v>
      </c>
      <c r="X22" s="1715">
        <f t="shared" si="2"/>
        <v>0</v>
      </c>
      <c r="Y22" s="1731">
        <f t="shared" si="3"/>
        <v>0</v>
      </c>
      <c r="Z22" s="1759" t="s">
        <v>434</v>
      </c>
      <c r="AA22" s="1760"/>
      <c r="AB22" s="1760"/>
      <c r="AC22" s="1760"/>
      <c r="AD22" s="1760" t="s">
        <v>435</v>
      </c>
      <c r="AE22" s="1761"/>
      <c r="AF22" s="1730"/>
      <c r="AM22" s="1730"/>
      <c r="AN22" s="1730"/>
    </row>
    <row r="23" customHeight="1" spans="2:40">
      <c r="B23" s="1654">
        <f>人物卡!F90</f>
        <v>0</v>
      </c>
      <c r="C23" s="1655"/>
      <c r="D23" s="1655"/>
      <c r="E23" s="1655">
        <f>人物卡!F91</f>
        <v>0</v>
      </c>
      <c r="F23" s="1655"/>
      <c r="G23" s="1655"/>
      <c r="H23" s="1655">
        <f>人物卡!F92</f>
        <v>0</v>
      </c>
      <c r="I23" s="1655"/>
      <c r="J23" s="1655"/>
      <c r="K23" s="1655">
        <f>人物卡!F100</f>
        <v>0</v>
      </c>
      <c r="L23" s="1655"/>
      <c r="M23" s="1703"/>
      <c r="N23" s="1691">
        <f>IF(Q23=0,0,"格斗：")</f>
        <v>0</v>
      </c>
      <c r="O23" s="1686" t="str">
        <f>IF(N23=0,"",人物卡!H36)</f>
        <v/>
      </c>
      <c r="P23" s="1686"/>
      <c r="Q23" s="1714">
        <f>IF(人物卡!R36-人物卡!J36=0,0,人物卡!R36)</f>
        <v>0</v>
      </c>
      <c r="R23" s="1715">
        <f t="shared" si="4"/>
        <v>0</v>
      </c>
      <c r="S23" s="1716">
        <f t="shared" si="5"/>
        <v>0</v>
      </c>
      <c r="T23" s="1686" t="str">
        <f>IF(W23=0,"",人物卡!AB36)</f>
        <v/>
      </c>
      <c r="U23" s="1686"/>
      <c r="V23" s="1686"/>
      <c r="W23" s="1714">
        <f>IF(人物卡!AN36-人物卡!AF36=0,0,人物卡!AN36)</f>
        <v>0</v>
      </c>
      <c r="X23" s="1715">
        <f t="shared" si="2"/>
        <v>0</v>
      </c>
      <c r="Y23" s="1731">
        <f t="shared" si="3"/>
        <v>0</v>
      </c>
      <c r="Z23" s="1654" t="str">
        <f>人物卡!W110</f>
        <v>示例：死灵之书</v>
      </c>
      <c r="AA23" s="1667"/>
      <c r="AB23" s="1667"/>
      <c r="AC23" s="1667"/>
      <c r="AD23" s="1667" t="str">
        <f>人物卡!AR110</f>
        <v>幸存</v>
      </c>
      <c r="AE23" s="1703"/>
      <c r="AF23" s="1730"/>
      <c r="AM23" s="1730"/>
      <c r="AN23" s="1730"/>
    </row>
    <row r="24" customHeight="1" spans="2:40">
      <c r="B24" s="1652">
        <f>人物卡!F101</f>
        <v>0</v>
      </c>
      <c r="C24" s="1653"/>
      <c r="D24" s="1653"/>
      <c r="E24" s="1653">
        <f>人物卡!F102</f>
        <v>0</v>
      </c>
      <c r="F24" s="1653"/>
      <c r="G24" s="1653"/>
      <c r="H24" s="1653" t="e">
        <f>人物卡!#REF!</f>
        <v>#REF!</v>
      </c>
      <c r="I24" s="1653"/>
      <c r="J24" s="1653"/>
      <c r="K24" s="1653" t="e">
        <f>人物卡!#REF!</f>
        <v>#REF!</v>
      </c>
      <c r="L24" s="1653"/>
      <c r="M24" s="1702"/>
      <c r="N24" s="1691">
        <f>IF(Q24=0,0,"格斗：")</f>
        <v>0</v>
      </c>
      <c r="O24" s="1686" t="str">
        <f>IF(N24=0,"",人物卡!H37)</f>
        <v/>
      </c>
      <c r="P24" s="1686"/>
      <c r="Q24" s="1714">
        <f>IF(人物卡!R37-人物卡!J37=0,0,人物卡!R37)</f>
        <v>0</v>
      </c>
      <c r="R24" s="1715">
        <f t="shared" si="4"/>
        <v>0</v>
      </c>
      <c r="S24" s="1716">
        <f t="shared" si="5"/>
        <v>0</v>
      </c>
      <c r="T24" s="1720">
        <f>IF(W24=0,0,人物卡!AB37)</f>
        <v>0</v>
      </c>
      <c r="U24" s="1686" t="str">
        <f>IF(T24=0,"",人物卡!AD37)</f>
        <v/>
      </c>
      <c r="V24" s="1686"/>
      <c r="W24" s="1714">
        <f>IF(人物卡!AN37-人物卡!AF37=0,0,人物卡!AN37)</f>
        <v>0</v>
      </c>
      <c r="X24" s="1715">
        <f t="shared" si="2"/>
        <v>0</v>
      </c>
      <c r="Y24" s="1731">
        <f t="shared" si="3"/>
        <v>0</v>
      </c>
      <c r="Z24" s="1654">
        <f>人物卡!W111</f>
        <v>0</v>
      </c>
      <c r="AA24" s="1667"/>
      <c r="AB24" s="1667"/>
      <c r="AC24" s="1667"/>
      <c r="AD24" s="1667">
        <f>人物卡!AR111</f>
        <v>0</v>
      </c>
      <c r="AE24" s="1703"/>
      <c r="AF24" s="1730"/>
      <c r="AM24" s="1730"/>
      <c r="AN24" s="1730"/>
    </row>
    <row r="25" customHeight="1" spans="2:40">
      <c r="B25" s="1654" t="e">
        <f>人物卡!#REF!</f>
        <v>#REF!</v>
      </c>
      <c r="C25" s="1655"/>
      <c r="D25" s="1655"/>
      <c r="E25" s="1655">
        <f>人物卡!N89</f>
        <v>0</v>
      </c>
      <c r="F25" s="1655"/>
      <c r="G25" s="1655"/>
      <c r="H25" s="1655">
        <f>人物卡!N90</f>
        <v>0</v>
      </c>
      <c r="I25" s="1655"/>
      <c r="J25" s="1655"/>
      <c r="K25" s="1655">
        <f>人物卡!N91</f>
        <v>0</v>
      </c>
      <c r="L25" s="1655"/>
      <c r="M25" s="1703"/>
      <c r="N25" s="1691">
        <f>IF(Q25=0,0,"射击：")</f>
        <v>0</v>
      </c>
      <c r="O25" s="1686" t="str">
        <f>IF(N25=0,"",人物卡!H38)</f>
        <v/>
      </c>
      <c r="P25" s="1686"/>
      <c r="Q25" s="1714">
        <f>IF(人物卡!R38-人物卡!J38=0,0,人物卡!R38)</f>
        <v>0</v>
      </c>
      <c r="R25" s="1715">
        <f t="shared" si="4"/>
        <v>0</v>
      </c>
      <c r="S25" s="1716">
        <f t="shared" si="5"/>
        <v>0</v>
      </c>
      <c r="T25" s="1686" t="str">
        <f>IF(W25=0,"",人物卡!AB38)</f>
        <v/>
      </c>
      <c r="U25" s="1686"/>
      <c r="V25" s="1686"/>
      <c r="W25" s="1714">
        <f>IF(人物卡!AN38-人物卡!AF38=0,0,人物卡!AN38)</f>
        <v>0</v>
      </c>
      <c r="X25" s="1715">
        <f t="shared" si="2"/>
        <v>0</v>
      </c>
      <c r="Y25" s="1731">
        <f t="shared" si="3"/>
        <v>0</v>
      </c>
      <c r="Z25" s="1654">
        <f>人物卡!W112</f>
        <v>0</v>
      </c>
      <c r="AA25" s="1667"/>
      <c r="AB25" s="1667"/>
      <c r="AC25" s="1667"/>
      <c r="AD25" s="1667">
        <f>人物卡!AR112</f>
        <v>0</v>
      </c>
      <c r="AE25" s="1703"/>
      <c r="AF25" s="1730"/>
      <c r="AM25" s="1730"/>
      <c r="AN25" s="1730"/>
    </row>
    <row r="26" customHeight="1" spans="2:40">
      <c r="B26" s="1656">
        <f>人物卡!N92</f>
        <v>0</v>
      </c>
      <c r="C26" s="1657"/>
      <c r="D26" s="1657"/>
      <c r="E26" s="1657">
        <f>人物卡!N100</f>
        <v>0</v>
      </c>
      <c r="F26" s="1657"/>
      <c r="G26" s="1657"/>
      <c r="H26" s="1657">
        <f>人物卡!N101</f>
        <v>0</v>
      </c>
      <c r="I26" s="1657"/>
      <c r="J26" s="1657"/>
      <c r="K26" s="1657">
        <f>人物卡!N102</f>
        <v>0</v>
      </c>
      <c r="L26" s="1657"/>
      <c r="M26" s="1704"/>
      <c r="N26" s="1691">
        <f>IF(Q26=0,0,"射击：")</f>
        <v>0</v>
      </c>
      <c r="O26" s="1686" t="str">
        <f>IF(N26=0,"",人物卡!H39)</f>
        <v/>
      </c>
      <c r="P26" s="1686"/>
      <c r="Q26" s="1714">
        <f>IF(人物卡!R39-人物卡!J39=0,0,人物卡!R39)</f>
        <v>0</v>
      </c>
      <c r="R26" s="1715">
        <f t="shared" si="4"/>
        <v>0</v>
      </c>
      <c r="S26" s="1716">
        <f t="shared" si="5"/>
        <v>0</v>
      </c>
      <c r="T26" s="1686" t="str">
        <f>IF(W26=0,"",人物卡!AB39)</f>
        <v/>
      </c>
      <c r="U26" s="1686"/>
      <c r="V26" s="1686"/>
      <c r="W26" s="1714">
        <f>IF(人物卡!AN39-人物卡!AF39=0,0,人物卡!AN39)</f>
        <v>0</v>
      </c>
      <c r="X26" s="1715">
        <f t="shared" si="2"/>
        <v>0</v>
      </c>
      <c r="Y26" s="1731">
        <f t="shared" si="3"/>
        <v>0</v>
      </c>
      <c r="Z26" s="1654">
        <f>人物卡!W113</f>
        <v>0</v>
      </c>
      <c r="AA26" s="1667"/>
      <c r="AB26" s="1667"/>
      <c r="AC26" s="1667"/>
      <c r="AD26" s="1667">
        <f>人物卡!AR113</f>
        <v>0</v>
      </c>
      <c r="AE26" s="1703"/>
      <c r="AF26" s="1730"/>
      <c r="AM26" s="1730"/>
      <c r="AN26" s="1730"/>
    </row>
    <row r="27" customHeight="1" spans="2:40">
      <c r="B27" s="1658" t="s">
        <v>436</v>
      </c>
      <c r="C27" s="1659"/>
      <c r="D27" s="1659"/>
      <c r="E27" s="1659"/>
      <c r="F27" s="1659"/>
      <c r="G27" s="1659"/>
      <c r="H27" s="1659"/>
      <c r="I27" s="1659"/>
      <c r="J27" s="1659"/>
      <c r="K27" s="1659"/>
      <c r="L27" s="1659"/>
      <c r="M27" s="1705"/>
      <c r="N27" s="1691">
        <f>IF(Q27=0,0,"射击：")</f>
        <v>0</v>
      </c>
      <c r="O27" s="1686" t="str">
        <f>IF(N27=0,"",人物卡!H40)</f>
        <v/>
      </c>
      <c r="P27" s="1686"/>
      <c r="Q27" s="1714">
        <f>IF(人物卡!R40-人物卡!J40=0,0,人物卡!R40)</f>
        <v>0</v>
      </c>
      <c r="R27" s="1715">
        <f t="shared" si="4"/>
        <v>0</v>
      </c>
      <c r="S27" s="1716">
        <f t="shared" si="5"/>
        <v>0</v>
      </c>
      <c r="T27" s="1686" t="str">
        <f>IF(W27=0,"",人物卡!AB40)</f>
        <v/>
      </c>
      <c r="U27" s="1686"/>
      <c r="V27" s="1686"/>
      <c r="W27" s="1714">
        <f>IF(人物卡!AN40-人物卡!AF40=0,0,人物卡!AN40)</f>
        <v>0</v>
      </c>
      <c r="X27" s="1715">
        <f t="shared" si="2"/>
        <v>0</v>
      </c>
      <c r="Y27" s="1731">
        <f t="shared" si="3"/>
        <v>0</v>
      </c>
      <c r="Z27" s="1654">
        <f>人物卡!W114</f>
        <v>0</v>
      </c>
      <c r="AA27" s="1667"/>
      <c r="AB27" s="1667"/>
      <c r="AC27" s="1667"/>
      <c r="AD27" s="1667">
        <f>人物卡!AR114</f>
        <v>0</v>
      </c>
      <c r="AE27" s="1703"/>
      <c r="AF27" s="1730"/>
      <c r="AM27" s="1730"/>
      <c r="AN27" s="1730"/>
    </row>
    <row r="28" customHeight="1" spans="2:40">
      <c r="B28" s="1660" t="s">
        <v>437</v>
      </c>
      <c r="C28" s="1661">
        <f>人物卡!AA73</f>
        <v>0</v>
      </c>
      <c r="D28" s="1662"/>
      <c r="E28" s="1662"/>
      <c r="F28" s="1662"/>
      <c r="G28" s="1663" t="s">
        <v>226</v>
      </c>
      <c r="H28" s="1664" t="str">
        <f>人物卡!W89</f>
        <v>此处介绍角色的属性/性格/外观/特长，解释携带物品合理性，完善导入背景。↓↓↓↓↓↓</v>
      </c>
      <c r="I28" s="1706"/>
      <c r="J28" s="1706"/>
      <c r="K28" s="1706"/>
      <c r="L28" s="1706"/>
      <c r="M28" s="1707"/>
      <c r="N28" s="1691">
        <f>IF(Q28=0,0,"射击：")</f>
        <v>0</v>
      </c>
      <c r="O28" s="1686" t="str">
        <f>IF(N28=0,"",人物卡!H41)</f>
        <v/>
      </c>
      <c r="P28" s="1686"/>
      <c r="Q28" s="1714">
        <f>IF(人物卡!R41-人物卡!J41=0,0,人物卡!R41)</f>
        <v>0</v>
      </c>
      <c r="R28" s="1715">
        <f t="shared" si="4"/>
        <v>0</v>
      </c>
      <c r="S28" s="1716">
        <f t="shared" si="5"/>
        <v>0</v>
      </c>
      <c r="T28" s="1686" t="str">
        <f>IF(W28=0,"",人物卡!AB41)</f>
        <v/>
      </c>
      <c r="U28" s="1686"/>
      <c r="V28" s="1686"/>
      <c r="W28" s="1714">
        <f>IF(人物卡!AN41-人物卡!AF41=0,0,人物卡!AN41)</f>
        <v>0</v>
      </c>
      <c r="X28" s="1715">
        <f t="shared" si="2"/>
        <v>0</v>
      </c>
      <c r="Y28" s="1731">
        <f t="shared" si="3"/>
        <v>0</v>
      </c>
      <c r="Z28" s="1654">
        <f>人物卡!W115</f>
        <v>0</v>
      </c>
      <c r="AA28" s="1667"/>
      <c r="AB28" s="1667"/>
      <c r="AC28" s="1667"/>
      <c r="AD28" s="1667">
        <f>人物卡!AR115</f>
        <v>0</v>
      </c>
      <c r="AE28" s="1703"/>
      <c r="AF28" s="1730"/>
      <c r="AM28" s="1730"/>
      <c r="AN28" s="1730"/>
    </row>
    <row r="29" customHeight="1" spans="2:40">
      <c r="B29" s="1665" t="s">
        <v>438</v>
      </c>
      <c r="C29" s="1666">
        <f>人物卡!AA75</f>
        <v>0</v>
      </c>
      <c r="D29" s="1667"/>
      <c r="E29" s="1667"/>
      <c r="F29" s="1667"/>
      <c r="G29" s="1663" t="str">
        <f>人物卡!AR75</f>
        <v>☐</v>
      </c>
      <c r="H29" s="1668"/>
      <c r="I29" s="1708"/>
      <c r="J29" s="1708"/>
      <c r="K29" s="1708"/>
      <c r="L29" s="1708"/>
      <c r="M29" s="1709"/>
      <c r="N29" s="1685" t="str">
        <f>IF(Q29=0,"",人物卡!F42)</f>
        <v/>
      </c>
      <c r="O29" s="1686"/>
      <c r="P29" s="1686"/>
      <c r="Q29" s="1714">
        <f>IF(人物卡!R42-人物卡!J42=0,0,人物卡!R42)</f>
        <v>0</v>
      </c>
      <c r="R29" s="1715">
        <f t="shared" si="4"/>
        <v>0</v>
      </c>
      <c r="S29" s="1716">
        <f t="shared" si="5"/>
        <v>0</v>
      </c>
      <c r="T29" s="1686" t="str">
        <f>IF(W29=0,"",人物卡!AB47)</f>
        <v/>
      </c>
      <c r="U29" s="1686"/>
      <c r="V29" s="1686"/>
      <c r="W29" s="1714">
        <f>IF(人物卡!AN42-人物卡!AF42=0,0,人物卡!AN42)</f>
        <v>0</v>
      </c>
      <c r="X29" s="1715">
        <f t="shared" si="2"/>
        <v>0</v>
      </c>
      <c r="Y29" s="1731">
        <f t="shared" si="3"/>
        <v>0</v>
      </c>
      <c r="Z29" s="1654">
        <f>人物卡!W116</f>
        <v>0</v>
      </c>
      <c r="AA29" s="1667"/>
      <c r="AB29" s="1667"/>
      <c r="AC29" s="1667"/>
      <c r="AD29" s="1667">
        <f>人物卡!AR116</f>
        <v>0</v>
      </c>
      <c r="AE29" s="1703"/>
      <c r="AF29" s="1730"/>
      <c r="AM29" s="1730"/>
      <c r="AN29" s="1730"/>
    </row>
    <row r="30" customHeight="1" spans="2:40">
      <c r="B30" s="1660" t="s">
        <v>439</v>
      </c>
      <c r="C30" s="1666">
        <f>人物卡!AA77</f>
        <v>0</v>
      </c>
      <c r="D30" s="1667"/>
      <c r="E30" s="1667"/>
      <c r="F30" s="1667"/>
      <c r="G30" s="1663" t="str">
        <f>人物卡!AR77</f>
        <v>☐</v>
      </c>
      <c r="H30" s="1668"/>
      <c r="I30" s="1708"/>
      <c r="J30" s="1708"/>
      <c r="K30" s="1708"/>
      <c r="L30" s="1708"/>
      <c r="M30" s="1709"/>
      <c r="N30" s="1685" t="str">
        <f>IF(Q30=0,"",人物卡!F43)</f>
        <v/>
      </c>
      <c r="O30" s="1686"/>
      <c r="P30" s="1686"/>
      <c r="Q30" s="1714">
        <f>IF(人物卡!R43-人物卡!J43=0,0,人物卡!R43)</f>
        <v>0</v>
      </c>
      <c r="R30" s="1715">
        <f t="shared" si="4"/>
        <v>0</v>
      </c>
      <c r="S30" s="1716">
        <f t="shared" si="5"/>
        <v>0</v>
      </c>
      <c r="T30" s="1686" t="str">
        <f>IF(W30=0,"",人物卡!AB43)</f>
        <v/>
      </c>
      <c r="U30" s="1686"/>
      <c r="V30" s="1686"/>
      <c r="W30" s="1714">
        <f>IF(人物卡!AN43-人物卡!AF43=0,0,人物卡!AN43)</f>
        <v>0</v>
      </c>
      <c r="X30" s="1715">
        <f t="shared" si="2"/>
        <v>0</v>
      </c>
      <c r="Y30" s="1731">
        <f t="shared" si="3"/>
        <v>0</v>
      </c>
      <c r="Z30" s="1654">
        <f>人物卡!W117</f>
        <v>0</v>
      </c>
      <c r="AA30" s="1667"/>
      <c r="AB30" s="1667"/>
      <c r="AC30" s="1667"/>
      <c r="AD30" s="1667">
        <f>人物卡!AR117</f>
        <v>0</v>
      </c>
      <c r="AE30" s="1703"/>
      <c r="AF30" s="1730"/>
      <c r="AM30" s="1730"/>
      <c r="AN30" s="1730"/>
    </row>
    <row r="31" customHeight="1" spans="2:40">
      <c r="B31" s="1665" t="s">
        <v>440</v>
      </c>
      <c r="C31" s="1666">
        <f>人物卡!AA79</f>
        <v>0</v>
      </c>
      <c r="D31" s="1667"/>
      <c r="E31" s="1667"/>
      <c r="F31" s="1667"/>
      <c r="G31" s="1663" t="str">
        <f>人物卡!AR79</f>
        <v>☐</v>
      </c>
      <c r="H31" s="1668"/>
      <c r="I31" s="1708"/>
      <c r="J31" s="1708"/>
      <c r="K31" s="1708"/>
      <c r="L31" s="1708"/>
      <c r="M31" s="1709"/>
      <c r="N31" s="1685" t="str">
        <f>IF(Q31=0,"",人物卡!F44)</f>
        <v/>
      </c>
      <c r="O31" s="1686"/>
      <c r="P31" s="1686"/>
      <c r="Q31" s="1714">
        <f>IF(人物卡!R44-人物卡!J44=0,0,人物卡!R44)</f>
        <v>0</v>
      </c>
      <c r="R31" s="1715">
        <f t="shared" si="4"/>
        <v>0</v>
      </c>
      <c r="S31" s="1716">
        <f t="shared" si="5"/>
        <v>0</v>
      </c>
      <c r="T31" s="1686" t="str">
        <f>IF(W31=0,"",人物卡!AB44)</f>
        <v/>
      </c>
      <c r="U31" s="1686"/>
      <c r="V31" s="1686"/>
      <c r="W31" s="1714">
        <f>IF(人物卡!AN44-人物卡!AF44=0,0,人物卡!AN44)</f>
        <v>0</v>
      </c>
      <c r="X31" s="1715">
        <f t="shared" si="2"/>
        <v>0</v>
      </c>
      <c r="Y31" s="1731">
        <f t="shared" si="3"/>
        <v>0</v>
      </c>
      <c r="Z31" s="1654">
        <f>人物卡!W118</f>
        <v>0</v>
      </c>
      <c r="AA31" s="1667"/>
      <c r="AB31" s="1667"/>
      <c r="AC31" s="1667"/>
      <c r="AD31" s="1667">
        <f>人物卡!AR118</f>
        <v>0</v>
      </c>
      <c r="AE31" s="1703"/>
      <c r="AF31" s="1730"/>
      <c r="AG31" s="1730"/>
      <c r="AH31" s="1730"/>
      <c r="AI31" s="1730"/>
      <c r="AJ31" s="1730"/>
      <c r="AK31" s="1730"/>
      <c r="AL31" s="1730"/>
      <c r="AM31" s="1730"/>
      <c r="AN31" s="1730"/>
    </row>
    <row r="32" customHeight="1" spans="2:40">
      <c r="B32" s="1660" t="s">
        <v>441</v>
      </c>
      <c r="C32" s="1666">
        <f>人物卡!AA81</f>
        <v>0</v>
      </c>
      <c r="D32" s="1667"/>
      <c r="E32" s="1667"/>
      <c r="F32" s="1667"/>
      <c r="G32" s="1663" t="str">
        <f>人物卡!AR81</f>
        <v>☐</v>
      </c>
      <c r="H32" s="1668"/>
      <c r="I32" s="1708"/>
      <c r="J32" s="1708"/>
      <c r="K32" s="1708"/>
      <c r="L32" s="1708"/>
      <c r="M32" s="1709"/>
      <c r="N32" s="1685" t="str">
        <f>IF(Q32=0,"",人物卡!F45)</f>
        <v/>
      </c>
      <c r="O32" s="1686"/>
      <c r="P32" s="1686"/>
      <c r="Q32" s="1714">
        <f>IF(人物卡!R45-人物卡!J45=0,0,人物卡!R45)</f>
        <v>0</v>
      </c>
      <c r="R32" s="1715">
        <f t="shared" si="4"/>
        <v>0</v>
      </c>
      <c r="S32" s="1716">
        <f t="shared" si="5"/>
        <v>0</v>
      </c>
      <c r="T32" s="1686" t="str">
        <f>IF(W32=0,"",人物卡!AB45)</f>
        <v/>
      </c>
      <c r="U32" s="1686"/>
      <c r="V32" s="1686"/>
      <c r="W32" s="1714">
        <f>IF(人物卡!AN45-人物卡!AF45=0,0,人物卡!AN45)</f>
        <v>0</v>
      </c>
      <c r="X32" s="1715">
        <f t="shared" si="2"/>
        <v>0</v>
      </c>
      <c r="Y32" s="1731">
        <f t="shared" si="3"/>
        <v>0</v>
      </c>
      <c r="Z32" s="1654">
        <f>人物卡!W119</f>
        <v>0</v>
      </c>
      <c r="AA32" s="1667"/>
      <c r="AB32" s="1667"/>
      <c r="AC32" s="1667"/>
      <c r="AD32" s="1667">
        <f>人物卡!AR119</f>
        <v>0</v>
      </c>
      <c r="AE32" s="1703"/>
      <c r="AF32" s="1730"/>
      <c r="AG32" s="1730"/>
      <c r="AH32" s="1730"/>
      <c r="AI32" s="1730"/>
      <c r="AJ32" s="1730"/>
      <c r="AK32" s="1730"/>
      <c r="AL32" s="1730"/>
      <c r="AM32" s="1730"/>
      <c r="AN32" s="1730"/>
    </row>
    <row r="33" customHeight="1" spans="2:40">
      <c r="B33" s="1665" t="s">
        <v>442</v>
      </c>
      <c r="C33" s="1666">
        <f>人物卡!AA83</f>
        <v>0</v>
      </c>
      <c r="D33" s="1667"/>
      <c r="E33" s="1667"/>
      <c r="F33" s="1667"/>
      <c r="G33" s="1663" t="str">
        <f>人物卡!AR83</f>
        <v>☐</v>
      </c>
      <c r="H33" s="1668"/>
      <c r="I33" s="1708"/>
      <c r="J33" s="1708"/>
      <c r="K33" s="1708"/>
      <c r="L33" s="1708"/>
      <c r="M33" s="1709"/>
      <c r="N33" s="1691">
        <f>IF(Q33=0,0,"外语：")</f>
        <v>0</v>
      </c>
      <c r="O33" s="1686" t="str">
        <f>IF(N33=0,"",人物卡!H46)</f>
        <v/>
      </c>
      <c r="P33" s="1686"/>
      <c r="Q33" s="1714">
        <f>IF(人物卡!R46-人物卡!J46=0,0,人物卡!R46)</f>
        <v>0</v>
      </c>
      <c r="R33" s="1715">
        <f t="shared" si="4"/>
        <v>0</v>
      </c>
      <c r="S33" s="1716">
        <f t="shared" si="5"/>
        <v>0</v>
      </c>
      <c r="T33" s="1686" t="str">
        <f>IF(W33=0,"",人物卡!AB46)</f>
        <v/>
      </c>
      <c r="U33" s="1686"/>
      <c r="V33" s="1686"/>
      <c r="W33" s="1714">
        <f>IF(人物卡!AN46-人物卡!AF46=0,0,人物卡!AN46)</f>
        <v>0</v>
      </c>
      <c r="X33" s="1715">
        <f t="shared" si="2"/>
        <v>0</v>
      </c>
      <c r="Y33" s="1731">
        <f t="shared" si="3"/>
        <v>0</v>
      </c>
      <c r="Z33" s="1762">
        <f>人物卡!W120</f>
        <v>0</v>
      </c>
      <c r="AA33" s="1763"/>
      <c r="AB33" s="1763"/>
      <c r="AC33" s="1763"/>
      <c r="AD33" s="1763">
        <f>人物卡!AR120</f>
        <v>0</v>
      </c>
      <c r="AE33" s="1764"/>
      <c r="AF33" s="1730"/>
      <c r="AG33" s="1730"/>
      <c r="AH33" s="1730"/>
      <c r="AI33" s="1730"/>
      <c r="AJ33" s="1730"/>
      <c r="AK33" s="1730"/>
      <c r="AL33" s="1730"/>
      <c r="AM33" s="1730"/>
      <c r="AN33" s="1730"/>
    </row>
    <row r="34" customHeight="1" spans="2:40">
      <c r="B34" s="1660" t="s">
        <v>443</v>
      </c>
      <c r="C34" s="1666">
        <f>人物卡!AA85</f>
        <v>0</v>
      </c>
      <c r="D34" s="1667"/>
      <c r="E34" s="1667"/>
      <c r="F34" s="1667"/>
      <c r="G34" s="1663" t="str">
        <f>人物卡!AR85</f>
        <v>☐</v>
      </c>
      <c r="H34" s="1668"/>
      <c r="I34" s="1708"/>
      <c r="J34" s="1708"/>
      <c r="K34" s="1708"/>
      <c r="L34" s="1708"/>
      <c r="M34" s="1709"/>
      <c r="N34" s="1691">
        <f>IF(Q34=0,0,"外语：")</f>
        <v>0</v>
      </c>
      <c r="O34" s="1686" t="str">
        <f>IF(N34=0,"",人物卡!H47)</f>
        <v/>
      </c>
      <c r="P34" s="1686"/>
      <c r="Q34" s="1714">
        <f>IF(人物卡!R47-人物卡!J47=0,0,人物卡!R47)</f>
        <v>0</v>
      </c>
      <c r="R34" s="1715">
        <f t="shared" si="4"/>
        <v>0</v>
      </c>
      <c r="S34" s="1716">
        <f t="shared" si="5"/>
        <v>0</v>
      </c>
      <c r="T34" s="1686" t="str">
        <f>IF(W34=0,"",人物卡!#REF!)</f>
        <v/>
      </c>
      <c r="U34" s="1686"/>
      <c r="V34" s="1686"/>
      <c r="W34" s="1714">
        <f>IF(人物卡!AN47-人物卡!AF47=0,0,人物卡!AN47)</f>
        <v>0</v>
      </c>
      <c r="X34" s="1715">
        <f t="shared" si="2"/>
        <v>0</v>
      </c>
      <c r="Y34" s="1731">
        <f t="shared" si="3"/>
        <v>0</v>
      </c>
      <c r="Z34" s="1665"/>
      <c r="AA34" s="1754"/>
      <c r="AB34" s="1754"/>
      <c r="AC34" s="1754"/>
      <c r="AD34" s="1754"/>
      <c r="AE34" s="1755"/>
      <c r="AF34" s="1730"/>
      <c r="AG34" s="1730"/>
      <c r="AH34" s="1730"/>
      <c r="AI34" s="1730"/>
      <c r="AJ34" s="1730"/>
      <c r="AK34" s="1730"/>
      <c r="AL34" s="1730"/>
      <c r="AM34" s="1730"/>
      <c r="AN34" s="1730"/>
    </row>
    <row r="35" customHeight="1" spans="2:40">
      <c r="B35" s="1665" t="s">
        <v>444</v>
      </c>
      <c r="C35" s="1666">
        <f>人物卡!AA87</f>
        <v>0</v>
      </c>
      <c r="D35" s="1667"/>
      <c r="E35" s="1667"/>
      <c r="F35" s="1667"/>
      <c r="G35" s="1663" t="str">
        <f>人物卡!AR87</f>
        <v>☐</v>
      </c>
      <c r="H35" s="1668"/>
      <c r="I35" s="1708"/>
      <c r="J35" s="1708"/>
      <c r="K35" s="1708"/>
      <c r="L35" s="1708"/>
      <c r="M35" s="1709"/>
      <c r="N35" s="1691">
        <f>IF(Q35=0,0,"外语：")</f>
        <v>0</v>
      </c>
      <c r="O35" s="1686" t="str">
        <f>IF(N35=0,"",人物卡!H48)</f>
        <v/>
      </c>
      <c r="P35" s="1686"/>
      <c r="Q35" s="1714">
        <f>IF(人物卡!R48-人物卡!J48=0,0,人物卡!R48)</f>
        <v>0</v>
      </c>
      <c r="R35" s="1715">
        <f t="shared" si="4"/>
        <v>0</v>
      </c>
      <c r="S35" s="1716">
        <f t="shared" si="5"/>
        <v>0</v>
      </c>
      <c r="T35" s="1686" t="str">
        <f>IF(W35=0,"",人物卡!AB48)</f>
        <v/>
      </c>
      <c r="U35" s="1686"/>
      <c r="V35" s="1686"/>
      <c r="W35" s="1714">
        <f>IF(人物卡!AN48-人物卡!AF48=0,0,人物卡!AN48)</f>
        <v>0</v>
      </c>
      <c r="X35" s="1715">
        <f t="shared" si="2"/>
        <v>0</v>
      </c>
      <c r="Y35" s="1731">
        <f t="shared" si="3"/>
        <v>0</v>
      </c>
      <c r="Z35" s="1665"/>
      <c r="AA35" s="1754"/>
      <c r="AB35" s="1754"/>
      <c r="AC35" s="1754"/>
      <c r="AD35" s="1754"/>
      <c r="AE35" s="1755"/>
      <c r="AF35" s="1730"/>
      <c r="AG35" s="1730"/>
      <c r="AH35" s="1730"/>
      <c r="AI35" s="1730"/>
      <c r="AJ35" s="1730"/>
      <c r="AK35" s="1730"/>
      <c r="AL35" s="1730"/>
      <c r="AM35" s="1730"/>
      <c r="AN35" s="1730"/>
    </row>
    <row r="36" customHeight="1" spans="2:41">
      <c r="B36" s="1669"/>
      <c r="C36" s="1670"/>
      <c r="D36" s="1671"/>
      <c r="E36" s="1671"/>
      <c r="F36" s="1671"/>
      <c r="G36" s="1672"/>
      <c r="H36" s="1673"/>
      <c r="I36" s="1710"/>
      <c r="J36" s="1710"/>
      <c r="K36" s="1710"/>
      <c r="L36" s="1710"/>
      <c r="M36" s="1711"/>
      <c r="N36" s="1712" t="s">
        <v>445</v>
      </c>
      <c r="O36" s="1621">
        <f>人物卡!H49</f>
        <v>0</v>
      </c>
      <c r="P36" s="1621"/>
      <c r="Q36" s="1721">
        <f>人物卡!R49</f>
        <v>0</v>
      </c>
      <c r="R36" s="1722">
        <f>IF(Q36=0,32767,INT(Q36/2))</f>
        <v>32767</v>
      </c>
      <c r="S36" s="1723">
        <f>IF(Q36=0,32767,INT(Q36/5))</f>
        <v>32767</v>
      </c>
      <c r="T36" s="1621" t="str">
        <f>IF(W36=0,"",人物卡!AB49)</f>
        <v/>
      </c>
      <c r="U36" s="1621"/>
      <c r="V36" s="1621"/>
      <c r="W36" s="1724">
        <f>IF(人物卡!AN49-人物卡!AF49=0,0,人物卡!AN49)</f>
        <v>0</v>
      </c>
      <c r="X36" s="1725">
        <f t="shared" si="2"/>
        <v>0</v>
      </c>
      <c r="Y36" s="1765">
        <f t="shared" si="3"/>
        <v>0</v>
      </c>
      <c r="Z36" s="1756"/>
      <c r="AA36" s="1757"/>
      <c r="AB36" s="1757"/>
      <c r="AC36" s="1757"/>
      <c r="AD36" s="1757"/>
      <c r="AE36" s="1758"/>
      <c r="AF36" s="1674" t="s">
        <v>446</v>
      </c>
      <c r="AG36" s="1674"/>
      <c r="AH36" s="1674"/>
      <c r="AI36" s="1674"/>
      <c r="AJ36" s="1674"/>
      <c r="AK36" s="1674"/>
      <c r="AL36" s="1674"/>
      <c r="AM36" s="1674"/>
      <c r="AN36" s="1674"/>
      <c r="AO36" s="1674"/>
    </row>
    <row r="37" customHeight="1" spans="2:40">
      <c r="B37" s="1674" t="s">
        <v>447</v>
      </c>
      <c r="C37" s="1674"/>
      <c r="D37" s="1674"/>
      <c r="E37" s="1674"/>
      <c r="F37" s="1674"/>
      <c r="G37" s="1674"/>
      <c r="H37" s="1674"/>
      <c r="I37" s="1674"/>
      <c r="J37" s="1674"/>
      <c r="K37" s="1674"/>
      <c r="L37" s="1674"/>
      <c r="M37" s="1674"/>
      <c r="N37" s="1674"/>
      <c r="O37" s="1674"/>
      <c r="P37" s="1713" t="s">
        <v>448</v>
      </c>
      <c r="Q37" s="1713"/>
      <c r="R37" s="1713"/>
      <c r="S37" s="1713"/>
      <c r="T37" s="1713"/>
      <c r="U37" s="1713"/>
      <c r="V37" s="1713"/>
      <c r="W37" s="1713"/>
      <c r="X37" s="1713"/>
      <c r="Y37" s="1713"/>
      <c r="Z37" s="1730"/>
      <c r="AA37" s="1730"/>
      <c r="AB37" s="1730"/>
      <c r="AC37" s="1730"/>
      <c r="AD37" s="1730"/>
      <c r="AE37" s="1730"/>
      <c r="AF37" s="1766" t="s">
        <v>449</v>
      </c>
      <c r="AG37" s="1766"/>
      <c r="AH37" s="1766"/>
      <c r="AI37" s="1766"/>
      <c r="AJ37" s="1766"/>
      <c r="AK37" s="1766"/>
      <c r="AL37" s="1766"/>
      <c r="AM37" s="1730"/>
      <c r="AN37" s="1730"/>
    </row>
    <row r="38" customHeight="1" spans="2:38">
      <c r="B38" s="1675" t="s">
        <v>450</v>
      </c>
      <c r="C38" s="1675"/>
      <c r="D38" s="1675"/>
      <c r="E38" s="1675"/>
      <c r="F38" s="1675"/>
      <c r="G38" s="1675"/>
      <c r="H38" s="1675"/>
      <c r="I38" s="1675"/>
      <c r="J38" s="1675"/>
      <c r="K38" s="1675"/>
      <c r="L38" s="1675"/>
      <c r="M38" s="1675"/>
      <c r="N38" s="1675"/>
      <c r="O38" s="1675"/>
      <c r="P38" s="1675"/>
      <c r="Q38" s="1675"/>
      <c r="R38" s="1675"/>
      <c r="S38" s="1675"/>
      <c r="T38" s="1675"/>
      <c r="U38" s="1675"/>
      <c r="V38" s="1675"/>
      <c r="W38" s="1675"/>
      <c r="X38" s="1675"/>
      <c r="Y38" s="1675"/>
      <c r="Z38" s="589"/>
      <c r="AA38" s="1767"/>
      <c r="AB38" s="1767"/>
      <c r="AC38" s="1767"/>
      <c r="AD38" s="1767"/>
      <c r="AE38" s="1767"/>
      <c r="AF38" s="1766"/>
      <c r="AG38" s="1766"/>
      <c r="AH38" s="1766"/>
      <c r="AI38" s="1766"/>
      <c r="AJ38" s="1766"/>
      <c r="AK38" s="1766"/>
      <c r="AL38" s="1766"/>
    </row>
    <row r="39" customHeight="1" spans="2:40">
      <c r="B39" s="1676" t="s">
        <v>451</v>
      </c>
      <c r="C39" s="1676"/>
      <c r="D39" s="1676"/>
      <c r="E39" s="1676"/>
      <c r="F39" s="1676"/>
      <c r="G39" s="1676"/>
      <c r="H39" s="1676"/>
      <c r="I39" s="1676"/>
      <c r="J39" s="1676"/>
      <c r="K39" s="1676"/>
      <c r="L39" s="1676"/>
      <c r="M39" s="1676"/>
      <c r="N39" s="1676"/>
      <c r="O39" s="1676"/>
      <c r="P39" s="1676"/>
      <c r="Q39" s="1676"/>
      <c r="R39" s="1676"/>
      <c r="S39" s="1676"/>
      <c r="T39" s="1676"/>
      <c r="U39" s="1676"/>
      <c r="V39" s="1676"/>
      <c r="W39" s="1676"/>
      <c r="X39" s="1676"/>
      <c r="Y39" s="1676"/>
      <c r="Z39" s="589" t="s">
        <v>452</v>
      </c>
      <c r="AA39" s="1768" t="s">
        <v>453</v>
      </c>
      <c r="AB39" s="1769"/>
      <c r="AC39" s="1769"/>
      <c r="AD39" s="1769"/>
      <c r="AE39" s="1770"/>
      <c r="AF39" s="1771" t="s">
        <v>454</v>
      </c>
      <c r="AG39" s="1771"/>
      <c r="AH39" s="1771"/>
      <c r="AI39" s="1771"/>
      <c r="AJ39" s="1771"/>
      <c r="AK39" s="1771"/>
      <c r="AL39" s="1771"/>
      <c r="AM39" s="1771"/>
      <c r="AN39" s="1771"/>
    </row>
    <row r="40" customHeight="1" spans="2:33">
      <c r="B40" s="1677" t="str">
        <f>附表!S24</f>
        <v>.st 力量0str0敏捷0dex0意志0pow0体质0con0外貌0app0教育0edu0体型0siz0智力0灵感0int0san0san值0理智0理智值0幸运0运气0mp0魔法0hp0体力0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通灵5传说10风水15稽古5东方医学25中医25次文化5礼仪作法15礼仪15企业文化15企业15武士道10武士10武术5冥想5我流1现金1500存款0</v>
      </c>
      <c r="C40" s="1677"/>
      <c r="D40" s="1677"/>
      <c r="E40" s="1677"/>
      <c r="F40" s="1677"/>
      <c r="G40" s="1677"/>
      <c r="H40" s="1677"/>
      <c r="I40" s="1677"/>
      <c r="J40" s="1677"/>
      <c r="K40" s="1677"/>
      <c r="L40" s="1677"/>
      <c r="M40" s="1677"/>
      <c r="N40" s="1677"/>
      <c r="O40" s="1677"/>
      <c r="P40" s="1677"/>
      <c r="Q40" s="1677"/>
      <c r="R40" s="1677"/>
      <c r="S40" s="1677"/>
      <c r="T40" s="1677"/>
      <c r="U40" s="1677"/>
      <c r="V40" s="1677"/>
      <c r="W40" s="1677"/>
      <c r="X40" s="1677"/>
      <c r="Y40" s="1677"/>
      <c r="Z40" s="1772"/>
      <c r="AA40" s="1773"/>
      <c r="AB40" s="1774"/>
      <c r="AC40" s="1774"/>
      <c r="AD40" s="1774"/>
      <c r="AE40" s="1775"/>
      <c r="AF40" s="589"/>
      <c r="AG40" s="589"/>
    </row>
    <row r="41" customFormat="1" ht="14" spans="2:33">
      <c r="B41" s="1677"/>
      <c r="C41" s="1677"/>
      <c r="D41" s="1677"/>
      <c r="E41" s="1677"/>
      <c r="F41" s="1677"/>
      <c r="G41" s="1677"/>
      <c r="H41" s="1677"/>
      <c r="I41" s="1677"/>
      <c r="J41" s="1677"/>
      <c r="K41" s="1677"/>
      <c r="L41" s="1677"/>
      <c r="M41" s="1677"/>
      <c r="N41" s="1677"/>
      <c r="O41" s="1677"/>
      <c r="P41" s="1677"/>
      <c r="Q41" s="1677"/>
      <c r="R41" s="1677"/>
      <c r="S41" s="1677"/>
      <c r="T41" s="1677"/>
      <c r="U41" s="1677"/>
      <c r="V41" s="1677"/>
      <c r="W41" s="1677"/>
      <c r="X41" s="1677"/>
      <c r="Y41" s="1677"/>
      <c r="Z41" s="1772"/>
      <c r="AA41" s="1773"/>
      <c r="AB41" s="1774"/>
      <c r="AC41" s="1774"/>
      <c r="AD41" s="1774"/>
      <c r="AE41" s="1775"/>
      <c r="AF41" s="589"/>
      <c r="AG41" s="589"/>
    </row>
    <row r="42" customFormat="1" ht="14" spans="2:33">
      <c r="B42" s="1677"/>
      <c r="C42" s="1677"/>
      <c r="D42" s="1677"/>
      <c r="E42" s="1677"/>
      <c r="F42" s="1677"/>
      <c r="G42" s="1677"/>
      <c r="H42" s="1677"/>
      <c r="I42" s="1677"/>
      <c r="J42" s="1677"/>
      <c r="K42" s="1677"/>
      <c r="L42" s="1677"/>
      <c r="M42" s="1677"/>
      <c r="N42" s="1677"/>
      <c r="O42" s="1677"/>
      <c r="P42" s="1677"/>
      <c r="Q42" s="1677"/>
      <c r="R42" s="1677"/>
      <c r="S42" s="1677"/>
      <c r="T42" s="1677"/>
      <c r="U42" s="1677"/>
      <c r="V42" s="1677"/>
      <c r="W42" s="1677"/>
      <c r="X42" s="1677"/>
      <c r="Y42" s="1677"/>
      <c r="Z42" s="1772"/>
      <c r="AA42" s="1773"/>
      <c r="AB42" s="1774"/>
      <c r="AC42" s="1774"/>
      <c r="AD42" s="1774"/>
      <c r="AE42" s="1775"/>
      <c r="AF42" s="589"/>
      <c r="AG42" s="589"/>
    </row>
    <row r="43" customFormat="1" ht="14.75" spans="2:33">
      <c r="B43" s="1677"/>
      <c r="C43" s="1677"/>
      <c r="D43" s="1677"/>
      <c r="E43" s="1677"/>
      <c r="F43" s="1677"/>
      <c r="G43" s="1677"/>
      <c r="H43" s="1677"/>
      <c r="I43" s="1677"/>
      <c r="J43" s="1677"/>
      <c r="K43" s="1677"/>
      <c r="L43" s="1677"/>
      <c r="M43" s="1677"/>
      <c r="N43" s="1677"/>
      <c r="O43" s="1677"/>
      <c r="P43" s="1677"/>
      <c r="Q43" s="1677"/>
      <c r="R43" s="1677"/>
      <c r="S43" s="1677"/>
      <c r="T43" s="1677"/>
      <c r="U43" s="1677"/>
      <c r="V43" s="1677"/>
      <c r="W43" s="1677"/>
      <c r="X43" s="1677"/>
      <c r="Y43" s="1677"/>
      <c r="Z43" s="1772"/>
      <c r="AA43" s="1776"/>
      <c r="AB43" s="1777"/>
      <c r="AC43" s="1777"/>
      <c r="AD43" s="1777"/>
      <c r="AE43" s="1778"/>
      <c r="AF43" s="589"/>
      <c r="AG43" s="589"/>
    </row>
    <row r="44" customFormat="1" ht="14.75" spans="26:33">
      <c r="Z44" s="589"/>
      <c r="AA44" s="589"/>
      <c r="AB44" s="589"/>
      <c r="AC44" s="589"/>
      <c r="AD44" s="589"/>
      <c r="AE44" s="589"/>
      <c r="AF44" s="589"/>
      <c r="AG44" s="589"/>
    </row>
    <row r="45" customFormat="1" ht="15.15" customHeight="1" spans="26:33">
      <c r="Z45" s="589" t="s">
        <v>452</v>
      </c>
      <c r="AA45" s="1779" t="s">
        <v>455</v>
      </c>
      <c r="AB45" s="1780"/>
      <c r="AC45" s="1780"/>
      <c r="AD45" s="1780"/>
      <c r="AE45" s="1781"/>
      <c r="AF45" s="1774"/>
      <c r="AG45" s="589"/>
    </row>
    <row r="46" customFormat="1" ht="14.55" customHeight="1" spans="26:33">
      <c r="Z46" s="1772"/>
      <c r="AA46" s="1782"/>
      <c r="AB46" s="1783"/>
      <c r="AC46" s="1783"/>
      <c r="AD46" s="1783"/>
      <c r="AE46" s="1784"/>
      <c r="AF46" s="1774"/>
      <c r="AG46" s="589"/>
    </row>
    <row r="47" customFormat="1" ht="14.55" customHeight="1" spans="26:33">
      <c r="Z47" s="1772"/>
      <c r="AA47" s="1782"/>
      <c r="AB47" s="1783"/>
      <c r="AC47" s="1783"/>
      <c r="AD47" s="1783"/>
      <c r="AE47" s="1784"/>
      <c r="AF47" s="1774"/>
      <c r="AG47" s="589"/>
    </row>
    <row r="48" customFormat="1" ht="14.55" customHeight="1" spans="26:33">
      <c r="Z48" s="1772"/>
      <c r="AA48" s="1782"/>
      <c r="AB48" s="1783"/>
      <c r="AC48" s="1783"/>
      <c r="AD48" s="1783"/>
      <c r="AE48" s="1784"/>
      <c r="AF48" s="1774"/>
      <c r="AG48" s="589"/>
    </row>
    <row r="49" customFormat="1" ht="14.55" customHeight="1" spans="26:33">
      <c r="Z49" s="1772"/>
      <c r="AA49" s="1785"/>
      <c r="AB49" s="1786"/>
      <c r="AC49" s="1786"/>
      <c r="AD49" s="1786"/>
      <c r="AE49" s="1787"/>
      <c r="AF49" s="1774"/>
      <c r="AG49" s="589"/>
    </row>
    <row r="50" customHeight="1" spans="2:33">
      <c r="B50"/>
      <c r="C50"/>
      <c r="D50"/>
      <c r="E50"/>
      <c r="F50"/>
      <c r="G50"/>
      <c r="H50"/>
      <c r="I50"/>
      <c r="J50"/>
      <c r="K50"/>
      <c r="L50"/>
      <c r="M50"/>
      <c r="N50"/>
      <c r="O50"/>
      <c r="P50"/>
      <c r="Q50"/>
      <c r="R50"/>
      <c r="S50"/>
      <c r="T50"/>
      <c r="U50"/>
      <c r="V50"/>
      <c r="W50"/>
      <c r="X50"/>
      <c r="Y50"/>
      <c r="Z50" s="1788"/>
      <c r="AA50" s="1789"/>
      <c r="AB50" s="1789"/>
      <c r="AC50" s="1789"/>
      <c r="AD50" s="1789"/>
      <c r="AE50" s="1789"/>
      <c r="AF50" s="1774"/>
      <c r="AG50" s="589"/>
    </row>
    <row r="51" customHeight="1" spans="2:33">
      <c r="B51"/>
      <c r="C51"/>
      <c r="D51"/>
      <c r="E51"/>
      <c r="F51"/>
      <c r="G51"/>
      <c r="H51"/>
      <c r="I51"/>
      <c r="J51"/>
      <c r="K51"/>
      <c r="L51"/>
      <c r="M51"/>
      <c r="N51"/>
      <c r="O51"/>
      <c r="P51"/>
      <c r="Q51"/>
      <c r="R51"/>
      <c r="S51"/>
      <c r="T51"/>
      <c r="U51"/>
      <c r="V51"/>
      <c r="W51"/>
      <c r="X51"/>
      <c r="Y51"/>
      <c r="Z51" s="1592" t="s">
        <v>452</v>
      </c>
      <c r="AA51" s="1768" t="s">
        <v>456</v>
      </c>
      <c r="AB51" s="1790"/>
      <c r="AC51" s="1790"/>
      <c r="AD51" s="1790"/>
      <c r="AE51" s="1791"/>
      <c r="AF51" s="589"/>
      <c r="AG51" s="589"/>
    </row>
    <row r="52" customHeight="1" spans="2:33">
      <c r="B52"/>
      <c r="C52"/>
      <c r="D52"/>
      <c r="E52"/>
      <c r="F52"/>
      <c r="G52"/>
      <c r="H52"/>
      <c r="I52"/>
      <c r="J52"/>
      <c r="K52"/>
      <c r="L52"/>
      <c r="M52"/>
      <c r="N52"/>
      <c r="O52"/>
      <c r="P52"/>
      <c r="Q52"/>
      <c r="R52"/>
      <c r="S52"/>
      <c r="T52"/>
      <c r="U52"/>
      <c r="V52"/>
      <c r="W52"/>
      <c r="X52"/>
      <c r="Y52"/>
      <c r="AA52" s="1792"/>
      <c r="AB52" s="1772"/>
      <c r="AC52" s="1772"/>
      <c r="AD52" s="1772"/>
      <c r="AE52" s="1793"/>
      <c r="AF52" s="589"/>
      <c r="AG52" s="589"/>
    </row>
    <row r="53" customHeight="1" spans="2:33">
      <c r="B53"/>
      <c r="C53"/>
      <c r="D53"/>
      <c r="E53"/>
      <c r="F53"/>
      <c r="G53"/>
      <c r="H53"/>
      <c r="I53"/>
      <c r="J53"/>
      <c r="K53"/>
      <c r="L53"/>
      <c r="M53"/>
      <c r="N53"/>
      <c r="O53"/>
      <c r="P53"/>
      <c r="Q53"/>
      <c r="R53"/>
      <c r="S53"/>
      <c r="T53"/>
      <c r="U53"/>
      <c r="V53"/>
      <c r="W53"/>
      <c r="X53"/>
      <c r="Y53"/>
      <c r="AA53" s="1792"/>
      <c r="AB53" s="1772"/>
      <c r="AC53" s="1772"/>
      <c r="AD53" s="1772"/>
      <c r="AE53" s="1793"/>
      <c r="AF53" s="589"/>
      <c r="AG53" s="589"/>
    </row>
    <row r="54" customHeight="1" spans="2:33">
      <c r="B54"/>
      <c r="C54"/>
      <c r="D54"/>
      <c r="E54"/>
      <c r="F54"/>
      <c r="G54"/>
      <c r="H54"/>
      <c r="I54"/>
      <c r="J54"/>
      <c r="K54"/>
      <c r="L54"/>
      <c r="M54"/>
      <c r="N54"/>
      <c r="O54"/>
      <c r="P54"/>
      <c r="Q54"/>
      <c r="R54"/>
      <c r="S54"/>
      <c r="T54"/>
      <c r="U54"/>
      <c r="V54"/>
      <c r="W54"/>
      <c r="X54"/>
      <c r="Y54"/>
      <c r="AA54" s="1792"/>
      <c r="AB54" s="1772"/>
      <c r="AC54" s="1772"/>
      <c r="AD54" s="1772"/>
      <c r="AE54" s="1793"/>
      <c r="AF54" s="589"/>
      <c r="AG54" s="589"/>
    </row>
    <row r="55" customHeight="1" spans="2:33">
      <c r="B55"/>
      <c r="C55"/>
      <c r="D55"/>
      <c r="E55"/>
      <c r="F55"/>
      <c r="G55"/>
      <c r="H55"/>
      <c r="I55"/>
      <c r="J55"/>
      <c r="K55"/>
      <c r="L55"/>
      <c r="M55"/>
      <c r="N55"/>
      <c r="O55"/>
      <c r="P55"/>
      <c r="Q55"/>
      <c r="R55"/>
      <c r="S55"/>
      <c r="T55"/>
      <c r="U55"/>
      <c r="V55"/>
      <c r="W55"/>
      <c r="X55"/>
      <c r="Y55"/>
      <c r="AA55" s="1794"/>
      <c r="AB55" s="1795"/>
      <c r="AC55" s="1795"/>
      <c r="AD55" s="1795"/>
      <c r="AE55" s="1796"/>
      <c r="AF55" s="589"/>
      <c r="AG55" s="589"/>
    </row>
    <row r="56" customHeight="1" spans="2:33">
      <c r="B56" s="1678"/>
      <c r="C56" s="1678"/>
      <c r="D56" s="1678"/>
      <c r="E56" s="1678"/>
      <c r="F56" s="1678"/>
      <c r="G56" s="1678"/>
      <c r="H56" s="1678"/>
      <c r="I56" s="1678"/>
      <c r="J56" s="1678"/>
      <c r="K56" s="1678"/>
      <c r="L56" s="1678"/>
      <c r="M56" s="1678"/>
      <c r="N56" s="1678"/>
      <c r="O56" s="1678"/>
      <c r="P56" s="1678"/>
      <c r="Q56" s="1678"/>
      <c r="R56" s="1678"/>
      <c r="S56" s="1678"/>
      <c r="T56" s="1678"/>
      <c r="U56" s="1678"/>
      <c r="V56" s="1678"/>
      <c r="W56" s="1678"/>
      <c r="X56" s="1678"/>
      <c r="Y56" s="1678"/>
      <c r="AA56" s="1674"/>
      <c r="AB56" s="1674"/>
      <c r="AC56" s="1674"/>
      <c r="AD56" s="1674"/>
      <c r="AE56" s="1674"/>
      <c r="AF56" s="589"/>
      <c r="AG56" s="589"/>
    </row>
    <row r="57" customHeight="1" spans="27:33">
      <c r="AA57" s="1797"/>
      <c r="AB57" s="1797"/>
      <c r="AC57" s="1797"/>
      <c r="AD57" s="1797"/>
      <c r="AE57" s="1797"/>
      <c r="AF57" s="589"/>
      <c r="AG57" s="589"/>
    </row>
    <row r="58" customHeight="1" spans="32:33">
      <c r="AF58" s="589"/>
      <c r="AG58" s="589"/>
    </row>
    <row r="59" customHeight="1" spans="32:33">
      <c r="AF59" s="589"/>
      <c r="AG59" s="589"/>
    </row>
    <row r="60" customHeight="1" spans="32:33">
      <c r="AF60" s="589"/>
      <c r="AG60" s="589"/>
    </row>
    <row r="61" customHeight="1" spans="32:33">
      <c r="AF61" s="589"/>
      <c r="AG61" s="589"/>
    </row>
    <row r="64" customHeight="1" spans="2:31">
      <c r="B64" s="1679" t="s">
        <v>457</v>
      </c>
      <c r="C64" s="1680"/>
      <c r="D64" s="1680"/>
      <c r="E64" s="1680"/>
      <c r="F64" s="1680"/>
      <c r="G64" s="1680"/>
      <c r="H64" s="1680"/>
      <c r="I64" s="1680"/>
      <c r="J64" s="1680"/>
      <c r="K64" s="1680"/>
      <c r="L64" s="1680"/>
      <c r="M64" s="1680"/>
      <c r="N64" s="1680"/>
      <c r="O64" s="1680"/>
      <c r="P64" s="1680"/>
      <c r="Q64" s="1680"/>
      <c r="R64" s="1680"/>
      <c r="S64" s="1680"/>
      <c r="T64" s="1680"/>
      <c r="U64" s="1680"/>
      <c r="V64" s="1680"/>
      <c r="W64" s="1680"/>
      <c r="X64" s="1680"/>
      <c r="Y64" s="1798"/>
      <c r="Z64" s="1772"/>
      <c r="AA64" s="589"/>
      <c r="AB64" s="589"/>
      <c r="AC64" s="589"/>
      <c r="AD64" s="589"/>
      <c r="AE64" s="589"/>
    </row>
    <row r="65" customHeight="1" spans="2:35">
      <c r="B65" s="1799" t="s">
        <v>458</v>
      </c>
      <c r="C65" s="1800"/>
      <c r="D65" s="1693" t="s">
        <v>459</v>
      </c>
      <c r="E65" s="1693"/>
      <c r="F65" s="1693" t="s">
        <v>460</v>
      </c>
      <c r="G65" s="1693"/>
      <c r="H65" s="1693"/>
      <c r="I65" s="1693"/>
      <c r="J65" s="1800" t="s">
        <v>458</v>
      </c>
      <c r="K65" s="1800"/>
      <c r="L65" s="1693" t="s">
        <v>459</v>
      </c>
      <c r="M65" s="1693"/>
      <c r="N65" s="1693" t="s">
        <v>460</v>
      </c>
      <c r="O65" s="1693"/>
      <c r="P65" s="1693"/>
      <c r="Q65" s="1693"/>
      <c r="R65" s="1800" t="s">
        <v>458</v>
      </c>
      <c r="S65" s="1800"/>
      <c r="T65" s="1693" t="s">
        <v>459</v>
      </c>
      <c r="U65" s="1693"/>
      <c r="V65" s="1693" t="s">
        <v>460</v>
      </c>
      <c r="W65" s="1693"/>
      <c r="X65" s="1693"/>
      <c r="Y65" s="1847"/>
      <c r="Z65" s="1772"/>
      <c r="AA65" s="589"/>
      <c r="AB65" s="589"/>
      <c r="AC65" s="589"/>
      <c r="AD65" s="589"/>
      <c r="AE65" s="589"/>
      <c r="AF65" s="1848"/>
      <c r="AG65" s="1848"/>
      <c r="AH65" s="1848"/>
      <c r="AI65" s="1855"/>
    </row>
    <row r="66" customHeight="1" spans="2:35">
      <c r="B66" s="1801" t="s">
        <v>370</v>
      </c>
      <c r="C66" s="1802"/>
      <c r="D66" s="1693" t="s">
        <v>414</v>
      </c>
      <c r="E66" s="1693"/>
      <c r="F66" s="1803"/>
      <c r="G66" s="1803"/>
      <c r="H66" s="1803"/>
      <c r="I66" s="1806"/>
      <c r="J66" s="1693" t="s">
        <v>461</v>
      </c>
      <c r="K66" s="1693"/>
      <c r="L66" s="1693" t="s">
        <v>462</v>
      </c>
      <c r="M66" s="1693"/>
      <c r="N66" s="1800"/>
      <c r="O66" s="1800"/>
      <c r="P66" s="1800"/>
      <c r="Q66" s="1840"/>
      <c r="R66" s="1809" t="s">
        <v>109</v>
      </c>
      <c r="S66" s="1809"/>
      <c r="T66" s="1809" t="s">
        <v>463</v>
      </c>
      <c r="U66" s="1809"/>
      <c r="V66" s="1833" t="s">
        <v>464</v>
      </c>
      <c r="W66" s="1833"/>
      <c r="X66" s="1833"/>
      <c r="Y66" s="1849"/>
      <c r="Z66" s="1772"/>
      <c r="AA66" s="589"/>
      <c r="AB66" s="589"/>
      <c r="AC66" s="589"/>
      <c r="AD66" s="589"/>
      <c r="AE66" s="589"/>
      <c r="AF66" s="1848"/>
      <c r="AG66" s="1848"/>
      <c r="AH66" s="1848"/>
      <c r="AI66" s="1855"/>
    </row>
    <row r="67" customHeight="1" spans="2:35">
      <c r="B67" s="1804" t="s">
        <v>371</v>
      </c>
      <c r="C67" s="1805"/>
      <c r="D67" s="1693" t="s">
        <v>415</v>
      </c>
      <c r="E67" s="1693"/>
      <c r="F67" s="1803"/>
      <c r="G67" s="1803"/>
      <c r="H67" s="1803"/>
      <c r="I67" s="1806"/>
      <c r="J67" s="1693" t="s">
        <v>380</v>
      </c>
      <c r="K67" s="1693"/>
      <c r="L67" s="1693" t="s">
        <v>465</v>
      </c>
      <c r="M67" s="1693"/>
      <c r="N67" s="1800" t="s">
        <v>466</v>
      </c>
      <c r="O67" s="1800"/>
      <c r="P67" s="1800"/>
      <c r="Q67" s="1840"/>
      <c r="R67" s="1832" t="s">
        <v>114</v>
      </c>
      <c r="S67" s="1832"/>
      <c r="T67" s="1693" t="s">
        <v>467</v>
      </c>
      <c r="U67" s="1693"/>
      <c r="V67" s="1693"/>
      <c r="W67" s="1693"/>
      <c r="X67" s="1693"/>
      <c r="Y67" s="1847"/>
      <c r="Z67" s="1772"/>
      <c r="AA67" s="589"/>
      <c r="AB67" s="589"/>
      <c r="AC67" s="589"/>
      <c r="AD67" s="589"/>
      <c r="AE67" s="589"/>
      <c r="AF67" s="1848"/>
      <c r="AG67" s="1848"/>
      <c r="AH67" s="1848"/>
      <c r="AI67" s="1855"/>
    </row>
    <row r="68" customHeight="1" spans="2:35">
      <c r="B68" s="1801" t="s">
        <v>377</v>
      </c>
      <c r="C68" s="1802"/>
      <c r="D68" s="1693" t="s">
        <v>418</v>
      </c>
      <c r="E68" s="1693"/>
      <c r="F68" s="1803"/>
      <c r="G68" s="1803"/>
      <c r="H68" s="1803"/>
      <c r="I68" s="1806"/>
      <c r="J68" s="1693" t="s">
        <v>468</v>
      </c>
      <c r="K68" s="1693"/>
      <c r="L68" s="1693" t="s">
        <v>469</v>
      </c>
      <c r="M68" s="1693"/>
      <c r="N68" s="1800"/>
      <c r="O68" s="1800"/>
      <c r="P68" s="1800"/>
      <c r="Q68" s="1840"/>
      <c r="R68" s="1693" t="s">
        <v>470</v>
      </c>
      <c r="S68" s="1693"/>
      <c r="T68" s="1693" t="s">
        <v>471</v>
      </c>
      <c r="U68" s="1693"/>
      <c r="V68" s="1693" t="s">
        <v>472</v>
      </c>
      <c r="W68" s="1693"/>
      <c r="X68" s="1693"/>
      <c r="Y68" s="1847"/>
      <c r="Z68" s="1772"/>
      <c r="AA68" s="589"/>
      <c r="AB68" s="589"/>
      <c r="AC68" s="589"/>
      <c r="AD68" s="589"/>
      <c r="AE68" s="589"/>
      <c r="AF68" s="1848"/>
      <c r="AG68" s="1848"/>
      <c r="AH68" s="1848"/>
      <c r="AI68" s="1855"/>
    </row>
    <row r="69" customHeight="1" spans="2:35">
      <c r="B69" s="1804" t="s">
        <v>369</v>
      </c>
      <c r="C69" s="1805"/>
      <c r="D69" s="1693" t="s">
        <v>421</v>
      </c>
      <c r="E69" s="1693"/>
      <c r="F69" s="1806"/>
      <c r="G69" s="1806"/>
      <c r="H69" s="1806"/>
      <c r="I69" s="1806"/>
      <c r="J69" s="1803"/>
      <c r="K69" s="1803"/>
      <c r="L69" s="1803"/>
      <c r="M69" s="1803"/>
      <c r="N69" s="1803"/>
      <c r="O69" s="1803"/>
      <c r="P69" s="1803"/>
      <c r="Q69" s="1806"/>
      <c r="R69" s="1809" t="s">
        <v>62</v>
      </c>
      <c r="S69" s="1809"/>
      <c r="T69" s="1809" t="s">
        <v>473</v>
      </c>
      <c r="U69" s="1809"/>
      <c r="V69" s="1841"/>
      <c r="W69" s="1841"/>
      <c r="X69" s="1841"/>
      <c r="Y69" s="1850"/>
      <c r="Z69" s="1772"/>
      <c r="AA69" s="589"/>
      <c r="AB69" s="589"/>
      <c r="AC69" s="589"/>
      <c r="AD69" s="589"/>
      <c r="AE69" s="589"/>
      <c r="AF69" s="1848"/>
      <c r="AG69" s="1848"/>
      <c r="AH69" s="1848"/>
      <c r="AI69" s="1855"/>
    </row>
    <row r="70" customHeight="1" spans="2:35">
      <c r="B70" s="1801" t="s">
        <v>372</v>
      </c>
      <c r="C70" s="1802"/>
      <c r="D70" s="1693" t="s">
        <v>419</v>
      </c>
      <c r="E70" s="1693"/>
      <c r="F70" s="1803"/>
      <c r="G70" s="1803"/>
      <c r="H70" s="1803"/>
      <c r="I70" s="1806"/>
      <c r="J70" s="1803"/>
      <c r="K70" s="1803"/>
      <c r="L70" s="1803"/>
      <c r="M70" s="1803"/>
      <c r="N70" s="1803"/>
      <c r="O70" s="1803"/>
      <c r="P70" s="1803"/>
      <c r="Q70" s="1806"/>
      <c r="R70" s="1693" t="s">
        <v>69</v>
      </c>
      <c r="S70" s="1693"/>
      <c r="T70" s="1693" t="s">
        <v>474</v>
      </c>
      <c r="U70" s="1693"/>
      <c r="V70" s="1800"/>
      <c r="W70" s="1800"/>
      <c r="X70" s="1800"/>
      <c r="Y70" s="1851"/>
      <c r="Z70" s="1772"/>
      <c r="AA70" s="589"/>
      <c r="AB70" s="589"/>
      <c r="AC70" s="589"/>
      <c r="AD70" s="589"/>
      <c r="AE70" s="589"/>
      <c r="AF70" s="1848"/>
      <c r="AG70" s="1848"/>
      <c r="AH70" s="1848"/>
      <c r="AI70" s="1855"/>
    </row>
    <row r="71" customHeight="1" spans="2:35">
      <c r="B71" s="1807" t="s">
        <v>373</v>
      </c>
      <c r="C71" s="1808"/>
      <c r="D71" s="1809" t="s">
        <v>417</v>
      </c>
      <c r="E71" s="1809"/>
      <c r="F71" s="1810" t="s">
        <v>475</v>
      </c>
      <c r="G71" s="1810"/>
      <c r="H71" s="1810"/>
      <c r="I71" s="1831"/>
      <c r="J71" s="1803"/>
      <c r="K71" s="1803"/>
      <c r="L71" s="1803"/>
      <c r="M71" s="1803"/>
      <c r="N71" s="1803"/>
      <c r="O71" s="1803"/>
      <c r="P71" s="1803"/>
      <c r="Q71" s="1806"/>
      <c r="R71" s="1809" t="s">
        <v>77</v>
      </c>
      <c r="S71" s="1809"/>
      <c r="T71" s="1809"/>
      <c r="U71" s="1809"/>
      <c r="V71" s="1810" t="s">
        <v>476</v>
      </c>
      <c r="W71" s="1810"/>
      <c r="X71" s="1810"/>
      <c r="Y71" s="1852"/>
      <c r="Z71" s="1772"/>
      <c r="AA71" s="589"/>
      <c r="AB71" s="589"/>
      <c r="AC71" s="589"/>
      <c r="AD71" s="589"/>
      <c r="AE71" s="589"/>
      <c r="AF71" s="1848"/>
      <c r="AG71" s="1848"/>
      <c r="AH71" s="1848"/>
      <c r="AI71" s="1855"/>
    </row>
    <row r="72" customHeight="1" spans="2:35">
      <c r="B72" s="1811" t="s">
        <v>374</v>
      </c>
      <c r="C72" s="1812"/>
      <c r="D72" s="1809" t="s">
        <v>416</v>
      </c>
      <c r="E72" s="1809"/>
      <c r="F72" s="1810"/>
      <c r="G72" s="1810"/>
      <c r="H72" s="1810"/>
      <c r="I72" s="1831"/>
      <c r="J72" s="1832" t="s">
        <v>87</v>
      </c>
      <c r="K72" s="1832"/>
      <c r="L72" s="1809" t="s">
        <v>477</v>
      </c>
      <c r="M72" s="1809"/>
      <c r="N72" s="1833" t="s">
        <v>478</v>
      </c>
      <c r="O72" s="1833"/>
      <c r="P72" s="1833"/>
      <c r="Q72" s="1842"/>
      <c r="R72" s="1809" t="s">
        <v>80</v>
      </c>
      <c r="S72" s="1809"/>
      <c r="T72" s="1693"/>
      <c r="U72" s="1693"/>
      <c r="V72" s="1803" t="s">
        <v>479</v>
      </c>
      <c r="W72" s="1803"/>
      <c r="X72" s="1803"/>
      <c r="Y72" s="1853"/>
      <c r="Z72" s="1772"/>
      <c r="AA72" s="589"/>
      <c r="AB72" s="589"/>
      <c r="AC72" s="589"/>
      <c r="AD72" s="589"/>
      <c r="AE72" s="589"/>
      <c r="AF72" s="1848"/>
      <c r="AG72" s="1848"/>
      <c r="AH72" s="1848"/>
      <c r="AI72" s="1855"/>
    </row>
    <row r="73" customHeight="1" spans="2:35">
      <c r="B73" s="1807" t="s">
        <v>378</v>
      </c>
      <c r="C73" s="1808"/>
      <c r="D73" s="1809" t="s">
        <v>420</v>
      </c>
      <c r="E73" s="1809"/>
      <c r="F73" s="1810"/>
      <c r="G73" s="1810"/>
      <c r="H73" s="1810"/>
      <c r="I73" s="1831"/>
      <c r="J73" s="1809" t="s">
        <v>93</v>
      </c>
      <c r="K73" s="1809"/>
      <c r="L73" s="1809" t="s">
        <v>480</v>
      </c>
      <c r="M73" s="1809"/>
      <c r="N73" s="1833" t="s">
        <v>481</v>
      </c>
      <c r="O73" s="1833"/>
      <c r="P73" s="1833"/>
      <c r="Q73" s="1842"/>
      <c r="R73" s="1809" t="s">
        <v>88</v>
      </c>
      <c r="S73" s="1809"/>
      <c r="T73" s="1809" t="s">
        <v>482</v>
      </c>
      <c r="U73" s="1809"/>
      <c r="V73" s="1810" t="s">
        <v>483</v>
      </c>
      <c r="W73" s="1810"/>
      <c r="X73" s="1810"/>
      <c r="Y73" s="1852"/>
      <c r="Z73" s="1772"/>
      <c r="AA73" s="589"/>
      <c r="AB73" s="589"/>
      <c r="AC73" s="589"/>
      <c r="AD73" s="589"/>
      <c r="AE73" s="589"/>
      <c r="AF73" s="1848"/>
      <c r="AG73" s="1848"/>
      <c r="AH73" s="1848"/>
      <c r="AI73" s="1855"/>
    </row>
    <row r="74" customHeight="1" spans="2:35">
      <c r="B74" s="1813" t="s">
        <v>379</v>
      </c>
      <c r="C74" s="1814"/>
      <c r="D74" s="1815"/>
      <c r="E74" s="1815"/>
      <c r="F74" s="1816" t="s">
        <v>484</v>
      </c>
      <c r="G74" s="1816"/>
      <c r="H74" s="1816"/>
      <c r="I74" s="1834"/>
      <c r="J74" s="1835" t="s">
        <v>96</v>
      </c>
      <c r="K74" s="1835"/>
      <c r="L74" s="1835" t="s">
        <v>485</v>
      </c>
      <c r="M74" s="1835"/>
      <c r="N74" s="1836" t="s">
        <v>486</v>
      </c>
      <c r="O74" s="1836"/>
      <c r="P74" s="1836"/>
      <c r="Q74" s="1843"/>
      <c r="R74" s="1844" t="s">
        <v>131</v>
      </c>
      <c r="S74" s="1844"/>
      <c r="T74" s="1835" t="s">
        <v>487</v>
      </c>
      <c r="U74" s="1835"/>
      <c r="V74" s="1845"/>
      <c r="W74" s="1845"/>
      <c r="X74" s="1845"/>
      <c r="Y74" s="1854"/>
      <c r="Z74" s="1772"/>
      <c r="AA74" s="589"/>
      <c r="AB74" s="589"/>
      <c r="AC74" s="589"/>
      <c r="AD74" s="589"/>
      <c r="AE74" s="589"/>
      <c r="AF74" s="1848"/>
      <c r="AG74" s="1848"/>
      <c r="AH74" s="1848"/>
      <c r="AI74" s="1855"/>
    </row>
    <row r="75" customHeight="1" spans="2:35">
      <c r="B75" s="1817" t="s">
        <v>488</v>
      </c>
      <c r="C75" s="1817"/>
      <c r="D75" s="1817"/>
      <c r="E75" s="1817"/>
      <c r="F75" s="1817"/>
      <c r="G75" s="1817"/>
      <c r="R75" s="1846"/>
      <c r="S75" s="1846"/>
      <c r="T75" s="1846"/>
      <c r="U75" s="1846"/>
      <c r="V75" s="1846"/>
      <c r="W75" s="1846"/>
      <c r="X75" s="1846"/>
      <c r="Y75" s="1846"/>
      <c r="Z75" s="589"/>
      <c r="AA75" s="589"/>
      <c r="AB75" s="589"/>
      <c r="AC75" s="589"/>
      <c r="AD75" s="589"/>
      <c r="AE75" s="589"/>
      <c r="AF75" s="1848"/>
      <c r="AG75" s="1848"/>
      <c r="AH75" s="1848"/>
      <c r="AI75" s="1855"/>
    </row>
    <row r="76" customHeight="1" spans="2:32">
      <c r="B76" s="1818"/>
      <c r="C76" s="1818"/>
      <c r="D76" s="1818"/>
      <c r="E76" s="1818"/>
      <c r="F76" s="1818"/>
      <c r="G76" s="1818"/>
      <c r="H76" s="589"/>
      <c r="I76" s="589"/>
      <c r="J76" s="589"/>
      <c r="K76" s="589"/>
      <c r="L76" s="589"/>
      <c r="M76" s="589"/>
      <c r="N76" s="589"/>
      <c r="O76" s="589"/>
      <c r="P76" s="589"/>
      <c r="Q76" s="589"/>
      <c r="R76" s="589"/>
      <c r="S76" s="589"/>
      <c r="T76" s="589"/>
      <c r="U76" s="589"/>
      <c r="V76" s="589"/>
      <c r="W76" s="589"/>
      <c r="X76" s="589"/>
      <c r="Y76" s="589"/>
      <c r="Z76" s="1846"/>
      <c r="AA76" s="1846"/>
      <c r="AB76" s="1846"/>
      <c r="AF76" s="1855"/>
    </row>
    <row r="77" customHeight="1" spans="2:31">
      <c r="B77" s="1819" t="s">
        <v>489</v>
      </c>
      <c r="C77" s="1820"/>
      <c r="D77" s="1820"/>
      <c r="E77" s="1820"/>
      <c r="F77" s="1820"/>
      <c r="G77" s="1820"/>
      <c r="H77" s="1820"/>
      <c r="I77" s="1820"/>
      <c r="J77" s="1820"/>
      <c r="K77" s="1820"/>
      <c r="L77" s="1820"/>
      <c r="M77" s="1820"/>
      <c r="N77" s="1820"/>
      <c r="O77" s="1820"/>
      <c r="P77" s="1820"/>
      <c r="Q77" s="1820"/>
      <c r="R77" s="1820"/>
      <c r="S77" s="1820"/>
      <c r="T77" s="1820"/>
      <c r="U77" s="1820"/>
      <c r="V77" s="1820"/>
      <c r="W77" s="1820"/>
      <c r="X77" s="1820"/>
      <c r="Y77" s="1820"/>
      <c r="Z77" s="1820"/>
      <c r="AA77" s="1820"/>
      <c r="AB77" s="1820"/>
      <c r="AC77" s="1820"/>
      <c r="AD77" s="1820"/>
      <c r="AE77" s="1856"/>
    </row>
    <row r="78" ht="14.75" spans="2:31">
      <c r="B78" s="1821"/>
      <c r="C78" s="1822"/>
      <c r="D78" s="1822"/>
      <c r="E78" s="1822"/>
      <c r="F78" s="1822"/>
      <c r="G78" s="1822"/>
      <c r="H78" s="1822"/>
      <c r="I78" s="1822"/>
      <c r="J78" s="1822"/>
      <c r="K78" s="1822"/>
      <c r="L78" s="1822"/>
      <c r="M78" s="1822"/>
      <c r="N78" s="1822"/>
      <c r="O78" s="1822"/>
      <c r="P78" s="1822"/>
      <c r="Q78" s="1822"/>
      <c r="R78" s="1822"/>
      <c r="S78" s="1822"/>
      <c r="T78" s="1822"/>
      <c r="U78" s="1822"/>
      <c r="V78" s="1822"/>
      <c r="W78" s="1822"/>
      <c r="X78" s="1822"/>
      <c r="Y78" s="1822"/>
      <c r="Z78" s="1822"/>
      <c r="AA78" s="1822"/>
      <c r="AB78" s="1822"/>
      <c r="AC78" s="1822"/>
      <c r="AD78" s="1822"/>
      <c r="AE78" s="1857"/>
    </row>
    <row r="79" customHeight="1" spans="2:31">
      <c r="B79" s="1823" t="s">
        <v>91</v>
      </c>
      <c r="C79" s="1824"/>
      <c r="D79" s="1824"/>
      <c r="E79" s="1825" t="s">
        <v>490</v>
      </c>
      <c r="F79" s="1825"/>
      <c r="G79" s="1825"/>
      <c r="H79" s="1825" t="s">
        <v>100</v>
      </c>
      <c r="I79" s="1825"/>
      <c r="J79" s="1837" t="s">
        <v>108</v>
      </c>
      <c r="K79" s="1837"/>
      <c r="L79" s="1837"/>
      <c r="M79" s="1837"/>
      <c r="N79" s="1837"/>
      <c r="O79" s="1837"/>
      <c r="P79" s="1837"/>
      <c r="Q79" s="1837"/>
      <c r="R79" s="1837"/>
      <c r="S79" s="1837"/>
      <c r="T79" s="1837"/>
      <c r="U79" s="1837"/>
      <c r="V79" s="1837"/>
      <c r="W79" s="1837"/>
      <c r="X79" s="1837"/>
      <c r="Y79" s="1837"/>
      <c r="Z79" s="1837"/>
      <c r="AA79" s="1837"/>
      <c r="AB79" s="1837"/>
      <c r="AC79" s="1837"/>
      <c r="AD79" s="1837"/>
      <c r="AE79" s="1858"/>
    </row>
    <row r="80" ht="14" spans="2:31">
      <c r="B80" s="1826" t="s">
        <v>491</v>
      </c>
      <c r="C80" s="1827"/>
      <c r="D80" s="1827"/>
      <c r="E80" s="1827" t="s">
        <v>492</v>
      </c>
      <c r="F80" s="1827"/>
      <c r="G80" s="1827"/>
      <c r="H80" s="1827">
        <v>70</v>
      </c>
      <c r="I80" s="1827"/>
      <c r="J80" s="1838" t="s">
        <v>493</v>
      </c>
      <c r="K80" s="1838"/>
      <c r="L80" s="1838"/>
      <c r="M80" s="1838"/>
      <c r="N80" s="1838"/>
      <c r="O80" s="1838"/>
      <c r="P80" s="1838"/>
      <c r="Q80" s="1838"/>
      <c r="R80" s="1838"/>
      <c r="S80" s="1838"/>
      <c r="T80" s="1838"/>
      <c r="U80" s="1838"/>
      <c r="V80" s="1838"/>
      <c r="W80" s="1838"/>
      <c r="X80" s="1838"/>
      <c r="Y80" s="1838"/>
      <c r="Z80" s="1838"/>
      <c r="AA80" s="1838"/>
      <c r="AB80" s="1838"/>
      <c r="AC80" s="1838"/>
      <c r="AD80" s="1838"/>
      <c r="AE80" s="1859"/>
    </row>
    <row r="81" ht="14" spans="2:31">
      <c r="B81" s="1826"/>
      <c r="C81" s="1827"/>
      <c r="D81" s="1827"/>
      <c r="E81" s="1827"/>
      <c r="F81" s="1827"/>
      <c r="G81" s="1827"/>
      <c r="H81" s="1827"/>
      <c r="I81" s="1827"/>
      <c r="J81" s="1838"/>
      <c r="K81" s="1838"/>
      <c r="L81" s="1838"/>
      <c r="M81" s="1838"/>
      <c r="N81" s="1838"/>
      <c r="O81" s="1838"/>
      <c r="P81" s="1838"/>
      <c r="Q81" s="1838"/>
      <c r="R81" s="1838"/>
      <c r="S81" s="1838"/>
      <c r="T81" s="1838"/>
      <c r="U81" s="1838"/>
      <c r="V81" s="1838"/>
      <c r="W81" s="1838"/>
      <c r="X81" s="1838"/>
      <c r="Y81" s="1838"/>
      <c r="Z81" s="1838"/>
      <c r="AA81" s="1838"/>
      <c r="AB81" s="1838"/>
      <c r="AC81" s="1838"/>
      <c r="AD81" s="1838"/>
      <c r="AE81" s="1859"/>
    </row>
    <row r="82" ht="14" spans="2:31">
      <c r="B82" s="1826" t="s">
        <v>494</v>
      </c>
      <c r="C82" s="1827"/>
      <c r="D82" s="1827"/>
      <c r="E82" s="1827" t="s">
        <v>495</v>
      </c>
      <c r="F82" s="1827"/>
      <c r="G82" s="1827"/>
      <c r="H82" s="1827">
        <v>60</v>
      </c>
      <c r="I82" s="1827"/>
      <c r="J82" s="1838" t="s">
        <v>496</v>
      </c>
      <c r="K82" s="1838"/>
      <c r="L82" s="1838"/>
      <c r="M82" s="1838"/>
      <c r="N82" s="1838"/>
      <c r="O82" s="1838"/>
      <c r="P82" s="1838"/>
      <c r="Q82" s="1838"/>
      <c r="R82" s="1838"/>
      <c r="S82" s="1838"/>
      <c r="T82" s="1838"/>
      <c r="U82" s="1838"/>
      <c r="V82" s="1838"/>
      <c r="W82" s="1838"/>
      <c r="X82" s="1838"/>
      <c r="Y82" s="1838"/>
      <c r="Z82" s="1838"/>
      <c r="AA82" s="1838"/>
      <c r="AB82" s="1838"/>
      <c r="AC82" s="1838"/>
      <c r="AD82" s="1838"/>
      <c r="AE82" s="1859"/>
    </row>
    <row r="83" ht="14" spans="2:31">
      <c r="B83" s="1826"/>
      <c r="C83" s="1827"/>
      <c r="D83" s="1827"/>
      <c r="E83" s="1827"/>
      <c r="F83" s="1827"/>
      <c r="G83" s="1827"/>
      <c r="H83" s="1827"/>
      <c r="I83" s="1827"/>
      <c r="J83" s="1838"/>
      <c r="K83" s="1838"/>
      <c r="L83" s="1838"/>
      <c r="M83" s="1838"/>
      <c r="N83" s="1838"/>
      <c r="O83" s="1838"/>
      <c r="P83" s="1838"/>
      <c r="Q83" s="1838"/>
      <c r="R83" s="1838"/>
      <c r="S83" s="1838"/>
      <c r="T83" s="1838"/>
      <c r="U83" s="1838"/>
      <c r="V83" s="1838"/>
      <c r="W83" s="1838"/>
      <c r="X83" s="1838"/>
      <c r="Y83" s="1838"/>
      <c r="Z83" s="1838"/>
      <c r="AA83" s="1838"/>
      <c r="AB83" s="1838"/>
      <c r="AC83" s="1838"/>
      <c r="AD83" s="1838"/>
      <c r="AE83" s="1859"/>
    </row>
    <row r="84" ht="14" spans="2:31">
      <c r="B84" s="1826" t="s">
        <v>497</v>
      </c>
      <c r="C84" s="1827"/>
      <c r="D84" s="1827"/>
      <c r="E84" s="1827" t="s">
        <v>495</v>
      </c>
      <c r="F84" s="1827"/>
      <c r="G84" s="1827"/>
      <c r="H84" s="1827">
        <v>60</v>
      </c>
      <c r="I84" s="1827"/>
      <c r="J84" s="1838" t="s">
        <v>498</v>
      </c>
      <c r="K84" s="1838"/>
      <c r="L84" s="1838"/>
      <c r="M84" s="1838"/>
      <c r="N84" s="1838"/>
      <c r="O84" s="1838"/>
      <c r="P84" s="1838"/>
      <c r="Q84" s="1838"/>
      <c r="R84" s="1838"/>
      <c r="S84" s="1838"/>
      <c r="T84" s="1838"/>
      <c r="U84" s="1838"/>
      <c r="V84" s="1838"/>
      <c r="W84" s="1838"/>
      <c r="X84" s="1838"/>
      <c r="Y84" s="1838"/>
      <c r="Z84" s="1838"/>
      <c r="AA84" s="1838"/>
      <c r="AB84" s="1838"/>
      <c r="AC84" s="1838"/>
      <c r="AD84" s="1838"/>
      <c r="AE84" s="1859"/>
    </row>
    <row r="85" ht="14" spans="2:31">
      <c r="B85" s="1826"/>
      <c r="C85" s="1827"/>
      <c r="D85" s="1827"/>
      <c r="E85" s="1827"/>
      <c r="F85" s="1827"/>
      <c r="G85" s="1827"/>
      <c r="H85" s="1827"/>
      <c r="I85" s="1827"/>
      <c r="J85" s="1838"/>
      <c r="K85" s="1838"/>
      <c r="L85" s="1838"/>
      <c r="M85" s="1838"/>
      <c r="N85" s="1838"/>
      <c r="O85" s="1838"/>
      <c r="P85" s="1838"/>
      <c r="Q85" s="1838"/>
      <c r="R85" s="1838"/>
      <c r="S85" s="1838"/>
      <c r="T85" s="1838"/>
      <c r="U85" s="1838"/>
      <c r="V85" s="1838"/>
      <c r="W85" s="1838"/>
      <c r="X85" s="1838"/>
      <c r="Y85" s="1838"/>
      <c r="Z85" s="1838"/>
      <c r="AA85" s="1838"/>
      <c r="AB85" s="1838"/>
      <c r="AC85" s="1838"/>
      <c r="AD85" s="1838"/>
      <c r="AE85" s="1859"/>
    </row>
    <row r="86" ht="14" spans="2:31">
      <c r="B86" s="1826" t="s">
        <v>499</v>
      </c>
      <c r="C86" s="1827"/>
      <c r="D86" s="1827"/>
      <c r="E86" s="1827" t="s">
        <v>495</v>
      </c>
      <c r="F86" s="1827"/>
      <c r="G86" s="1827"/>
      <c r="H86" s="1827">
        <v>60</v>
      </c>
      <c r="I86" s="1827"/>
      <c r="J86" s="1838" t="s">
        <v>500</v>
      </c>
      <c r="K86" s="1838"/>
      <c r="L86" s="1838"/>
      <c r="M86" s="1838"/>
      <c r="N86" s="1838"/>
      <c r="O86" s="1838"/>
      <c r="P86" s="1838"/>
      <c r="Q86" s="1838"/>
      <c r="R86" s="1838"/>
      <c r="S86" s="1838"/>
      <c r="T86" s="1838"/>
      <c r="U86" s="1838"/>
      <c r="V86" s="1838"/>
      <c r="W86" s="1838"/>
      <c r="X86" s="1838"/>
      <c r="Y86" s="1838"/>
      <c r="Z86" s="1838"/>
      <c r="AA86" s="1838"/>
      <c r="AB86" s="1838"/>
      <c r="AC86" s="1838"/>
      <c r="AD86" s="1838"/>
      <c r="AE86" s="1859"/>
    </row>
    <row r="87" ht="14" spans="2:31">
      <c r="B87" s="1826"/>
      <c r="C87" s="1827"/>
      <c r="D87" s="1827"/>
      <c r="E87" s="1827"/>
      <c r="F87" s="1827"/>
      <c r="G87" s="1827"/>
      <c r="H87" s="1827"/>
      <c r="I87" s="1827"/>
      <c r="J87" s="1838"/>
      <c r="K87" s="1838"/>
      <c r="L87" s="1838"/>
      <c r="M87" s="1838"/>
      <c r="N87" s="1838"/>
      <c r="O87" s="1838"/>
      <c r="P87" s="1838"/>
      <c r="Q87" s="1838"/>
      <c r="R87" s="1838"/>
      <c r="S87" s="1838"/>
      <c r="T87" s="1838"/>
      <c r="U87" s="1838"/>
      <c r="V87" s="1838"/>
      <c r="W87" s="1838"/>
      <c r="X87" s="1838"/>
      <c r="Y87" s="1838"/>
      <c r="Z87" s="1838"/>
      <c r="AA87" s="1838"/>
      <c r="AB87" s="1838"/>
      <c r="AC87" s="1838"/>
      <c r="AD87" s="1838"/>
      <c r="AE87" s="1859"/>
    </row>
    <row r="88" ht="14" spans="2:31">
      <c r="B88" s="1826" t="s">
        <v>501</v>
      </c>
      <c r="C88" s="1827"/>
      <c r="D88" s="1827"/>
      <c r="E88" s="1828" t="s">
        <v>502</v>
      </c>
      <c r="F88" s="1828"/>
      <c r="G88" s="1828"/>
      <c r="H88" s="1827">
        <v>0</v>
      </c>
      <c r="I88" s="1827"/>
      <c r="J88" s="1838" t="s">
        <v>503</v>
      </c>
      <c r="K88" s="1838"/>
      <c r="L88" s="1838"/>
      <c r="M88" s="1838"/>
      <c r="N88" s="1838"/>
      <c r="O88" s="1838"/>
      <c r="P88" s="1838"/>
      <c r="Q88" s="1838"/>
      <c r="R88" s="1838"/>
      <c r="S88" s="1838"/>
      <c r="T88" s="1838"/>
      <c r="U88" s="1838"/>
      <c r="V88" s="1838"/>
      <c r="W88" s="1838"/>
      <c r="X88" s="1838"/>
      <c r="Y88" s="1838"/>
      <c r="Z88" s="1838"/>
      <c r="AA88" s="1838"/>
      <c r="AB88" s="1838"/>
      <c r="AC88" s="1838"/>
      <c r="AD88" s="1838"/>
      <c r="AE88" s="1859"/>
    </row>
    <row r="89" ht="14" spans="2:31">
      <c r="B89" s="1826"/>
      <c r="C89" s="1827"/>
      <c r="D89" s="1827"/>
      <c r="E89" s="1828"/>
      <c r="F89" s="1828"/>
      <c r="G89" s="1828"/>
      <c r="H89" s="1827"/>
      <c r="I89" s="1827"/>
      <c r="J89" s="1838"/>
      <c r="K89" s="1838"/>
      <c r="L89" s="1838"/>
      <c r="M89" s="1838"/>
      <c r="N89" s="1838"/>
      <c r="O89" s="1838"/>
      <c r="P89" s="1838"/>
      <c r="Q89" s="1838"/>
      <c r="R89" s="1838"/>
      <c r="S89" s="1838"/>
      <c r="T89" s="1838"/>
      <c r="U89" s="1838"/>
      <c r="V89" s="1838"/>
      <c r="W89" s="1838"/>
      <c r="X89" s="1838"/>
      <c r="Y89" s="1838"/>
      <c r="Z89" s="1838"/>
      <c r="AA89" s="1838"/>
      <c r="AB89" s="1838"/>
      <c r="AC89" s="1838"/>
      <c r="AD89" s="1838"/>
      <c r="AE89" s="1859"/>
    </row>
    <row r="90" ht="14" spans="2:31">
      <c r="B90" s="1826" t="str">
        <f>IF(ISBLANK(人物卡!BC26),"",人物卡!BC26)</f>
        <v/>
      </c>
      <c r="C90" s="1827"/>
      <c r="D90" s="1827"/>
      <c r="E90" s="1827" t="str">
        <f>IF(ISBLANK(人物卡!BC28),"",人物卡!BC28)</f>
        <v/>
      </c>
      <c r="F90" s="1827"/>
      <c r="G90" s="1827"/>
      <c r="H90" s="1827" t="str">
        <f>IF(ISBLANK(人物卡!BG28),"",人物卡!BG28)</f>
        <v/>
      </c>
      <c r="I90" s="1827"/>
      <c r="J90" s="1838" t="str">
        <f>IF(ISBLANK(人物卡!BC30),"",人物卡!BC30)</f>
        <v/>
      </c>
      <c r="K90" s="1838"/>
      <c r="L90" s="1838"/>
      <c r="M90" s="1838"/>
      <c r="N90" s="1838"/>
      <c r="O90" s="1838"/>
      <c r="P90" s="1838"/>
      <c r="Q90" s="1838"/>
      <c r="R90" s="1838"/>
      <c r="S90" s="1838"/>
      <c r="T90" s="1838"/>
      <c r="U90" s="1838"/>
      <c r="V90" s="1838"/>
      <c r="W90" s="1838"/>
      <c r="X90" s="1838"/>
      <c r="Y90" s="1838"/>
      <c r="Z90" s="1838"/>
      <c r="AA90" s="1838"/>
      <c r="AB90" s="1838"/>
      <c r="AC90" s="1838"/>
      <c r="AD90" s="1838"/>
      <c r="AE90" s="1859"/>
    </row>
    <row r="91" ht="14.75" spans="2:31">
      <c r="B91" s="1829"/>
      <c r="C91" s="1830"/>
      <c r="D91" s="1830"/>
      <c r="E91" s="1830"/>
      <c r="F91" s="1830"/>
      <c r="G91" s="1830"/>
      <c r="H91" s="1830"/>
      <c r="I91" s="1830"/>
      <c r="J91" s="1839"/>
      <c r="K91" s="1839"/>
      <c r="L91" s="1839"/>
      <c r="M91" s="1839"/>
      <c r="N91" s="1839"/>
      <c r="O91" s="1839"/>
      <c r="P91" s="1839"/>
      <c r="Q91" s="1839"/>
      <c r="R91" s="1839"/>
      <c r="S91" s="1839"/>
      <c r="T91" s="1839"/>
      <c r="U91" s="1839"/>
      <c r="V91" s="1839"/>
      <c r="W91" s="1839"/>
      <c r="X91" s="1839"/>
      <c r="Y91" s="1839"/>
      <c r="Z91" s="1839"/>
      <c r="AA91" s="1839"/>
      <c r="AB91" s="1839"/>
      <c r="AC91" s="1839"/>
      <c r="AD91" s="1839"/>
      <c r="AE91" s="1860"/>
    </row>
    <row r="97" ht="14"/>
    <row r="98" ht="14"/>
    <row r="99" ht="14"/>
    <row r="100" ht="14"/>
    <row r="101" ht="14"/>
    <row r="102" ht="14"/>
    <row r="103" ht="14"/>
    <row r="104" ht="14"/>
    <row r="105" ht="14"/>
    <row r="106" ht="14"/>
    <row r="107" ht="14"/>
    <row r="108" ht="14"/>
    <row r="109" ht="14"/>
    <row r="110" ht="14"/>
    <row r="111" ht="14"/>
    <row r="112" ht="14"/>
    <row r="113" ht="14"/>
    <row r="114" ht="14"/>
    <row r="115" ht="14"/>
    <row r="116" ht="14"/>
    <row r="117" ht="14"/>
    <row r="118" ht="14"/>
    <row r="119" ht="14"/>
    <row r="120" ht="14"/>
    <row r="121" ht="14"/>
    <row r="122" ht="14"/>
    <row r="123" ht="14"/>
    <row r="124" ht="14"/>
  </sheetData>
  <sheetProtection selectLockedCells="1"/>
  <protectedRanges>
    <protectedRange sqref="AG3:AG6 AJ3:AJ6" name="技能表以上"/>
    <protectedRange sqref="E3:E6 H3:H6 B3:B6 K3:K6 AA4 AD4" name="技能表以上_1"/>
  </protectedRanges>
  <mergeCells count="332">
    <mergeCell ref="B2:M2"/>
    <mergeCell ref="N2:Y2"/>
    <mergeCell ref="Z2:AE2"/>
    <mergeCell ref="N3:P3"/>
    <mergeCell ref="T3:V3"/>
    <mergeCell ref="N4:P4"/>
    <mergeCell ref="T4:V4"/>
    <mergeCell ref="N5:P5"/>
    <mergeCell ref="T5:V5"/>
    <mergeCell ref="Z5:AE5"/>
    <mergeCell ref="N6:P6"/>
    <mergeCell ref="T6:V6"/>
    <mergeCell ref="Z6:AA6"/>
    <mergeCell ref="AB6:AE6"/>
    <mergeCell ref="O7:P7"/>
    <mergeCell ref="T7:V7"/>
    <mergeCell ref="Z7:AA7"/>
    <mergeCell ref="AB7:AE7"/>
    <mergeCell ref="O8:P8"/>
    <mergeCell ref="T8:V8"/>
    <mergeCell ref="Z8:AA8"/>
    <mergeCell ref="AB8:AE8"/>
    <mergeCell ref="O9:P9"/>
    <mergeCell ref="T9:V9"/>
    <mergeCell ref="Z9:AA9"/>
    <mergeCell ref="AB9:AE9"/>
    <mergeCell ref="N10:P10"/>
    <mergeCell ref="T10:V10"/>
    <mergeCell ref="Z10:AA10"/>
    <mergeCell ref="AB10:AE10"/>
    <mergeCell ref="B11:M11"/>
    <mergeCell ref="N11:P11"/>
    <mergeCell ref="T11:V11"/>
    <mergeCell ref="Z11:AA11"/>
    <mergeCell ref="AB11:AE11"/>
    <mergeCell ref="N12:P12"/>
    <mergeCell ref="T12:V12"/>
    <mergeCell ref="Z12:AA12"/>
    <mergeCell ref="AB12:AE12"/>
    <mergeCell ref="N13:P13"/>
    <mergeCell ref="T13:V13"/>
    <mergeCell ref="Z13:AA13"/>
    <mergeCell ref="AB13:AE13"/>
    <mergeCell ref="N14:P14"/>
    <mergeCell ref="U14:V14"/>
    <mergeCell ref="Z14:AA14"/>
    <mergeCell ref="AB14:AE14"/>
    <mergeCell ref="N15:P15"/>
    <mergeCell ref="T15:V15"/>
    <mergeCell ref="Z15:AA15"/>
    <mergeCell ref="AB15:AE15"/>
    <mergeCell ref="N16:P16"/>
    <mergeCell ref="T16:V16"/>
    <mergeCell ref="Z16:AA16"/>
    <mergeCell ref="AB16:AE16"/>
    <mergeCell ref="B17:M17"/>
    <mergeCell ref="N17:P17"/>
    <mergeCell ref="T17:V17"/>
    <mergeCell ref="Z17:AA17"/>
    <mergeCell ref="AB17:AE17"/>
    <mergeCell ref="B18:D18"/>
    <mergeCell ref="E18:F18"/>
    <mergeCell ref="G18:H18"/>
    <mergeCell ref="I18:J18"/>
    <mergeCell ref="K18:L18"/>
    <mergeCell ref="N18:P18"/>
    <mergeCell ref="U18:V18"/>
    <mergeCell ref="B19:D19"/>
    <mergeCell ref="E19:F19"/>
    <mergeCell ref="G19:H19"/>
    <mergeCell ref="I19:J19"/>
    <mergeCell ref="K19:L19"/>
    <mergeCell ref="N19:P19"/>
    <mergeCell ref="U19:V19"/>
    <mergeCell ref="B20:M20"/>
    <mergeCell ref="N20:P20"/>
    <mergeCell ref="U20:V20"/>
    <mergeCell ref="B21:M21"/>
    <mergeCell ref="O21:P21"/>
    <mergeCell ref="T21:V21"/>
    <mergeCell ref="Z21:AE21"/>
    <mergeCell ref="B22:D22"/>
    <mergeCell ref="E22:G22"/>
    <mergeCell ref="H22:J22"/>
    <mergeCell ref="K22:M22"/>
    <mergeCell ref="O22:P22"/>
    <mergeCell ref="T22:V22"/>
    <mergeCell ref="Z22:AC22"/>
    <mergeCell ref="AD22:AE22"/>
    <mergeCell ref="B23:D23"/>
    <mergeCell ref="E23:G23"/>
    <mergeCell ref="H23:J23"/>
    <mergeCell ref="K23:M23"/>
    <mergeCell ref="O23:P23"/>
    <mergeCell ref="T23:V23"/>
    <mergeCell ref="Z23:AC23"/>
    <mergeCell ref="AD23:AE23"/>
    <mergeCell ref="B24:D24"/>
    <mergeCell ref="E24:G24"/>
    <mergeCell ref="H24:J24"/>
    <mergeCell ref="K24:M24"/>
    <mergeCell ref="O24:P24"/>
    <mergeCell ref="U24:V24"/>
    <mergeCell ref="Z24:AC24"/>
    <mergeCell ref="AD24:AE24"/>
    <mergeCell ref="B25:D25"/>
    <mergeCell ref="E25:G25"/>
    <mergeCell ref="H25:J25"/>
    <mergeCell ref="K25:M25"/>
    <mergeCell ref="O25:P25"/>
    <mergeCell ref="T25:V25"/>
    <mergeCell ref="Z25:AC25"/>
    <mergeCell ref="AD25:AE25"/>
    <mergeCell ref="B26:D26"/>
    <mergeCell ref="E26:G26"/>
    <mergeCell ref="H26:J26"/>
    <mergeCell ref="K26:M26"/>
    <mergeCell ref="O26:P26"/>
    <mergeCell ref="T26:V26"/>
    <mergeCell ref="Z26:AC26"/>
    <mergeCell ref="AD26:AE26"/>
    <mergeCell ref="B27:M27"/>
    <mergeCell ref="O27:P27"/>
    <mergeCell ref="T27:V27"/>
    <mergeCell ref="Z27:AC27"/>
    <mergeCell ref="AD27:AE27"/>
    <mergeCell ref="C28:F28"/>
    <mergeCell ref="O28:P28"/>
    <mergeCell ref="T28:V28"/>
    <mergeCell ref="Z28:AC28"/>
    <mergeCell ref="AD28:AE28"/>
    <mergeCell ref="C29:F29"/>
    <mergeCell ref="N29:P29"/>
    <mergeCell ref="T29:V29"/>
    <mergeCell ref="Z29:AC29"/>
    <mergeCell ref="AD29:AE29"/>
    <mergeCell ref="C30:F30"/>
    <mergeCell ref="N30:P30"/>
    <mergeCell ref="T30:V30"/>
    <mergeCell ref="Z30:AC30"/>
    <mergeCell ref="AD30:AE30"/>
    <mergeCell ref="C31:F31"/>
    <mergeCell ref="N31:P31"/>
    <mergeCell ref="T31:V31"/>
    <mergeCell ref="Z31:AC31"/>
    <mergeCell ref="AD31:AE31"/>
    <mergeCell ref="C32:F32"/>
    <mergeCell ref="N32:P32"/>
    <mergeCell ref="T32:V32"/>
    <mergeCell ref="Z32:AC32"/>
    <mergeCell ref="AD32:AE32"/>
    <mergeCell ref="C33:F33"/>
    <mergeCell ref="O33:P33"/>
    <mergeCell ref="T33:V33"/>
    <mergeCell ref="Z33:AC33"/>
    <mergeCell ref="AD33:AE33"/>
    <mergeCell ref="C34:F34"/>
    <mergeCell ref="O34:P34"/>
    <mergeCell ref="T34:V34"/>
    <mergeCell ref="C35:F35"/>
    <mergeCell ref="O35:P35"/>
    <mergeCell ref="T35:V35"/>
    <mergeCell ref="C36:G36"/>
    <mergeCell ref="O36:P36"/>
    <mergeCell ref="T36:V36"/>
    <mergeCell ref="AF36:AO36"/>
    <mergeCell ref="B37:O37"/>
    <mergeCell ref="P37:Y37"/>
    <mergeCell ref="B38:Y38"/>
    <mergeCell ref="B39:Y39"/>
    <mergeCell ref="AF39:AN39"/>
    <mergeCell ref="Z50:AE50"/>
    <mergeCell ref="AA56:AE56"/>
    <mergeCell ref="AA57:AE57"/>
    <mergeCell ref="B64:Y64"/>
    <mergeCell ref="B65:C65"/>
    <mergeCell ref="D65:E65"/>
    <mergeCell ref="F65:I65"/>
    <mergeCell ref="J65:K65"/>
    <mergeCell ref="L65:M65"/>
    <mergeCell ref="N65:Q65"/>
    <mergeCell ref="R65:S65"/>
    <mergeCell ref="T65:U65"/>
    <mergeCell ref="V65:Y65"/>
    <mergeCell ref="B66:C66"/>
    <mergeCell ref="D66:E66"/>
    <mergeCell ref="F66:I66"/>
    <mergeCell ref="J66:K66"/>
    <mergeCell ref="L66:M66"/>
    <mergeCell ref="N66:Q66"/>
    <mergeCell ref="R66:S66"/>
    <mergeCell ref="T66:U66"/>
    <mergeCell ref="V66:Y66"/>
    <mergeCell ref="B67:C67"/>
    <mergeCell ref="D67:E67"/>
    <mergeCell ref="F67:I67"/>
    <mergeCell ref="J67:K67"/>
    <mergeCell ref="L67:M67"/>
    <mergeCell ref="N67:Q67"/>
    <mergeCell ref="R67:S67"/>
    <mergeCell ref="T67:U67"/>
    <mergeCell ref="V67:Y67"/>
    <mergeCell ref="B68:C68"/>
    <mergeCell ref="D68:E68"/>
    <mergeCell ref="F68:I68"/>
    <mergeCell ref="J68:K68"/>
    <mergeCell ref="L68:M68"/>
    <mergeCell ref="N68:Q68"/>
    <mergeCell ref="R68:S68"/>
    <mergeCell ref="T68:U68"/>
    <mergeCell ref="V68:Y68"/>
    <mergeCell ref="B69:C69"/>
    <mergeCell ref="D69:E69"/>
    <mergeCell ref="F69:I69"/>
    <mergeCell ref="R69:S69"/>
    <mergeCell ref="T69:U69"/>
    <mergeCell ref="V69:Y69"/>
    <mergeCell ref="B70:C70"/>
    <mergeCell ref="D70:E70"/>
    <mergeCell ref="F70:I70"/>
    <mergeCell ref="R70:S70"/>
    <mergeCell ref="T70:U70"/>
    <mergeCell ref="V70:Y70"/>
    <mergeCell ref="B71:C71"/>
    <mergeCell ref="D71:E71"/>
    <mergeCell ref="F71:I71"/>
    <mergeCell ref="R71:S71"/>
    <mergeCell ref="T71:U71"/>
    <mergeCell ref="V71:Y71"/>
    <mergeCell ref="B72:C72"/>
    <mergeCell ref="D72:E72"/>
    <mergeCell ref="F72:I72"/>
    <mergeCell ref="J72:K72"/>
    <mergeCell ref="L72:M72"/>
    <mergeCell ref="N72:Q72"/>
    <mergeCell ref="R72:S72"/>
    <mergeCell ref="T72:U72"/>
    <mergeCell ref="V72:Y72"/>
    <mergeCell ref="B73:C73"/>
    <mergeCell ref="D73:E73"/>
    <mergeCell ref="F73:I73"/>
    <mergeCell ref="J73:K73"/>
    <mergeCell ref="L73:M73"/>
    <mergeCell ref="N73:Q73"/>
    <mergeCell ref="R73:S73"/>
    <mergeCell ref="T73:U73"/>
    <mergeCell ref="V73:Y73"/>
    <mergeCell ref="B74:C74"/>
    <mergeCell ref="D74:E74"/>
    <mergeCell ref="F74:I74"/>
    <mergeCell ref="J74:K74"/>
    <mergeCell ref="L74:M74"/>
    <mergeCell ref="N74:Q74"/>
    <mergeCell ref="R74:S74"/>
    <mergeCell ref="T74:U74"/>
    <mergeCell ref="V74:Y74"/>
    <mergeCell ref="B79:D79"/>
    <mergeCell ref="E79:G79"/>
    <mergeCell ref="H79:I79"/>
    <mergeCell ref="J79:AE79"/>
    <mergeCell ref="B3:B4"/>
    <mergeCell ref="B5:B6"/>
    <mergeCell ref="B7:B8"/>
    <mergeCell ref="B9:B10"/>
    <mergeCell ref="C3:C4"/>
    <mergeCell ref="C5:C6"/>
    <mergeCell ref="C7:C8"/>
    <mergeCell ref="D7:D8"/>
    <mergeCell ref="E3:E4"/>
    <mergeCell ref="E5:E6"/>
    <mergeCell ref="E7:E8"/>
    <mergeCell ref="E9:E10"/>
    <mergeCell ref="F3:F4"/>
    <mergeCell ref="F5:F6"/>
    <mergeCell ref="F7:F8"/>
    <mergeCell ref="G7:G8"/>
    <mergeCell ref="H3:H4"/>
    <mergeCell ref="H5:H6"/>
    <mergeCell ref="H7:H8"/>
    <mergeCell ref="H9:H10"/>
    <mergeCell ref="I3:I4"/>
    <mergeCell ref="I5:I6"/>
    <mergeCell ref="I7:I8"/>
    <mergeCell ref="J7:J8"/>
    <mergeCell ref="K3:K4"/>
    <mergeCell ref="K5:K6"/>
    <mergeCell ref="K7:K8"/>
    <mergeCell ref="K9:K10"/>
    <mergeCell ref="L3:L4"/>
    <mergeCell ref="L5:L6"/>
    <mergeCell ref="Z3:Z4"/>
    <mergeCell ref="F9:G10"/>
    <mergeCell ref="L9:M10"/>
    <mergeCell ref="J90:AE91"/>
    <mergeCell ref="AF37:AL38"/>
    <mergeCell ref="J82:AE83"/>
    <mergeCell ref="B40:Y43"/>
    <mergeCell ref="C9:D10"/>
    <mergeCell ref="I9:J10"/>
    <mergeCell ref="H90:I91"/>
    <mergeCell ref="B90:D91"/>
    <mergeCell ref="E90:G91"/>
    <mergeCell ref="AA45:AE49"/>
    <mergeCell ref="Z18:AE20"/>
    <mergeCell ref="AA51:AE55"/>
    <mergeCell ref="AD3:AE4"/>
    <mergeCell ref="J80:AE81"/>
    <mergeCell ref="B88:D89"/>
    <mergeCell ref="E88:G89"/>
    <mergeCell ref="B86:D87"/>
    <mergeCell ref="E86:G87"/>
    <mergeCell ref="H86:I87"/>
    <mergeCell ref="AA39:AE43"/>
    <mergeCell ref="Z34:AE36"/>
    <mergeCell ref="J88:AE89"/>
    <mergeCell ref="J86:AE87"/>
    <mergeCell ref="B77:AE78"/>
    <mergeCell ref="B80:D81"/>
    <mergeCell ref="E80:G81"/>
    <mergeCell ref="B82:D83"/>
    <mergeCell ref="E82:G83"/>
    <mergeCell ref="H82:I83"/>
    <mergeCell ref="H28:M36"/>
    <mergeCell ref="AA3:AB4"/>
    <mergeCell ref="B84:D85"/>
    <mergeCell ref="E84:G85"/>
    <mergeCell ref="J84:AE85"/>
    <mergeCell ref="H84:I85"/>
    <mergeCell ref="H88:I89"/>
    <mergeCell ref="L7:M8"/>
    <mergeCell ref="H80:I81"/>
    <mergeCell ref="B75:G76"/>
  </mergeCells>
  <dataValidations count="4">
    <dataValidation type="list" allowBlank="1" showInputMessage="1" showErrorMessage="1" sqref="Z3">
      <formula1>"公元,公元前"</formula1>
    </dataValidation>
    <dataValidation type="list" allowBlank="1" showInputMessage="1" showErrorMessage="1" sqref="AA3 AC3:AC4">
      <formula1>#REF!</formula1>
    </dataValidation>
    <dataValidation allowBlank="1" showErrorMessage="1" sqref="I18:M18"/>
    <dataValidation allowBlank="1" showInputMessage="1" showErrorMessage="1" sqref="B3:M6"/>
  </dataValidations>
  <pageMargins left="0.75" right="0.75" top="1" bottom="1" header="0.511805555555556" footer="0.511805555555556"/>
  <headerFooter/>
  <ignoredErrors>
    <ignoredError sqref="B2" emptyCellReference="1"/>
  </ignoredError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V664"/>
  <sheetViews>
    <sheetView zoomScale="121" zoomScaleNormal="121" topLeftCell="L79" workbookViewId="0">
      <selection activeCell="P90" sqref="P90:P92"/>
    </sheetView>
  </sheetViews>
  <sheetFormatPr defaultColWidth="9" defaultRowHeight="14.5"/>
  <cols>
    <col min="1" max="3" width="9" style="1162" customWidth="1"/>
    <col min="4" max="4" width="11.3363636363636" style="1162" customWidth="1"/>
    <col min="5" max="5" width="8.78181818181818" style="1162" customWidth="1"/>
    <col min="6" max="6" width="9.66363636363636" style="1162" customWidth="1"/>
    <col min="7" max="7" width="11.2181818181818" style="1162" customWidth="1"/>
    <col min="8" max="8" width="10.2181818181818" style="1162" customWidth="1"/>
    <col min="9" max="9" width="9" style="1162" customWidth="1"/>
    <col min="10" max="10" width="9.10909090909091" style="1162" customWidth="1"/>
    <col min="11" max="11" width="12.3363636363636" style="1162" customWidth="1"/>
    <col min="12" max="26" width="9" style="1162" customWidth="1"/>
    <col min="27" max="27" width="9.78181818181818" style="1162" customWidth="1"/>
    <col min="28" max="29" width="9" style="1162" customWidth="1"/>
    <col min="30" max="30" width="13.4454545454545" style="1162" customWidth="1"/>
    <col min="31" max="31" width="10.6636363636364" style="1162" customWidth="1"/>
    <col min="32" max="34" width="17.7818181818182" style="1162" customWidth="1"/>
    <col min="35" max="37" width="14.6636363636364" style="1162" customWidth="1"/>
    <col min="38" max="40" width="15.8909090909091" style="1162" customWidth="1"/>
    <col min="41" max="41" width="37.6636363636364" style="1162" customWidth="1"/>
    <col min="42" max="42" width="26.1090909090909" style="1162" customWidth="1"/>
    <col min="43" max="43" width="10.1090909090909" style="1162" customWidth="1"/>
    <col min="44" max="44" width="10.8909090909091" style="1162" customWidth="1"/>
    <col min="45" max="45" width="16" style="1162" customWidth="1"/>
    <col min="46" max="51" width="9" style="1162" customWidth="1"/>
    <col min="52" max="52" width="14" style="1162" customWidth="1"/>
    <col min="53" max="53" width="17.7818181818182" style="1162" customWidth="1"/>
    <col min="54" max="54" width="19.6636363636364" style="1162" customWidth="1"/>
    <col min="55" max="55" width="9" style="1162" customWidth="1"/>
    <col min="56" max="16384" width="9" style="1162"/>
  </cols>
  <sheetData>
    <row r="1" ht="14.75" spans="36:38">
      <c r="AJ1" s="1366" t="s">
        <v>504</v>
      </c>
      <c r="AK1" s="1366"/>
      <c r="AL1" s="1366"/>
    </row>
    <row r="2" ht="15.25" spans="2:35">
      <c r="B2" s="1163" t="s">
        <v>505</v>
      </c>
      <c r="C2" s="1163"/>
      <c r="D2" s="1163"/>
      <c r="E2" s="1163"/>
      <c r="S2" s="1169" t="s">
        <v>506</v>
      </c>
      <c r="T2" s="1197"/>
      <c r="U2" s="1197"/>
      <c r="V2" s="1197"/>
      <c r="W2" s="1197"/>
      <c r="X2" s="1197"/>
      <c r="Y2" s="1197"/>
      <c r="Z2" s="1197"/>
      <c r="AA2" s="1197"/>
      <c r="AB2" s="1197"/>
      <c r="AC2" s="1197"/>
      <c r="AD2" s="1197"/>
      <c r="AE2" s="1197"/>
      <c r="AF2" s="1197"/>
      <c r="AG2" s="1197"/>
      <c r="AH2" s="1197"/>
      <c r="AI2" s="1238"/>
    </row>
    <row r="3" ht="17.25" spans="1:35">
      <c r="A3" s="1164" t="s">
        <v>507</v>
      </c>
      <c r="B3" s="1165" t="s">
        <v>508</v>
      </c>
      <c r="C3" s="1166" t="s">
        <v>509</v>
      </c>
      <c r="D3" s="1167" t="s">
        <v>510</v>
      </c>
      <c r="E3" s="1168">
        <f>G14-I14</f>
        <v>0</v>
      </c>
      <c r="G3" s="1169" t="s">
        <v>511</v>
      </c>
      <c r="H3" s="1170" t="s">
        <v>512</v>
      </c>
      <c r="I3" s="1170" t="s">
        <v>513</v>
      </c>
      <c r="J3" s="1170" t="s">
        <v>514</v>
      </c>
      <c r="K3" s="1192"/>
      <c r="L3" s="1193"/>
      <c r="N3" s="1169" t="s">
        <v>515</v>
      </c>
      <c r="O3" s="1197"/>
      <c r="P3" s="1238"/>
      <c r="S3" s="1283" t="s">
        <v>516</v>
      </c>
      <c r="T3" s="1284" t="s">
        <v>517</v>
      </c>
      <c r="U3" s="1285" t="s">
        <v>518</v>
      </c>
      <c r="V3" s="1286" t="s">
        <v>519</v>
      </c>
      <c r="W3" s="1286"/>
      <c r="X3" s="1286"/>
      <c r="Y3" s="1286"/>
      <c r="Z3" s="1290"/>
      <c r="AA3" s="1290"/>
      <c r="AB3" s="1290"/>
      <c r="AD3" s="1290"/>
      <c r="AE3" s="1290"/>
      <c r="AF3" s="1290"/>
      <c r="AI3" s="1240"/>
    </row>
    <row r="4" ht="16.5" spans="1:37">
      <c r="A4" s="1171"/>
      <c r="B4" s="1172"/>
      <c r="C4" s="1173"/>
      <c r="D4" s="1174" t="s">
        <v>520</v>
      </c>
      <c r="E4" s="1175">
        <f>J14-I14</f>
        <v>0</v>
      </c>
      <c r="G4" s="1176" t="s">
        <v>521</v>
      </c>
      <c r="H4" s="1162" t="s">
        <v>522</v>
      </c>
      <c r="I4" s="1162" t="s">
        <v>523</v>
      </c>
      <c r="J4" s="1162" t="s">
        <v>524</v>
      </c>
      <c r="K4" s="1239" t="s">
        <v>525</v>
      </c>
      <c r="L4" s="1240" t="s">
        <v>526</v>
      </c>
      <c r="N4" s="1176" t="s">
        <v>527</v>
      </c>
      <c r="O4" s="1239"/>
      <c r="P4" s="1240"/>
      <c r="R4" s="1205"/>
      <c r="S4" s="1287" t="str">
        <f>"力量×"&amp;U4</f>
        <v>力量×0</v>
      </c>
      <c r="T4" s="1288" t="str">
        <f>职业列表!I15</f>
        <v>×</v>
      </c>
      <c r="U4" s="1289">
        <f>职业列表!J15</f>
        <v>0</v>
      </c>
      <c r="V4" s="1290">
        <f>G14*U4</f>
        <v>0</v>
      </c>
      <c r="W4" s="1290"/>
      <c r="X4" s="1291" t="str">
        <f t="shared" ref="X4:X12" si="0">IF(U4&gt;0,S4,"")</f>
        <v/>
      </c>
      <c r="Y4" s="1314" t="str">
        <f t="shared" ref="Y4:Y11" si="1">IF(AND(U5&gt;0,U4&gt;0),"+","")</f>
        <v/>
      </c>
      <c r="Z4" s="1290" t="str">
        <f>IF(U5&gt;0,S5,"")</f>
        <v/>
      </c>
      <c r="AA4" s="1315"/>
      <c r="AC4" s="1315"/>
      <c r="AD4" s="1315"/>
      <c r="AE4" s="1315"/>
      <c r="AF4" s="1315"/>
      <c r="AI4" s="1240"/>
      <c r="AK4" s="1294"/>
    </row>
    <row r="5" ht="17.25" spans="1:37">
      <c r="A5" s="1177">
        <f>IF(人物卡!AI12="开",1,IF(人物卡!AI12="关",0))</f>
        <v>0</v>
      </c>
      <c r="B5" s="1176" t="str">
        <f>IF(人物卡!AN12=0,"0",VLOOKUP(人物卡!AN12,'防具表 载具表'!B2:I101,3,FALSE))</f>
        <v>0</v>
      </c>
      <c r="C5" s="1174">
        <f>IF(人物卡!E6&lt;40,0,INT((人物卡!E6/10)-3))</f>
        <v>0</v>
      </c>
      <c r="D5" s="1174" t="s">
        <v>528</v>
      </c>
      <c r="E5" s="1175" t="str">
        <f>IF(E3&gt;0,"1",IF(E3=0,"0",IF(E3&lt;0,"-1")))</f>
        <v>0</v>
      </c>
      <c r="G5" s="1176">
        <f>AVERAGE(人物卡!AA7+人物卡!R16+人物卡!R17+人物卡!R18+人物卡!R19+人物卡!R25+人物卡!R27+人物卡!R46+人物卡!R47+人物卡!R48+人物卡!AN17+人物卡!AN18+人物卡!AN22+人物卡!AN24+人物卡!AN28+人物卡!AN29+人物卡!AN35+人物卡!AN40+人物卡!AN44-122)</f>
        <v>0</v>
      </c>
      <c r="H5" s="1162">
        <f>AVERAGE(人物卡!AA5+人物卡!R17+人物卡!R18+人物卡!R23+人物卡!R26+人物卡!R28+人物卡!R33+人物卡!R44+人物卡!R46+人物卡!R47+人物卡!R48+人物卡!R49+人物卡!AN16+人物卡!AN26+人物卡!AN28+人物卡!AN29+人物卡!AN35+人物卡!AN40+人物卡!AN44-111-人物卡!J49)</f>
        <v>0</v>
      </c>
      <c r="I5" s="1162">
        <f>AVERAGE((人物卡!U3+人物卡!U7)/2+人物卡!U5+人物卡!AA3+人物卡!R29+人物卡!R34+人物卡!R35+人物卡!R36+人物卡!R38+人物卡!R39+人物卡!R40+人物卡!R44+人物卡!R45+人物卡!AN18+人物卡!AN25+人物卡!AN29+人物卡!AN30+人物卡!AN35+人物卡!AN36+人物卡!AN39+人物卡!AN41+人物卡!AN43+人物卡!AN45+人物卡!AN46-189-人物卡!J29)</f>
        <v>0</v>
      </c>
      <c r="J5" s="1239">
        <f>AVERAGE(人物卡!AA3+人物卡!R19+人物卡!R20+人物卡!R21+人物卡!R22+人物卡!R24+人物卡!R28+人物卡!R30+人物卡!R31+人物卡!R45+人物卡!AN19+人物卡!AN20+人物卡!AN21+人物卡!AN23+人物卡!AN25+人物卡!AN27+人物卡!AN30+人物卡!AN34+人物卡!AN36+人物卡!AN37+人物卡!AN38+人物卡!AN39+人物卡!AN40+人物卡!AN41+人物卡!AN42+人物卡!AN43+人物卡!AN45+人物卡!AN46-219)</f>
        <v>0</v>
      </c>
      <c r="K5" s="1239">
        <f>AVERAGE(人物卡!R42+人物卡!AN21+人物卡!AN28+人物卡!R30+人物卡!AN27+人物卡!AN30+人物卡!AN23+人物卡!R26+人物卡!R17+人物卡!AN41+人物卡!AN45+人物卡!AN46-76)</f>
        <v>0</v>
      </c>
      <c r="L5" s="1240">
        <f>AVERAGE(人物卡!AG5+人物卡!AA7+人物卡!R16+人物卡!R17+人物卡!R25+人物卡!R27+人物卡!R32+人物卡!R43+人物卡!R46+人物卡!R47+人物卡!R48+人物卡!R49-人物卡!J49+人物卡!AN16+人物卡!AN17+人物卡!AN21+人物卡!AN22+人物卡!AN24+人物卡!AN28+人物卡!AN29+人物卡!AN31+人物卡!AN32+人物卡!AN33+人物卡!AN44-76)</f>
        <v>0</v>
      </c>
      <c r="M5" s="1205"/>
      <c r="N5" s="1176">
        <f>G14+I14</f>
        <v>0</v>
      </c>
      <c r="O5" s="1239"/>
      <c r="P5" s="1240"/>
      <c r="R5" s="1292"/>
      <c r="S5" s="1287" t="str">
        <f>"敏捷×"&amp;U5</f>
        <v>敏捷×0</v>
      </c>
      <c r="T5" s="1288" t="str">
        <f>职业列表!I16</f>
        <v>×</v>
      </c>
      <c r="U5" s="1289">
        <f>职业列表!J16</f>
        <v>0</v>
      </c>
      <c r="V5" s="1290">
        <f>J14*U5</f>
        <v>0</v>
      </c>
      <c r="W5" s="1290"/>
      <c r="X5" s="1176" t="str">
        <f t="shared" si="0"/>
        <v/>
      </c>
      <c r="Y5" s="1314" t="str">
        <f t="shared" si="1"/>
        <v/>
      </c>
      <c r="Z5" s="1290"/>
      <c r="AA5" s="1290"/>
      <c r="AB5" s="1290"/>
      <c r="AD5" s="1290"/>
      <c r="AE5" s="1290"/>
      <c r="AF5" s="1290"/>
      <c r="AI5" s="1240"/>
      <c r="AK5" s="1294"/>
    </row>
    <row r="6" ht="43.5" spans="1:37">
      <c r="A6" s="1178"/>
      <c r="B6" s="1179" t="s">
        <v>529</v>
      </c>
      <c r="C6" s="1180" t="s">
        <v>530</v>
      </c>
      <c r="D6" s="1174" t="s">
        <v>531</v>
      </c>
      <c r="E6" s="1175" t="str">
        <f>IF(E4&gt;0,"1",IF(E4=0,"0",IF(E4&lt;0,"-1")))</f>
        <v>0</v>
      </c>
      <c r="G6" s="1176"/>
      <c r="J6" s="1239">
        <f>G5+H5+I5+J5+K5+L5</f>
        <v>0</v>
      </c>
      <c r="K6" s="1239"/>
      <c r="L6" s="1240"/>
      <c r="M6" s="1205"/>
      <c r="N6" s="1172" t="s">
        <v>532</v>
      </c>
      <c r="O6" s="1241" t="s">
        <v>533</v>
      </c>
      <c r="P6" s="1242" t="s">
        <v>534</v>
      </c>
      <c r="R6" s="1292"/>
      <c r="S6" s="1287" t="str">
        <f>"体质×"&amp;U6</f>
        <v>体质×0</v>
      </c>
      <c r="T6" s="1288" t="str">
        <f>职业列表!I17</f>
        <v>×</v>
      </c>
      <c r="U6" s="1289">
        <f>职业列表!J17</f>
        <v>0</v>
      </c>
      <c r="V6" s="1290">
        <f>H14*U6</f>
        <v>0</v>
      </c>
      <c r="W6" s="1290"/>
      <c r="X6" s="1293" t="str">
        <f t="shared" si="0"/>
        <v/>
      </c>
      <c r="Y6" s="1314" t="str">
        <f t="shared" si="1"/>
        <v/>
      </c>
      <c r="Z6" s="1290"/>
      <c r="AA6" s="1290"/>
      <c r="AB6" s="1290"/>
      <c r="AC6" s="1290"/>
      <c r="AD6" s="1290"/>
      <c r="AE6" s="1290"/>
      <c r="AF6" s="1290"/>
      <c r="AI6" s="1240"/>
      <c r="AK6" s="1294"/>
    </row>
    <row r="7" ht="16.5" spans="1:37">
      <c r="A7" s="1178"/>
      <c r="B7" s="1179" t="b">
        <f>ISNUMBER(B5)</f>
        <v>0</v>
      </c>
      <c r="C7" s="1181">
        <f>IF(ISBLANK(人物卡!E6),0,IF(人物卡!E6&gt;=0,C5,0))</f>
        <v>0</v>
      </c>
      <c r="D7" s="1174" t="s">
        <v>535</v>
      </c>
      <c r="E7" s="1175">
        <f>E6+E5</f>
        <v>0</v>
      </c>
      <c r="G7" s="1176" t="s">
        <v>521</v>
      </c>
      <c r="H7" s="1162" t="s">
        <v>522</v>
      </c>
      <c r="I7" s="1162" t="s">
        <v>523</v>
      </c>
      <c r="J7" s="1162" t="s">
        <v>524</v>
      </c>
      <c r="K7" s="1239" t="s">
        <v>525</v>
      </c>
      <c r="L7" s="1240" t="s">
        <v>526</v>
      </c>
      <c r="M7" s="1205"/>
      <c r="N7" s="1176" t="str">
        <f>IF(N5&lt;=1,"0",IF(N5&lt;=64,"-2",IF(N5&lt;=84,"-1",IF(N5&lt;=124,"0",IF(N5&lt;=164,"1",IF(N5&lt;=204,"2",IF(N5&lt;=284,"3",IF(N5&gt;284,"4","0"))))))))</f>
        <v>0</v>
      </c>
      <c r="O7" s="1239">
        <f>INT((N5-285)/80)</f>
        <v>-4</v>
      </c>
      <c r="P7" s="1242" t="str">
        <f>IF(O7&gt;=0,O7+N7,N7)</f>
        <v>0</v>
      </c>
      <c r="R7" s="1292"/>
      <c r="S7" s="1287" t="str">
        <f>"体型×"&amp;U7</f>
        <v>体型×0</v>
      </c>
      <c r="T7" s="1288" t="str">
        <f>职业列表!I18</f>
        <v>×</v>
      </c>
      <c r="U7" s="1289">
        <f>职业列表!J18</f>
        <v>0</v>
      </c>
      <c r="V7" s="1290">
        <f>I14*U7</f>
        <v>0</v>
      </c>
      <c r="W7" s="1294"/>
      <c r="X7" s="1293" t="str">
        <f t="shared" si="0"/>
        <v/>
      </c>
      <c r="Y7" s="1314" t="str">
        <f t="shared" si="1"/>
        <v/>
      </c>
      <c r="Z7" s="1290"/>
      <c r="AA7" s="1290"/>
      <c r="AB7" s="1290"/>
      <c r="AC7" s="1290"/>
      <c r="AD7" s="1290"/>
      <c r="AE7" s="1290"/>
      <c r="AF7" s="1290"/>
      <c r="AI7" s="1240"/>
      <c r="AK7" s="1294"/>
    </row>
    <row r="8" ht="29.75" spans="1:37">
      <c r="A8" s="1177"/>
      <c r="B8" s="1182" t="s">
        <v>536</v>
      </c>
      <c r="C8" s="1183" t="str">
        <f>IF(B7=FALSE,"0",IF(A5=1,B5,0))</f>
        <v>0</v>
      </c>
      <c r="D8" s="1184" t="s">
        <v>537</v>
      </c>
      <c r="E8" s="1185">
        <f>IF(E7=2,"1",IF(E7=-2,"-1",0))</f>
        <v>0</v>
      </c>
      <c r="G8" s="1186" t="e">
        <f>G5/J6</f>
        <v>#DIV/0!</v>
      </c>
      <c r="H8" s="1187" t="e">
        <f>H5/J6</f>
        <v>#DIV/0!</v>
      </c>
      <c r="I8" s="1187" t="e">
        <f>I5/J6</f>
        <v>#DIV/0!</v>
      </c>
      <c r="J8" s="1187" t="e">
        <f>J5/J6</f>
        <v>#DIV/0!</v>
      </c>
      <c r="K8" s="1187" t="e">
        <f>K5/J6</f>
        <v>#DIV/0!</v>
      </c>
      <c r="L8" s="1243" t="e">
        <f>L5/J6</f>
        <v>#DIV/0!</v>
      </c>
      <c r="M8" s="1205"/>
      <c r="N8" s="1172" t="s">
        <v>538</v>
      </c>
      <c r="O8" s="1241" t="s">
        <v>539</v>
      </c>
      <c r="P8" s="1242" t="s">
        <v>540</v>
      </c>
      <c r="R8" s="1292"/>
      <c r="S8" s="1287" t="str">
        <f>"外貌×"&amp;U8</f>
        <v>外貌×0</v>
      </c>
      <c r="T8" s="1288" t="str">
        <f>职业列表!I19</f>
        <v>×</v>
      </c>
      <c r="U8" s="1289">
        <f>职业列表!J19</f>
        <v>0</v>
      </c>
      <c r="V8" s="1290">
        <f>K14*U8</f>
        <v>0</v>
      </c>
      <c r="W8" s="1290"/>
      <c r="X8" s="1293" t="str">
        <f t="shared" si="0"/>
        <v/>
      </c>
      <c r="Y8" s="1314" t="str">
        <f t="shared" si="1"/>
        <v/>
      </c>
      <c r="Z8" s="1290"/>
      <c r="AA8" s="1290"/>
      <c r="AC8" s="1290"/>
      <c r="AD8" s="1290"/>
      <c r="AE8" s="1290"/>
      <c r="AF8" s="1290"/>
      <c r="AI8" s="1240"/>
      <c r="AK8" s="1294"/>
    </row>
    <row r="9" ht="17.25" spans="2:37">
      <c r="B9" s="1188" t="s">
        <v>541</v>
      </c>
      <c r="C9" s="1189">
        <f>E8-C8-C7</f>
        <v>0</v>
      </c>
      <c r="D9" s="1189"/>
      <c r="E9" s="1190"/>
      <c r="M9" s="1205"/>
      <c r="N9" s="1176" t="str">
        <f>IF(P7="-2","-2",IF(P7="-1","-1",IF(P7="0","0",IF(P7="1","+1D4",IF(P7=2,"+1D6",IF(P7&gt;2,"D6",0))))))</f>
        <v>0</v>
      </c>
      <c r="O9" s="1239" t="str">
        <f>IF(N9="D6",P7-1,"0")</f>
        <v>0</v>
      </c>
      <c r="P9" s="1185" t="str">
        <f>IF(N9="D6",O10,N9)</f>
        <v>0</v>
      </c>
      <c r="R9" s="1292"/>
      <c r="S9" s="1287" t="str">
        <f>"智力×"&amp;U9</f>
        <v>智力×0</v>
      </c>
      <c r="T9" s="1288" t="str">
        <f>职业列表!I20</f>
        <v>×</v>
      </c>
      <c r="U9" s="1289">
        <f>职业列表!J20</f>
        <v>0</v>
      </c>
      <c r="V9" s="1290">
        <f>L14*U9</f>
        <v>0</v>
      </c>
      <c r="W9" s="1290"/>
      <c r="X9" s="1293" t="str">
        <f t="shared" si="0"/>
        <v/>
      </c>
      <c r="Y9" s="1314" t="str">
        <f t="shared" si="1"/>
        <v/>
      </c>
      <c r="Z9" s="1290"/>
      <c r="AA9" s="1316" t="str">
        <f>X4&amp;Y4&amp;X5&amp;Y5&amp;X6&amp;Y6&amp;X7&amp;Y7&amp;X8&amp;Y8&amp;X9&amp;Y9&amp;X10&amp;Y10&amp;X11&amp;Y11&amp;X12</f>
        <v>教育×4</v>
      </c>
      <c r="AB9" s="1189"/>
      <c r="AC9" s="1317"/>
      <c r="AD9" s="1317"/>
      <c r="AE9" s="1318"/>
      <c r="AF9" s="1290" t="s">
        <v>542</v>
      </c>
      <c r="AI9" s="1240"/>
      <c r="AK9" s="1294"/>
    </row>
    <row r="10" ht="17.25" spans="2:37">
      <c r="B10" s="1191" t="s">
        <v>543</v>
      </c>
      <c r="C10" s="1192"/>
      <c r="D10" s="1192"/>
      <c r="E10" s="1193"/>
      <c r="J10" s="1239"/>
      <c r="K10" s="1239"/>
      <c r="L10" s="1239"/>
      <c r="M10" s="1205"/>
      <c r="N10" s="1186"/>
      <c r="O10" s="1187" t="str">
        <f>"+"&amp;O9&amp;"D6"</f>
        <v>+0D6</v>
      </c>
      <c r="P10" s="1243"/>
      <c r="R10" s="1292"/>
      <c r="S10" s="1287" t="str">
        <f>"教育×"&amp;U10</f>
        <v>教育×4</v>
      </c>
      <c r="T10" s="1288" t="str">
        <f>职业列表!I21</f>
        <v>√</v>
      </c>
      <c r="U10" s="1289">
        <f>职业列表!J21</f>
        <v>4</v>
      </c>
      <c r="V10" s="1290">
        <f>N14*U10</f>
        <v>0</v>
      </c>
      <c r="W10" s="1290"/>
      <c r="X10" s="1293" t="str">
        <f t="shared" si="0"/>
        <v>教育×4</v>
      </c>
      <c r="Y10" s="1314" t="str">
        <f t="shared" si="1"/>
        <v/>
      </c>
      <c r="Z10" s="1290"/>
      <c r="AA10" s="1319">
        <f>IF(AB10=职业列表!H25,1,0)</f>
        <v>0</v>
      </c>
      <c r="AB10" s="1320" t="s">
        <v>544</v>
      </c>
      <c r="AC10" s="1320"/>
      <c r="AD10" s="1320"/>
      <c r="AE10" s="1320"/>
      <c r="AF10" s="1321">
        <f>IF(AA10=1,MAX(V4:V9,V11:V12)+V10,0)</f>
        <v>0</v>
      </c>
      <c r="AI10" s="1240"/>
      <c r="AK10" s="1294"/>
    </row>
    <row r="11" ht="17.25" spans="2:37">
      <c r="B11" s="1176" t="s">
        <v>545</v>
      </c>
      <c r="C11" s="1194">
        <f>IF(人物卡!H35="鞭子","5",IF(人物卡!H35="电锯","10",IF(人物卡!H35="斧","15",IF(人物卡!H35="剑","20",IF(人物卡!H35="绞具","15",IF(人物卡!H35="链枷","10",IF(人物卡!H35="矛","20",IF(人物卡!H35=人物卡!AU28,人物卡!BA28,0))))))))</f>
        <v>0</v>
      </c>
      <c r="D11" s="1162" t="s">
        <v>546</v>
      </c>
      <c r="E11" s="1195" t="e">
        <f>VLOOKUP(人物卡!H39,$Q$218:$R$232,2,0)</f>
        <v>#N/A</v>
      </c>
      <c r="R11" s="1292"/>
      <c r="S11" s="1287" t="str">
        <f>"意志×"&amp;U11</f>
        <v>意志×0</v>
      </c>
      <c r="T11" s="1288" t="str">
        <f>职业列表!I22</f>
        <v>×</v>
      </c>
      <c r="U11" s="1289">
        <f>职业列表!J22</f>
        <v>0</v>
      </c>
      <c r="V11" s="1290">
        <f>M14*U11</f>
        <v>0</v>
      </c>
      <c r="W11" s="1290"/>
      <c r="X11" s="1293" t="str">
        <f t="shared" si="0"/>
        <v/>
      </c>
      <c r="Y11" s="1314" t="str">
        <f t="shared" si="1"/>
        <v/>
      </c>
      <c r="Z11" s="1294"/>
      <c r="AA11" s="1293">
        <f>IF(AB11=职业列表!H25,1,0)</f>
        <v>0</v>
      </c>
      <c r="AB11" s="1290" t="s">
        <v>547</v>
      </c>
      <c r="AC11" s="1290"/>
      <c r="AD11" s="1294"/>
      <c r="AE11" s="1290"/>
      <c r="AF11" s="1322">
        <f>IF(AA11=1,V10+SUM(V4:V9,V11:V12),0)</f>
        <v>0</v>
      </c>
      <c r="AI11" s="1240"/>
      <c r="AK11" s="1294"/>
    </row>
    <row r="12" ht="17.25" spans="2:37">
      <c r="B12" s="1176" t="s">
        <v>548</v>
      </c>
      <c r="C12" s="1196">
        <f>IF(人物卡!H36="鞭子","5",IF(人物卡!H36="电锯","10",IF(人物卡!H36="斧","15",IF(人物卡!H36="剑","20",IF(人物卡!H36="绞具","15",IF(人物卡!H36="链枷","10",IF(人物卡!H36="矛","20",IF(人物卡!H36=人物卡!AU28,人物卡!BA28,0))))))))</f>
        <v>0</v>
      </c>
      <c r="D12" s="1162" t="s">
        <v>549</v>
      </c>
      <c r="E12" s="1195" t="e">
        <f>VLOOKUP(人物卡!H40,$Q$218:$R$232,2,0)</f>
        <v>#N/A</v>
      </c>
      <c r="G12" s="1169" t="s">
        <v>550</v>
      </c>
      <c r="H12" s="1197" t="s">
        <v>551</v>
      </c>
      <c r="I12" s="1170" t="s">
        <v>552</v>
      </c>
      <c r="J12" s="1192"/>
      <c r="K12" s="1192"/>
      <c r="L12" s="1192"/>
      <c r="M12" s="1192"/>
      <c r="N12" s="1192"/>
      <c r="O12" s="1193"/>
      <c r="P12" s="1239"/>
      <c r="Q12" s="1239"/>
      <c r="R12" s="1292"/>
      <c r="S12" s="1295" t="str">
        <f>"幸运×"&amp;U12</f>
        <v>幸运×0</v>
      </c>
      <c r="T12" s="1296" t="str">
        <f>职业列表!I23</f>
        <v>×</v>
      </c>
      <c r="U12" s="1297">
        <f>职业列表!J23</f>
        <v>0</v>
      </c>
      <c r="V12" s="1298">
        <f>O14*U12</f>
        <v>0</v>
      </c>
      <c r="W12" s="1187"/>
      <c r="X12" s="1299" t="str">
        <f t="shared" si="0"/>
        <v/>
      </c>
      <c r="Y12" s="1243"/>
      <c r="Z12" s="1187"/>
      <c r="AA12" s="1186">
        <f>IF(AB12=职业列表!H25,1,0)</f>
        <v>1</v>
      </c>
      <c r="AB12" s="1298" t="s">
        <v>553</v>
      </c>
      <c r="AC12" s="1187"/>
      <c r="AD12" s="1187"/>
      <c r="AE12" s="1187"/>
      <c r="AF12" s="1323">
        <f>IF(AA12=1,SUM(V4:V12),0)</f>
        <v>0</v>
      </c>
      <c r="AG12" s="1187"/>
      <c r="AH12" s="1187"/>
      <c r="AI12" s="1243"/>
      <c r="AK12" s="1315"/>
    </row>
    <row r="13" ht="31.05" customHeight="1" spans="2:18">
      <c r="B13" s="1186" t="s">
        <v>554</v>
      </c>
      <c r="C13" s="1198">
        <f>IF(人物卡!H37="鞭子","5",IF(人物卡!H37="电锯","10",IF(人物卡!H37="斧","15",IF(人物卡!H37="剑","20",IF(人物卡!H37="绞具","15",IF(人物卡!H37="链枷","10",IF(人物卡!H37="矛","20",IF(人物卡!H37=人物卡!AU28,人物卡!BA28,0))))))))</f>
        <v>0</v>
      </c>
      <c r="D13" s="1187" t="s">
        <v>555</v>
      </c>
      <c r="E13" s="1195" t="e">
        <f>VLOOKUP(人物卡!H41,$Q$218:$R$232,2,0)</f>
        <v>#N/A</v>
      </c>
      <c r="G13" s="1199" t="s">
        <v>7</v>
      </c>
      <c r="H13" s="1200" t="s">
        <v>15</v>
      </c>
      <c r="I13" s="1244" t="s">
        <v>22</v>
      </c>
      <c r="J13" s="1200" t="s">
        <v>8</v>
      </c>
      <c r="K13" s="1244" t="s">
        <v>16</v>
      </c>
      <c r="L13" s="1200" t="s">
        <v>23</v>
      </c>
      <c r="M13" s="1244" t="s">
        <v>9</v>
      </c>
      <c r="N13" s="1200" t="s">
        <v>556</v>
      </c>
      <c r="O13" s="1245" t="s">
        <v>24</v>
      </c>
      <c r="P13" s="1239"/>
      <c r="Q13" s="1239"/>
      <c r="R13" s="1239"/>
    </row>
    <row r="14" ht="28" customHeight="1" spans="2:53">
      <c r="B14" s="1162" t="s">
        <v>557</v>
      </c>
      <c r="G14" s="1201">
        <f>STR</f>
        <v>0</v>
      </c>
      <c r="H14" s="1202">
        <f>CON</f>
        <v>0</v>
      </c>
      <c r="I14" s="1246">
        <f>SIZ</f>
        <v>0</v>
      </c>
      <c r="J14" s="1202">
        <f>DEX</f>
        <v>0</v>
      </c>
      <c r="K14" s="1246">
        <f>APP</f>
        <v>0</v>
      </c>
      <c r="L14" s="1202">
        <f>INT</f>
        <v>0</v>
      </c>
      <c r="M14" s="1246">
        <f>POW</f>
        <v>0</v>
      </c>
      <c r="N14" s="1202">
        <f>EDU</f>
        <v>0</v>
      </c>
      <c r="O14" s="1247">
        <f>Luck</f>
        <v>0</v>
      </c>
      <c r="U14" s="1300" t="s">
        <v>558</v>
      </c>
      <c r="V14" s="1301"/>
      <c r="W14" s="1302"/>
      <c r="Z14" s="1163"/>
      <c r="AA14" s="1324"/>
      <c r="AB14" s="1325"/>
      <c r="AC14" s="1325"/>
      <c r="AD14" s="1326"/>
      <c r="AE14" s="1326"/>
      <c r="AF14" s="1326"/>
      <c r="AG14" s="1326"/>
      <c r="AH14" s="1326"/>
      <c r="AI14" s="1326"/>
      <c r="AJ14" s="1326"/>
      <c r="AK14" s="1326"/>
      <c r="AL14" s="1326"/>
      <c r="AM14" s="1326"/>
      <c r="AN14" s="1326"/>
      <c r="AO14" s="1326"/>
      <c r="AP14" s="1326"/>
      <c r="AQ14" s="1326"/>
      <c r="AR14" s="1325"/>
      <c r="AS14" s="1324"/>
      <c r="AT14" s="1325"/>
      <c r="AU14" s="1380"/>
      <c r="AV14" s="1381"/>
      <c r="AZ14" s="1393"/>
      <c r="BA14" s="1394"/>
    </row>
    <row r="15" ht="31.05" customHeight="1" spans="2:53">
      <c r="B15" s="1203" t="s">
        <v>74</v>
      </c>
      <c r="C15" s="1204"/>
      <c r="O15"/>
      <c r="P15"/>
      <c r="Q15"/>
      <c r="U15" s="1191">
        <v>1</v>
      </c>
      <c r="V15" s="1303">
        <f>人物卡!H39</f>
        <v>0</v>
      </c>
      <c r="W15" s="1304">
        <f>IF(V15="步枪/霰弹枪",1,0)</f>
        <v>0</v>
      </c>
      <c r="Z15" s="1163"/>
      <c r="AA15" s="1327"/>
      <c r="AB15" s="1328"/>
      <c r="AC15" s="1328"/>
      <c r="AD15" s="1329"/>
      <c r="AE15" s="1329"/>
      <c r="AF15" s="1329"/>
      <c r="AG15" s="1329"/>
      <c r="AH15" s="1329"/>
      <c r="AI15" s="1329"/>
      <c r="AJ15" s="1329"/>
      <c r="AK15" s="1329"/>
      <c r="AL15" s="1329"/>
      <c r="AM15" s="1329"/>
      <c r="AN15" s="1367"/>
      <c r="AO15" s="1328"/>
      <c r="AP15" s="1328"/>
      <c r="AQ15" s="1328"/>
      <c r="AR15" s="1328"/>
      <c r="AS15" s="1327"/>
      <c r="AT15" s="1367"/>
      <c r="AU15" s="1382"/>
      <c r="AV15" s="1383"/>
      <c r="AX15" s="1395"/>
      <c r="BA15" s="1394"/>
    </row>
    <row r="16" ht="34.05" customHeight="1" spans="2:53">
      <c r="B16" s="1177"/>
      <c r="C16" s="1205"/>
      <c r="H16" s="1206"/>
      <c r="J16" s="1205"/>
      <c r="K16" s="1204"/>
      <c r="L16" s="1248" t="s">
        <v>559</v>
      </c>
      <c r="M16" s="1238"/>
      <c r="O16"/>
      <c r="P16"/>
      <c r="Q16"/>
      <c r="U16" s="1176">
        <v>2</v>
      </c>
      <c r="V16" s="1204">
        <f>人物卡!H40</f>
        <v>0</v>
      </c>
      <c r="W16" s="1305">
        <f>IF(V16="步枪/霰弹枪",1,0)</f>
        <v>0</v>
      </c>
      <c r="Z16" s="1163"/>
      <c r="AA16" s="1327"/>
      <c r="AB16" s="1328"/>
      <c r="AC16" s="1328"/>
      <c r="AD16" s="1329"/>
      <c r="AE16" s="1329"/>
      <c r="AF16" s="1329"/>
      <c r="AG16" s="1329"/>
      <c r="AH16" s="1329"/>
      <c r="AI16" s="1329"/>
      <c r="AJ16" s="1329"/>
      <c r="AK16" s="1329"/>
      <c r="AL16" s="1329"/>
      <c r="AM16" s="1329"/>
      <c r="AN16" s="1367"/>
      <c r="AO16" s="1328"/>
      <c r="AP16" s="1328"/>
      <c r="AQ16" s="1328"/>
      <c r="AR16" s="1328"/>
      <c r="AS16" s="1327"/>
      <c r="AT16" s="1367"/>
      <c r="AU16" s="1384"/>
      <c r="AV16" s="1383"/>
      <c r="BA16" s="1394"/>
    </row>
    <row r="17" ht="17.25" customHeight="1" spans="12:53">
      <c r="L17" s="1249" t="s">
        <v>374</v>
      </c>
      <c r="M17" s="1250" t="s">
        <v>560</v>
      </c>
      <c r="O17"/>
      <c r="P17"/>
      <c r="Q17"/>
      <c r="R17" s="1191" t="s">
        <v>39</v>
      </c>
      <c r="S17" s="1193" t="s">
        <v>40</v>
      </c>
      <c r="U17" s="1176">
        <v>3</v>
      </c>
      <c r="V17" s="1204">
        <f>人物卡!H41</f>
        <v>0</v>
      </c>
      <c r="W17" s="1305">
        <f>IF(V17="步枪/霰弹枪",1,0)</f>
        <v>0</v>
      </c>
      <c r="Z17" s="1163"/>
      <c r="AA17" s="1327"/>
      <c r="AB17" s="1328"/>
      <c r="AC17" s="1328"/>
      <c r="AD17" s="1329"/>
      <c r="AE17" s="1329"/>
      <c r="AF17" s="1329"/>
      <c r="AG17" s="1329"/>
      <c r="AH17" s="1329"/>
      <c r="AI17" s="1329"/>
      <c r="AJ17" s="1329"/>
      <c r="AK17" s="1329"/>
      <c r="AL17" s="1329"/>
      <c r="AM17" s="1329"/>
      <c r="AN17" s="1367"/>
      <c r="AO17" s="1328"/>
      <c r="AP17" s="1328"/>
      <c r="AQ17" s="1328"/>
      <c r="AR17" s="1328"/>
      <c r="AS17" s="1327"/>
      <c r="AT17" s="1367"/>
      <c r="AU17" s="1384"/>
      <c r="AV17" s="1385"/>
      <c r="BA17" s="1394"/>
    </row>
    <row r="18" ht="17.25" customHeight="1" spans="2:53">
      <c r="B18" s="1169" t="s">
        <v>489</v>
      </c>
      <c r="C18" s="1197"/>
      <c r="D18" s="1197"/>
      <c r="E18" s="1197"/>
      <c r="F18" s="1197"/>
      <c r="G18" s="1197"/>
      <c r="H18" s="1192"/>
      <c r="I18" s="1192"/>
      <c r="J18" s="1192"/>
      <c r="K18" s="1193"/>
      <c r="L18" s="1251">
        <f>M14</f>
        <v>0</v>
      </c>
      <c r="M18" s="1252">
        <f>人物卡!P10</f>
        <v>99</v>
      </c>
      <c r="O18"/>
      <c r="P18"/>
      <c r="Q18"/>
      <c r="R18" s="1176" t="s">
        <v>561</v>
      </c>
      <c r="S18" s="1240" t="s">
        <v>562</v>
      </c>
      <c r="U18" s="1306" t="s">
        <v>95</v>
      </c>
      <c r="V18" s="1187" t="str">
        <f>人物卡!AB48</f>
        <v>学识2</v>
      </c>
      <c r="W18" s="1243">
        <f>IF(V18="自定义技能",1,0)</f>
        <v>0</v>
      </c>
      <c r="Z18" s="1163"/>
      <c r="AA18" s="1327"/>
      <c r="AB18" s="1328"/>
      <c r="AC18" s="1328"/>
      <c r="AD18" s="1329"/>
      <c r="AE18" s="1329"/>
      <c r="AF18" s="1329"/>
      <c r="AG18" s="1329"/>
      <c r="AH18" s="1329"/>
      <c r="AI18" s="1329"/>
      <c r="AJ18" s="1329"/>
      <c r="AK18" s="1329"/>
      <c r="AL18" s="1329"/>
      <c r="AM18" s="1329"/>
      <c r="AN18" s="1367"/>
      <c r="AO18" s="1328"/>
      <c r="AP18" s="1328"/>
      <c r="AQ18" s="1328"/>
      <c r="AR18" s="1328"/>
      <c r="AS18" s="1327"/>
      <c r="AT18" s="1367"/>
      <c r="AU18" s="1384"/>
      <c r="AV18" s="1385"/>
      <c r="BA18" s="1394"/>
    </row>
    <row r="19" ht="17.25" customHeight="1" spans="2:53">
      <c r="B19" s="1176" t="s">
        <v>296</v>
      </c>
      <c r="C19" s="1162" t="s">
        <v>465</v>
      </c>
      <c r="D19" s="1162" t="s">
        <v>328</v>
      </c>
      <c r="E19" s="1162" t="s">
        <v>108</v>
      </c>
      <c r="H19" s="1207"/>
      <c r="I19" s="1228"/>
      <c r="J19" s="1207"/>
      <c r="K19" s="1240"/>
      <c r="L19" s="1253" t="s">
        <v>542</v>
      </c>
      <c r="M19" s="1254"/>
      <c r="O19"/>
      <c r="P19"/>
      <c r="Q19"/>
      <c r="R19" s="1176" t="s">
        <v>563</v>
      </c>
      <c r="S19" s="1240" t="s">
        <v>564</v>
      </c>
      <c r="AA19" s="1327"/>
      <c r="AB19" s="1328"/>
      <c r="AC19" s="1328"/>
      <c r="AD19" s="1329"/>
      <c r="AE19" s="1329"/>
      <c r="AF19" s="1329"/>
      <c r="AG19" s="1329"/>
      <c r="AH19" s="1329"/>
      <c r="AI19" s="1329"/>
      <c r="AJ19" s="1329"/>
      <c r="AK19" s="1329"/>
      <c r="AL19" s="1329"/>
      <c r="AM19" s="1329"/>
      <c r="AN19" s="1367"/>
      <c r="AO19" s="1328"/>
      <c r="AP19" s="1328"/>
      <c r="AQ19" s="1328"/>
      <c r="AR19" s="1328"/>
      <c r="AS19" s="1327"/>
      <c r="AT19" s="1367"/>
      <c r="AU19" s="1384"/>
      <c r="AV19" s="1385"/>
      <c r="AZ19" s="1391"/>
      <c r="BA19" s="1394"/>
    </row>
    <row r="20" ht="17.25" customHeight="1" spans="2:53">
      <c r="B20" s="1176" t="s">
        <v>491</v>
      </c>
      <c r="C20" s="1162" t="s">
        <v>565</v>
      </c>
      <c r="D20" s="1162">
        <v>70</v>
      </c>
      <c r="E20" s="1162" t="s">
        <v>493</v>
      </c>
      <c r="K20" s="1240"/>
      <c r="L20" s="1255">
        <f>IF(L18&gt;M18,M18,L18)</f>
        <v>0</v>
      </c>
      <c r="M20" s="1256"/>
      <c r="O20"/>
      <c r="P20"/>
      <c r="Q20"/>
      <c r="R20" s="1176" t="s">
        <v>348</v>
      </c>
      <c r="S20" s="1240" t="s">
        <v>566</v>
      </c>
      <c r="AA20" s="1330" t="s">
        <v>567</v>
      </c>
      <c r="AB20" s="1330"/>
      <c r="AC20" s="1330"/>
      <c r="AD20" s="1330"/>
      <c r="AE20" s="1330"/>
      <c r="AF20" s="1330"/>
      <c r="AG20" s="1330"/>
      <c r="AH20" s="1330"/>
      <c r="AI20" s="1368"/>
      <c r="AJ20" s="1330"/>
      <c r="AK20" s="1330"/>
      <c r="AL20" s="1330"/>
      <c r="AM20" s="1330"/>
      <c r="AN20" s="1330"/>
      <c r="AO20" s="1330"/>
      <c r="AP20" s="1330"/>
      <c r="AQ20" s="1330"/>
      <c r="AR20" s="1386"/>
      <c r="AS20" s="1330"/>
      <c r="AT20" s="1330"/>
      <c r="AU20" s="1330"/>
      <c r="AV20" s="1330"/>
      <c r="BA20" s="1394"/>
    </row>
    <row r="21" ht="17.25" customHeight="1" spans="2:53">
      <c r="B21" s="1176" t="s">
        <v>494</v>
      </c>
      <c r="C21" s="1162" t="s">
        <v>568</v>
      </c>
      <c r="D21" s="1162">
        <v>60</v>
      </c>
      <c r="E21" s="1162" t="s">
        <v>569</v>
      </c>
      <c r="H21" s="1207"/>
      <c r="I21" s="1228"/>
      <c r="J21" s="1207"/>
      <c r="K21" s="1240"/>
      <c r="L21" s="1257"/>
      <c r="M21" s="1258"/>
      <c r="O21"/>
      <c r="P21"/>
      <c r="Q21"/>
      <c r="R21" s="1186" t="str">
        <f>IF(ISBLANK(人物卡!BK26),"",人物卡!BK26)</f>
        <v/>
      </c>
      <c r="S21" s="1243" t="str">
        <f>IF(ISBLANK(人物卡!BO26),"",人物卡!BO26)</f>
        <v/>
      </c>
      <c r="AA21" s="1331">
        <f>IF(ISBLANK(人物卡!BA18),0,1)</f>
        <v>0</v>
      </c>
      <c r="AB21" s="1332">
        <f>IF(ISBLANK(人物卡!BJ18),0,1)</f>
        <v>0</v>
      </c>
      <c r="AC21" s="1333" t="s">
        <v>570</v>
      </c>
      <c r="AD21" s="1334" t="s">
        <v>571</v>
      </c>
      <c r="AE21" s="1335" t="s">
        <v>542</v>
      </c>
      <c r="AF21" s="1336"/>
      <c r="AG21" s="1336"/>
      <c r="AH21" s="1336"/>
      <c r="AI21" s="1336"/>
      <c r="AJ21" s="1336"/>
      <c r="AK21" s="1336"/>
      <c r="AL21" s="1336"/>
      <c r="AM21" s="1336"/>
      <c r="AN21" s="1336"/>
      <c r="AO21" s="1336"/>
      <c r="AP21" s="1336"/>
      <c r="AQ21" s="1336"/>
      <c r="AR21" s="1386"/>
      <c r="AS21" s="1330"/>
      <c r="AT21" s="1330"/>
      <c r="AU21" s="1330"/>
      <c r="AV21" s="1330"/>
      <c r="BA21" s="1394"/>
    </row>
    <row r="22" ht="17.25" customHeight="1" spans="2:53">
      <c r="B22" s="1176" t="s">
        <v>497</v>
      </c>
      <c r="C22" s="1162" t="s">
        <v>568</v>
      </c>
      <c r="D22" s="1162">
        <v>60</v>
      </c>
      <c r="E22" s="1162" t="s">
        <v>498</v>
      </c>
      <c r="K22" s="1240"/>
      <c r="M22" s="1259"/>
      <c r="O22"/>
      <c r="P22"/>
      <c r="Q22"/>
      <c r="AA22" s="1337">
        <f>IF(ISBLANK(人物卡!BA19),0,1)</f>
        <v>0</v>
      </c>
      <c r="AB22" s="1338">
        <f>IF(ISBLANK(人物卡!BJ19),0,1)</f>
        <v>0</v>
      </c>
      <c r="AC22" s="1330">
        <f>AA21+AA23+AA22+AA25+AA24+AB21+AB22+AB23+AB24+AB25</f>
        <v>0</v>
      </c>
      <c r="AD22" s="1339">
        <f>IF(人物卡!AU22="提示当前职业",0,1)</f>
        <v>0</v>
      </c>
      <c r="AE22" s="1340">
        <f>IF(AD32=1,"仅显示1890_2057",AE28)</f>
        <v>2025</v>
      </c>
      <c r="AF22" s="1341"/>
      <c r="AG22" s="1341"/>
      <c r="AH22" s="1341"/>
      <c r="AI22" s="1341"/>
      <c r="AJ22" s="1369"/>
      <c r="AK22" s="1369"/>
      <c r="AL22" s="1341"/>
      <c r="AM22" s="1341"/>
      <c r="AN22" s="1341"/>
      <c r="AO22" s="1341"/>
      <c r="AP22" s="1341"/>
      <c r="AQ22" s="1368"/>
      <c r="AR22" s="1368"/>
      <c r="AS22" s="1330"/>
      <c r="AT22" s="1368"/>
      <c r="AU22" s="1330"/>
      <c r="AV22" s="1330"/>
      <c r="BA22" s="1394"/>
    </row>
    <row r="23" ht="17.25" customHeight="1" spans="2:53">
      <c r="B23" s="1176" t="s">
        <v>499</v>
      </c>
      <c r="C23" s="1162" t="s">
        <v>568</v>
      </c>
      <c r="D23" s="1162">
        <v>60</v>
      </c>
      <c r="E23" s="1162" t="s">
        <v>500</v>
      </c>
      <c r="H23" s="1207"/>
      <c r="I23" s="1228"/>
      <c r="J23" s="1207"/>
      <c r="K23" s="1240"/>
      <c r="M23" s="1259"/>
      <c r="O23"/>
      <c r="P23"/>
      <c r="Q23"/>
      <c r="AA23" s="1337">
        <f>IF(ISBLANK(人物卡!BA20),0,1)</f>
        <v>0</v>
      </c>
      <c r="AB23" s="1338">
        <f>IF(ISBLANK(人物卡!BJ20),0,1)</f>
        <v>0</v>
      </c>
      <c r="AC23" s="1330" t="s">
        <v>572</v>
      </c>
      <c r="AD23" s="1339"/>
      <c r="AE23" s="1342" t="s">
        <v>573</v>
      </c>
      <c r="AF23" s="1341"/>
      <c r="AG23" s="1341"/>
      <c r="AH23" s="1341"/>
      <c r="AI23" s="1341"/>
      <c r="AJ23" s="1369"/>
      <c r="AK23" s="1369"/>
      <c r="AL23" s="1341"/>
      <c r="AM23" s="1341"/>
      <c r="AN23" s="1341"/>
      <c r="AO23" s="1341"/>
      <c r="AP23" s="1341"/>
      <c r="AQ23" s="1368"/>
      <c r="AR23" s="1368"/>
      <c r="AS23" s="1330"/>
      <c r="AT23" s="1368"/>
      <c r="AU23" s="1330"/>
      <c r="AV23" s="1330"/>
      <c r="BA23" s="1394"/>
    </row>
    <row r="24" ht="17.25" customHeight="1" spans="2:54">
      <c r="B24" s="1176" t="s">
        <v>501</v>
      </c>
      <c r="C24" s="1162" t="s">
        <v>502</v>
      </c>
      <c r="D24" s="1162">
        <v>0</v>
      </c>
      <c r="E24" s="1162" t="s">
        <v>503</v>
      </c>
      <c r="H24" s="1207"/>
      <c r="I24" s="1228"/>
      <c r="J24" s="1207"/>
      <c r="K24" s="1240"/>
      <c r="M24" s="1259"/>
      <c r="O24"/>
      <c r="P24"/>
      <c r="Q24"/>
      <c r="S24" s="1307" t="str">
        <f>".st "&amp;"力量"&amp;G14&amp;"str"&amp;G14&amp;"敏捷"&amp;J14&amp;"dex"&amp;J14&amp;"意志"&amp;M14&amp;"pow"&amp;M14&amp;"体质"&amp;H14&amp;"con"&amp;H14&amp;"外貌"&amp;K14&amp;"app"&amp;K14&amp;"教育"&amp;N14&amp;"edu"&amp;N14&amp;"体型"&amp;I14&amp;"siz"&amp;I14&amp;"智力"&amp;L14&amp;"灵感"&amp;L14&amp;"int"&amp;L14&amp;"san"&amp;人物卡!N10&amp;"san值"&amp;人物卡!N10&amp;"理智"&amp;人物卡!N10&amp;"理智值"&amp;人物卡!N10&amp;"幸运"&amp;O14&amp;"运气"&amp;O14&amp;"mp"&amp;人物卡!W10&amp;"魔法"&amp;人物卡!W10&amp;"hp"&amp;人物卡!E10&amp;"体力"&amp;人物卡!E10&amp;人物卡!F16&amp;人物卡!R16&amp;人物卡!F17&amp;人物卡!R17&amp;人物卡!F18&amp;人物卡!R18&amp;人物卡!F19&amp;人物卡!R19&amp;IF(人物卡!H20="","",人物卡!H20&amp;人物卡!R20)&amp;IF(人物卡!H21="","",人物卡!H21&amp;人物卡!R21)&amp;IF(人物卡!H22="","",人物卡!H22&amp;人物卡!R22)&amp;人物卡!F23&amp;人物卡!R23&amp;"魅惑"&amp;人物卡!R23&amp;人物卡!F24&amp;人物卡!R24&amp;"计算机"&amp;人物卡!R25&amp;"计算机使用"&amp;人物卡!R25&amp;"电脑"&amp;人物卡!R25&amp;"信用"&amp;人物卡!R26&amp;"信誉"&amp;人物卡!R26&amp;"信用评级"&amp;人物卡!R26&amp;"克苏鲁"&amp;人物卡!R27&amp;"克苏鲁神话"&amp;人物卡!R27&amp;"cm"&amp;人物卡!R27&amp;人物卡!F28&amp;人物卡!R28&amp;人物卡!F29&amp;人物卡!R29&amp;"汽车"&amp;人物卡!R30&amp;"驾驶"&amp;人物卡!R30&amp;"汽车驾驶"&amp;人物卡!R30&amp;人物卡!F31&amp;人物卡!R31&amp;"电子学"&amp;人物卡!R32&amp;人物卡!F33&amp;人物卡!R33&amp;人物卡!H34&amp;人物卡!R34&amp;IF(人物卡!H35="","",人物卡!H35&amp;人物卡!R35)&amp;IF(人物卡!H36="","",人物卡!H36&amp;人物卡!R36)&amp;IF(人物卡!H37="","",人物卡!H37&amp;人物卡!R37)&amp;人物卡!H38&amp;人物卡!R38&amp;IF(W15=1,人物卡!AB39&amp;人物卡!R39&amp;"步枪"&amp;人物卡!R39&amp;"霰弹枪"&amp;人物卡!R39&amp;"步霰"&amp;人物卡!R39,IF(人物卡!H39="","",人物卡!H39&amp;人物卡!R39))&amp;IF(W16=1,人物卡!AB40&amp;人物卡!R40&amp;"步枪"&amp;人物卡!R40&amp;"霰弹枪"&amp;人物卡!R40&amp;"步霰"&amp;人物卡!R40,IF(人物卡!H40="","",人物卡!H40&amp;人物卡!R40))&amp;IF(W17=1,人物卡!AB41&amp;人物卡!R41&amp;"步枪"&amp;人物卡!R41&amp;"霰弹枪"&amp;人物卡!R41&amp;"步霰"&amp;人物卡!R41,IF(人物卡!H41="","",人物卡!H41&amp;人物卡!R41))&amp;人物卡!F42&amp;人物卡!R42&amp;人物卡!F43&amp;人物卡!R43&amp;人物卡!F44&amp;人物卡!R44&amp;人物卡!F45&amp;人物卡!R45&amp;IF(人物卡!H46="","",人物卡!H46&amp;人物卡!R46)&amp;IF(人物卡!H47="","",人物卡!H47&amp;人物卡!R47)&amp;IF(人物卡!H48="","",人物卡!H48&amp;人物卡!R48)&amp;人物卡!F49&amp;人物卡!R49&amp;人物卡!AB16&amp;人物卡!AN16&amp;"图书馆"&amp;人物卡!AN17&amp;"图书馆使用"&amp;人物卡!AN17&amp;人物卡!AB18&amp;人物卡!AN18&amp;"开锁"&amp;人物卡!AN19&amp;"撬锁"&amp;人物卡!AN19&amp;"锁匠"&amp;人物卡!AN19&amp;人物卡!AB20&amp;人物卡!AN20&amp;人物卡!AB21&amp;人物卡!AN21&amp;"博物学"&amp;人物卡!AN22&amp;"自然学"&amp;人物卡!AN22&amp;"领航"&amp;人物卡!AN23&amp;"导航"&amp;人物卡!AN23&amp;人物卡!AB24&amp;人物卡!AN24&amp;"重型操作"&amp;人物卡!AN25&amp;"重型机械"&amp;人物卡!AN25&amp;"操作重型机械"&amp;人物卡!AN25&amp;"重型"&amp;人物卡!AN25&amp;人物卡!AB26&amp;人物卡!AN26&amp;IF(人物卡!AD27="","",人物卡!AD27&amp;人物卡!AN27)&amp;人物卡!AB28&amp;人物卡!AN28&amp;人物卡!AB29&amp;人物卡!AN29&amp;人物卡!AB30&amp;人物卡!AN30&amp;IF(人物卡!AD31="","",人物卡!AD31&amp;人物卡!AN31)&amp;IF(人物卡!AD32="","",人物卡!AD32&amp;人物卡!AN32)&amp;IF(人物卡!AD33="","",人物卡!AD33&amp;人物卡!AN33)&amp;人物卡!AB34&amp;人物卡!AN34&amp;人物卡!AB35&amp;人物卡!AN35&amp;人物卡!AB36&amp;人物卡!AN36&amp;"生存"&amp;人物卡!AN37&amp;人物卡!AB38&amp;人物卡!AN38&amp;人物卡!AB39&amp;人物卡!AN39&amp;人物卡!AB40&amp;人物卡!AN40&amp;人物卡!AB41&amp;人物卡!AN41&amp;人物卡!AB42&amp;人物卡!AN42&amp;人物卡!AB43&amp;人物卡!AN43&amp;人物卡!AB44&amp;人物卡!AN44&amp;人物卡!AB45&amp;人物卡!AN45&amp;人物卡!AB46&amp;人物卡!AN46&amp;IF(人物卡!AD47="","",人物卡!AD47&amp;人物卡!AN47)&amp;IF(人物卡!AD48="","",人物卡!AD48&amp;人物卡!AN48)&amp;人物卡!AB49&amp;人物卡!AN49&amp;人物卡!F50&amp;人物卡!R50&amp;人物卡!AB50&amp;人物卡!AN50&amp;人物卡!F52&amp;人物卡!R52&amp;IF(人物卡!H52="","",人物卡!H52&amp;人物卡!R52)&amp;人物卡!AB52&amp;人物卡!AN52&amp;"中医"&amp;人物卡!AN52&amp;IF(人物卡!AD52="","",人物卡!AD52&amp;人物卡!AN52)&amp;人物卡!AB51&amp;人物卡!AN51&amp;IF(人物卡!AD51="","",人物卡!AD51&amp;人物卡!AN51)&amp;人物卡!AB53&amp;人物卡!AN53&amp;"礼仪"&amp;人物卡!AN53&amp;人物卡!AB54&amp;人物卡!AN54&amp;"企业"&amp;人物卡!AN54&amp;人物卡!AB55&amp;人物卡!AN55&amp;"武士"&amp;人物卡!AN55&amp;人物卡!F54&amp;人物卡!R54&amp;IF(人物卡!H54="","",人物卡!H54&amp;人物卡!R54)&amp;人物卡!F53&amp;人物卡!R53&amp;IF(人物卡!H53="","",人物卡!H53&amp;人物卡!R53)&amp;IF(人物卡!H55="","",人物卡!H55&amp;人物卡!R55)&amp;"现金"&amp;人物卡!O74&amp;"存款"&amp;人物卡!N88&amp;IF(人物卡!H50="","",人物卡!H50&amp;人物卡!R50)&amp;IF(人物卡!H50="民俗","民俗"&amp;人物卡!R50,"")&amp;IF(人物卡!H50="怪谈","怪谈"&amp;人物卡!R50,"")&amp;IF(人物卡!H50="先祖","先祖"&amp;人物卡!R50&amp;"先祖崇拜"&amp;人物卡!R50,"")&amp;IF(人物卡!J57=0,"",人物卡!F57&amp;人物卡!R57)&amp;IF(人物卡!J58=0,"",人物卡!F58&amp;人物卡!R58)&amp;IF(人物卡!J56=0,"",人物卡!F56&amp;人物卡!R56)&amp;IF(人物卡!AF57=0,"",人物卡!AB57&amp;人物卡!AN57)&amp;IF(人物卡!AF58=0,"",人物卡!AB58&amp;人物卡!AN58)&amp;IF(人物卡!AF56=0,"",人物卡!AB56&amp;人物卡!AN56)&amp;IF(人物卡!AF59=0,"",人物卡!AB59&amp;人物卡!AN59)&amp;IF(人物卡!AF60=0,"",人物卡!AB60&amp;人物卡!AN60)&amp;IF(人物卡!AF61=0,"",人物卡!AB61&amp;人物卡!AN61)&amp;IF(人物卡!J59=0,"",人物卡!F59&amp;人物卡!R59)&amp;IF(人物卡!J60=0,"",人物卡!F60&amp;人物卡!R60)&amp;IF(人物卡!J61=0,"",人物卡!F61&amp;人物卡!R61)</f>
        <v>.st 力量0str0敏捷0dex0意志0pow0体质0con0外貌0app0教育0edu0体型0siz0智力0灵感0int0san0san值0理智0理智值0幸运0运气0mp0魔法0hp0体力0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通灵5传说10风水15稽古5东方医学25中医25次文化5礼仪作法15礼仪15企业文化15企业15武士道10武士10武术5冥想5我流1现金1500存款0</v>
      </c>
      <c r="T24" s="1307"/>
      <c r="U24" s="1307"/>
      <c r="V24" s="1307"/>
      <c r="AA24" s="1337">
        <f>IF(ISBLANK(人物卡!BA21),0,1)</f>
        <v>0</v>
      </c>
      <c r="AB24" s="1338">
        <f>IF(ISBLANK(人物卡!BJ21),0,1)</f>
        <v>0</v>
      </c>
      <c r="AC24" s="1330">
        <f>人物卡!F9-AC22</f>
        <v>0</v>
      </c>
      <c r="AD24" s="1339"/>
      <c r="AE24" s="1343">
        <f>人物卡!G8</f>
        <v>2025</v>
      </c>
      <c r="AF24" s="1341"/>
      <c r="AG24" s="1341"/>
      <c r="AH24" s="1341"/>
      <c r="AI24" s="1341"/>
      <c r="AJ24" s="1369"/>
      <c r="AK24" s="1369"/>
      <c r="AL24" s="1341"/>
      <c r="AM24" s="1341"/>
      <c r="AN24" s="1341"/>
      <c r="AO24" s="1341"/>
      <c r="AP24" s="1341"/>
      <c r="AQ24" s="1368"/>
      <c r="AR24" s="1368"/>
      <c r="AS24" s="1330"/>
      <c r="AT24" s="1331"/>
      <c r="AU24" s="1333"/>
      <c r="AV24" s="1333"/>
      <c r="AW24" s="1192"/>
      <c r="AX24" s="1396"/>
      <c r="AY24" s="1167"/>
      <c r="AZ24" s="1397"/>
      <c r="BA24" s="1397"/>
      <c r="BB24" s="1398"/>
    </row>
    <row r="25" ht="17.25" customHeight="1" spans="2:54">
      <c r="B25" s="1176" t="str">
        <f>IF(ISBLANK(人物卡!BC26),"自定义经历包",人物卡!BC26)</f>
        <v>自定义经历包</v>
      </c>
      <c r="C25" s="1162" t="str">
        <f>'简化卡 骰娘导入'!E90</f>
        <v/>
      </c>
      <c r="D25" s="1162" t="str">
        <f>'简化卡 骰娘导入'!H90</f>
        <v/>
      </c>
      <c r="E25" s="1162" t="str">
        <f>'简化卡 骰娘导入'!J90</f>
        <v/>
      </c>
      <c r="G25" s="1207"/>
      <c r="H25" s="1206"/>
      <c r="I25" s="1207"/>
      <c r="J25" s="1207"/>
      <c r="K25" s="1240"/>
      <c r="M25" s="1259"/>
      <c r="O25"/>
      <c r="P25"/>
      <c r="Q25"/>
      <c r="S25" s="1307"/>
      <c r="T25" s="1307"/>
      <c r="U25" s="1307"/>
      <c r="V25" s="1307"/>
      <c r="X25" s="1308" t="s">
        <v>59</v>
      </c>
      <c r="Y25" s="1193"/>
      <c r="AA25" s="1344">
        <f>IF(ISBLANK(人物卡!BA22),0,1)</f>
        <v>0</v>
      </c>
      <c r="AB25" s="1345">
        <f>IF(ISBLANK(人物卡!BJ22),0,1)</f>
        <v>0</v>
      </c>
      <c r="AC25" s="1346" t="s">
        <v>574</v>
      </c>
      <c r="AD25" s="1346" t="str">
        <f>IF(AD22=1," ",IF(AC24=0,"无",IF(AC24&lt;0,"过多！",AC24)))</f>
        <v>无</v>
      </c>
      <c r="AE25" s="1343" t="s">
        <v>575</v>
      </c>
      <c r="AF25" s="1341"/>
      <c r="AG25" s="1341"/>
      <c r="AH25" s="1341"/>
      <c r="AI25" s="1341"/>
      <c r="AJ25" s="1369"/>
      <c r="AK25" s="1369"/>
      <c r="AL25" s="1341"/>
      <c r="AM25" s="1341"/>
      <c r="AN25" s="1341"/>
      <c r="AO25" s="1341"/>
      <c r="AP25" s="1341"/>
      <c r="AQ25" s="1368"/>
      <c r="AR25" s="1368"/>
      <c r="AS25" s="1330"/>
      <c r="AT25" s="1387"/>
      <c r="AU25" s="1330"/>
      <c r="AV25" s="1330"/>
      <c r="AX25" s="1399"/>
      <c r="AY25" s="1174"/>
      <c r="BA25" s="1391"/>
      <c r="BB25" s="1240"/>
    </row>
    <row r="26" ht="17.25" customHeight="1" spans="2:54">
      <c r="B26" s="1176" t="s">
        <v>207</v>
      </c>
      <c r="K26" s="1240"/>
      <c r="M26" s="1259"/>
      <c r="O26"/>
      <c r="P26"/>
      <c r="Q26"/>
      <c r="S26" s="1307"/>
      <c r="T26" s="1307"/>
      <c r="U26" s="1307"/>
      <c r="V26" s="1307"/>
      <c r="X26" s="1309" t="s">
        <v>61</v>
      </c>
      <c r="Y26" s="1240"/>
      <c r="AA26" s="1330"/>
      <c r="AB26" s="1330"/>
      <c r="AC26" s="1330"/>
      <c r="AD26" s="1330"/>
      <c r="AE26" s="1343">
        <f>IF(人物卡!E8="公元前",人物卡!G8*2,0)</f>
        <v>0</v>
      </c>
      <c r="AF26" s="1341"/>
      <c r="AG26" s="1341"/>
      <c r="AH26" s="1341"/>
      <c r="AI26" s="1341"/>
      <c r="AJ26" s="1369"/>
      <c r="AK26" s="1369"/>
      <c r="AL26" s="1341"/>
      <c r="AM26" s="1341"/>
      <c r="AN26" s="1341"/>
      <c r="AO26" s="1341"/>
      <c r="AP26" s="1341"/>
      <c r="AQ26" s="1368"/>
      <c r="AR26" s="1368"/>
      <c r="AS26" s="1330"/>
      <c r="AT26" s="1387"/>
      <c r="AU26" s="1330"/>
      <c r="AV26" s="1330"/>
      <c r="AX26" s="1399"/>
      <c r="AY26" s="1174"/>
      <c r="BA26" s="1391"/>
      <c r="BB26" s="1240"/>
    </row>
    <row r="27" ht="17.25" customHeight="1" spans="2:54">
      <c r="B27" s="1176"/>
      <c r="C27" s="1191">
        <f>IF(人物卡!F125=B20,C20,0)</f>
        <v>0</v>
      </c>
      <c r="D27" s="1192">
        <f>IF(人物卡!F125=B20,D20,0)</f>
        <v>0</v>
      </c>
      <c r="E27" s="1192">
        <f>IF(人物卡!F125=B20,E20,0)</f>
        <v>0</v>
      </c>
      <c r="F27" s="1192"/>
      <c r="G27" s="1192"/>
      <c r="H27" s="1192"/>
      <c r="I27" s="1192"/>
      <c r="J27" s="1192"/>
      <c r="K27" s="1193"/>
      <c r="M27" s="1259"/>
      <c r="O27"/>
      <c r="P27"/>
      <c r="Q27"/>
      <c r="S27" s="1307"/>
      <c r="T27" s="1307"/>
      <c r="U27" s="1307"/>
      <c r="V27" s="1307"/>
      <c r="X27" s="1309" t="s">
        <v>65</v>
      </c>
      <c r="Y27" s="1240"/>
      <c r="AA27" s="1330"/>
      <c r="AB27" s="1347" t="s">
        <v>576</v>
      </c>
      <c r="AC27" s="1348">
        <f>D34-SUM(人物卡!L16:L49,人物卡!AH16:AH49)</f>
        <v>0</v>
      </c>
      <c r="AD27" s="1333" t="s">
        <v>542</v>
      </c>
      <c r="AE27" s="1343" t="s">
        <v>577</v>
      </c>
      <c r="AF27" s="1341"/>
      <c r="AG27" s="1341"/>
      <c r="AH27" s="1341"/>
      <c r="AI27" s="1341"/>
      <c r="AJ27" s="1369"/>
      <c r="AK27" s="1369"/>
      <c r="AL27" s="1341"/>
      <c r="AM27" s="1341"/>
      <c r="AN27" s="1341"/>
      <c r="AO27" s="1341"/>
      <c r="AP27" s="1341"/>
      <c r="AQ27" s="1368"/>
      <c r="AR27" s="1368"/>
      <c r="AS27" s="1330"/>
      <c r="AT27" s="1387"/>
      <c r="AU27" s="1330"/>
      <c r="AV27" s="1330"/>
      <c r="AX27" s="1399"/>
      <c r="AY27" s="1174"/>
      <c r="BA27" s="1239"/>
      <c r="BB27" s="1240"/>
    </row>
    <row r="28" ht="17.25" customHeight="1" spans="2:54">
      <c r="B28" s="1176"/>
      <c r="C28" s="1176">
        <f>IF(人物卡!F125=B21,C21,0)</f>
        <v>0</v>
      </c>
      <c r="D28" s="1162">
        <f>IF(人物卡!F125=B21,D21,0)</f>
        <v>0</v>
      </c>
      <c r="E28" s="1162">
        <f>IF(人物卡!F125=B21,E21,0)</f>
        <v>0</v>
      </c>
      <c r="K28" s="1240"/>
      <c r="M28" s="1259"/>
      <c r="O28"/>
      <c r="P28"/>
      <c r="Q28"/>
      <c r="S28" s="1307"/>
      <c r="T28" s="1307"/>
      <c r="U28" s="1307"/>
      <c r="V28" s="1307"/>
      <c r="X28" s="1309" t="s">
        <v>68</v>
      </c>
      <c r="Y28" s="1240"/>
      <c r="AA28" s="1330"/>
      <c r="AB28" s="1349" t="s">
        <v>529</v>
      </c>
      <c r="AC28" s="1350" t="b">
        <f>ISNUMBER(AC27)</f>
        <v>1</v>
      </c>
      <c r="AD28" s="1350">
        <f>IF(AC28=FALSE,"0",AC27)</f>
        <v>0</v>
      </c>
      <c r="AE28" s="1351">
        <f>AE24-AE26</f>
        <v>2025</v>
      </c>
      <c r="AF28" s="1341"/>
      <c r="AG28" s="1341"/>
      <c r="AH28" s="1341"/>
      <c r="AI28" s="1341"/>
      <c r="AJ28" s="1369"/>
      <c r="AK28" s="1369"/>
      <c r="AL28" s="1341"/>
      <c r="AM28" s="1341"/>
      <c r="AN28" s="1341"/>
      <c r="AO28" s="1341"/>
      <c r="AP28" s="1341"/>
      <c r="AQ28" s="1368"/>
      <c r="AR28" s="1368"/>
      <c r="AS28" s="1330"/>
      <c r="AT28" s="1337"/>
      <c r="AU28" s="1330"/>
      <c r="AV28" s="1330"/>
      <c r="AX28" s="1399"/>
      <c r="AY28" s="1174"/>
      <c r="BB28" s="1240"/>
    </row>
    <row r="29" ht="17.25" customHeight="1" spans="2:54">
      <c r="B29" s="1176"/>
      <c r="C29" s="1176">
        <f>IF(人物卡!F125=B22,C22,0)</f>
        <v>0</v>
      </c>
      <c r="D29" s="1162">
        <f>IF(人物卡!F125=B22,D22,0)</f>
        <v>0</v>
      </c>
      <c r="E29" s="1162">
        <f>IF(人物卡!F125=B22,E22,0)</f>
        <v>0</v>
      </c>
      <c r="K29" s="1240"/>
      <c r="M29" s="1259"/>
      <c r="O29"/>
      <c r="P29"/>
      <c r="Q29"/>
      <c r="S29" s="1307"/>
      <c r="T29" s="1307"/>
      <c r="U29" s="1307"/>
      <c r="V29" s="1307"/>
      <c r="X29" s="1310" t="s">
        <v>70</v>
      </c>
      <c r="Y29" s="1240"/>
      <c r="AA29" s="1330"/>
      <c r="AB29" s="1352" t="s">
        <v>578</v>
      </c>
      <c r="AC29" s="1353">
        <f ca="1">IF(人物卡!M5=0," ",LOOKUP(人物卡!M5,职业列表!A2:C232,职业列表!F2:F232))</f>
        <v>0</v>
      </c>
      <c r="AD29" s="1354" t="s">
        <v>579</v>
      </c>
      <c r="AE29" s="1355"/>
      <c r="AF29" s="1341"/>
      <c r="AG29" s="1341"/>
      <c r="AH29" s="1341"/>
      <c r="AI29" s="1341"/>
      <c r="AJ29" s="1369"/>
      <c r="AK29" s="1369"/>
      <c r="AL29" s="1341"/>
      <c r="AM29" s="1341"/>
      <c r="AN29" s="1341"/>
      <c r="AO29" s="1341"/>
      <c r="AP29" s="1341"/>
      <c r="AQ29" s="1368"/>
      <c r="AR29" s="1368"/>
      <c r="AS29" s="1330"/>
      <c r="AT29" s="1337"/>
      <c r="AU29" s="1330"/>
      <c r="AV29" s="1330"/>
      <c r="AX29" s="1399"/>
      <c r="AY29" s="1400"/>
      <c r="AZ29" s="1401"/>
      <c r="BA29" s="1401"/>
      <c r="BB29" s="1402"/>
    </row>
    <row r="30" ht="17.25" customHeight="1" spans="2:54">
      <c r="B30" s="1176"/>
      <c r="C30" s="1176">
        <f>IF(人物卡!F125=B23,C23,0)</f>
        <v>0</v>
      </c>
      <c r="D30" s="1162">
        <f>IF(人物卡!F125=B23,D23,0)</f>
        <v>0</v>
      </c>
      <c r="E30" s="1162">
        <f>IF(人物卡!F125=B23,E23,0)</f>
        <v>0</v>
      </c>
      <c r="K30" s="1240"/>
      <c r="M30" s="1259"/>
      <c r="O30"/>
      <c r="P30"/>
      <c r="Q30"/>
      <c r="S30" s="1307"/>
      <c r="T30" s="1307"/>
      <c r="U30" s="1307"/>
      <c r="V30" s="1307"/>
      <c r="X30" s="1311" t="s">
        <v>72</v>
      </c>
      <c r="Y30" s="1240"/>
      <c r="AA30" s="1330"/>
      <c r="AB30" s="1330"/>
      <c r="AC30" s="1330"/>
      <c r="AD30" s="1356">
        <f>IF(AE30="大",1,0)</f>
        <v>0</v>
      </c>
      <c r="AE30" s="1357" t="b">
        <f>IF(AE28&gt;2057,"大")</f>
        <v>0</v>
      </c>
      <c r="AF30" s="1341"/>
      <c r="AG30" s="1341"/>
      <c r="AH30" s="1341"/>
      <c r="AI30" s="1341"/>
      <c r="AJ30" s="1369"/>
      <c r="AK30" s="1369"/>
      <c r="AL30" s="1341"/>
      <c r="AM30" s="1341"/>
      <c r="AN30" s="1341"/>
      <c r="AO30" s="1341"/>
      <c r="AP30" s="1341"/>
      <c r="AQ30" s="1368"/>
      <c r="AR30" s="1368"/>
      <c r="AS30" s="1330"/>
      <c r="AT30" s="1330"/>
      <c r="AU30" s="1344"/>
      <c r="AV30" s="1350"/>
      <c r="AW30" s="1187"/>
      <c r="AX30" s="1403"/>
      <c r="AY30" s="1187"/>
      <c r="AZ30" s="1187"/>
      <c r="BA30" s="1187"/>
      <c r="BB30" s="1243"/>
    </row>
    <row r="31" ht="17.25" customHeight="1" spans="2:48">
      <c r="B31" s="1176"/>
      <c r="C31" s="1186">
        <f>IF(人物卡!F125=B24,C24,0)</f>
        <v>0</v>
      </c>
      <c r="D31" s="1187">
        <f>IF(人物卡!F125=B24,D24,0)</f>
        <v>0</v>
      </c>
      <c r="E31" s="1187">
        <f>IF(人物卡!F125=B24,E24,0)</f>
        <v>0</v>
      </c>
      <c r="F31" s="1187"/>
      <c r="G31" s="1187"/>
      <c r="H31" s="1187"/>
      <c r="I31" s="1187"/>
      <c r="J31" s="1187"/>
      <c r="K31" s="1243"/>
      <c r="M31" s="1259"/>
      <c r="O31"/>
      <c r="P31"/>
      <c r="Q31"/>
      <c r="S31" s="1307"/>
      <c r="T31" s="1307"/>
      <c r="U31" s="1307"/>
      <c r="V31" s="1307"/>
      <c r="X31" s="1310" t="s">
        <v>580</v>
      </c>
      <c r="Y31" s="1240"/>
      <c r="AA31" s="1330"/>
      <c r="AB31" s="1330"/>
      <c r="AC31" s="1330"/>
      <c r="AD31" s="1358">
        <f>IF(AE31="小",1,0)</f>
        <v>0</v>
      </c>
      <c r="AE31" s="1359" t="b">
        <f>IF(AE28&lt;1890,"小")</f>
        <v>0</v>
      </c>
      <c r="AF31" s="1341"/>
      <c r="AG31" s="1341"/>
      <c r="AH31" s="1341"/>
      <c r="AI31" s="1341"/>
      <c r="AJ31" s="1369"/>
      <c r="AK31" s="1369"/>
      <c r="AL31" s="1369"/>
      <c r="AM31" s="1369"/>
      <c r="AN31" s="1341"/>
      <c r="AO31" s="1341"/>
      <c r="AP31" s="1341"/>
      <c r="AQ31" s="1368"/>
      <c r="AR31" s="1368"/>
      <c r="AS31" s="1330"/>
      <c r="AT31" s="1330"/>
      <c r="AU31" s="1330"/>
      <c r="AV31" s="1330"/>
    </row>
    <row r="32" ht="17.25" customHeight="1" spans="2:48">
      <c r="B32" s="1176"/>
      <c r="C32" s="1162">
        <f>IF(人物卡!F125=B25,C25,0)</f>
        <v>0</v>
      </c>
      <c r="D32" s="1162">
        <f>IF(人物卡!F125=B25,D25,0)</f>
        <v>0</v>
      </c>
      <c r="E32" s="1162">
        <f>IF(人物卡!F125=B25,E25,0)</f>
        <v>0</v>
      </c>
      <c r="K32" s="1240"/>
      <c r="M32" s="1259"/>
      <c r="O32"/>
      <c r="P32"/>
      <c r="Q32"/>
      <c r="S32" s="1307"/>
      <c r="T32" s="1307"/>
      <c r="U32" s="1307"/>
      <c r="V32" s="1307"/>
      <c r="X32" s="1309" t="s">
        <v>79</v>
      </c>
      <c r="Y32" s="1240"/>
      <c r="AA32" s="1330"/>
      <c r="AB32" s="1330"/>
      <c r="AC32" s="1330"/>
      <c r="AD32" s="1360">
        <f>AD30+AD31</f>
        <v>0</v>
      </c>
      <c r="AE32" s="1361"/>
      <c r="AF32" s="1362"/>
      <c r="AG32" s="1362"/>
      <c r="AH32" s="1362"/>
      <c r="AI32" s="1362"/>
      <c r="AJ32" s="1362"/>
      <c r="AK32" s="1362"/>
      <c r="AL32" s="1370" t="s">
        <v>197</v>
      </c>
      <c r="AM32" s="1371" t="s">
        <v>512</v>
      </c>
      <c r="AN32" s="1362"/>
      <c r="AO32" s="1362"/>
      <c r="AP32" s="1362"/>
      <c r="AQ32" s="1388"/>
      <c r="AR32" s="1388"/>
      <c r="AS32" s="1388"/>
      <c r="AT32" s="1389"/>
      <c r="AU32" s="1330"/>
      <c r="AV32" s="1330"/>
    </row>
    <row r="33" ht="17.25" customHeight="1" spans="2:74">
      <c r="B33" s="1176"/>
      <c r="K33" s="1240"/>
      <c r="M33" s="1259"/>
      <c r="O33"/>
      <c r="P33"/>
      <c r="Q33"/>
      <c r="S33" s="1307"/>
      <c r="T33" s="1307"/>
      <c r="U33" s="1307"/>
      <c r="V33" s="1307"/>
      <c r="X33" s="1309" t="s">
        <v>82</v>
      </c>
      <c r="Y33" s="1240"/>
      <c r="AA33" s="1330"/>
      <c r="AB33" s="1330"/>
      <c r="AC33" s="1330"/>
      <c r="AD33" s="1330"/>
      <c r="AE33" s="1363"/>
      <c r="AF33" s="1364"/>
      <c r="AG33" s="1364"/>
      <c r="AH33" s="1364"/>
      <c r="AI33" s="1364"/>
      <c r="AJ33" s="1364"/>
      <c r="AK33" s="1364"/>
      <c r="AL33" s="1372" t="str">
        <f>人物卡!H34</f>
        <v>斗殴</v>
      </c>
      <c r="AM33" s="1373">
        <f>人物卡!R34</f>
        <v>25</v>
      </c>
      <c r="AN33" s="1364"/>
      <c r="AO33" s="1364"/>
      <c r="AP33" s="1365"/>
      <c r="AQ33" s="1364"/>
      <c r="AR33" s="1365"/>
      <c r="AS33" s="1389"/>
      <c r="AT33" s="1363"/>
      <c r="AU33" s="1330"/>
      <c r="AV33" s="1330"/>
      <c r="AZ33" s="1205"/>
      <c r="BA33" s="1205"/>
      <c r="BB33" s="1205"/>
      <c r="BC33" s="1205"/>
      <c r="BD33" s="1205"/>
      <c r="BE33" s="1205"/>
      <c r="BF33" s="1205"/>
      <c r="BG33" s="1205"/>
      <c r="BH33" s="1205"/>
      <c r="BI33" s="1205"/>
      <c r="BJ33" s="1205"/>
      <c r="BK33" s="1205"/>
      <c r="BL33" s="1205"/>
      <c r="BM33" s="1205"/>
      <c r="BN33" s="1205"/>
      <c r="BO33" s="1205"/>
      <c r="BP33" s="1205"/>
      <c r="BQ33" s="1205"/>
      <c r="BR33" s="1205"/>
      <c r="BS33" s="1205"/>
      <c r="BT33" s="1205"/>
      <c r="BU33" s="1205"/>
      <c r="BV33" s="1205"/>
    </row>
    <row r="34" ht="17.25" customHeight="1" spans="2:74">
      <c r="B34" s="1186"/>
      <c r="C34" s="1187" t="str">
        <f>IF(C27=0,IF(C28=0,IF(C29=0,IF(C30=0,IF(C31=0,IF(C32=0,"",C32),C31),C30),C29),C28),C27)</f>
        <v/>
      </c>
      <c r="D34" s="1187">
        <f>IF(D27=0,IF(D28=0,IF(D29=0,IF(D30=0,IF(D31=0,IF(D32=0,0,D32),D31),D30),D29),D28),D27)</f>
        <v>0</v>
      </c>
      <c r="E34" s="1187" t="str">
        <f>IF(E27=0,IF(E28=0,IF(E29=0,IF(E30=0,IF(E31=0,IF(E32=0,"",E32),E31),E30),E29),E28),E27)</f>
        <v/>
      </c>
      <c r="F34" s="1187"/>
      <c r="G34" s="1187"/>
      <c r="H34" s="1187"/>
      <c r="I34" s="1187"/>
      <c r="J34" s="1187"/>
      <c r="K34" s="1243"/>
      <c r="O34"/>
      <c r="P34"/>
      <c r="Q34"/>
      <c r="S34" s="1307"/>
      <c r="T34" s="1307"/>
      <c r="U34" s="1307"/>
      <c r="V34" s="1307"/>
      <c r="X34" s="1309" t="s">
        <v>87</v>
      </c>
      <c r="Y34" s="1240"/>
      <c r="AA34" s="1330"/>
      <c r="AB34" s="1330"/>
      <c r="AC34" s="1330"/>
      <c r="AD34" s="1330"/>
      <c r="AE34" s="1363"/>
      <c r="AF34" s="1364"/>
      <c r="AG34" s="1364"/>
      <c r="AH34" s="1364"/>
      <c r="AI34" s="1364"/>
      <c r="AJ34" s="1364"/>
      <c r="AK34" s="1364"/>
      <c r="AL34" s="1372">
        <f>人物卡!H35</f>
        <v>0</v>
      </c>
      <c r="AM34" s="1373">
        <f>人物卡!R35</f>
        <v>0</v>
      </c>
      <c r="AN34" s="1364"/>
      <c r="AO34" s="1364"/>
      <c r="AP34" s="1365"/>
      <c r="AQ34" s="1364"/>
      <c r="AR34" s="1364"/>
      <c r="AS34" s="1365"/>
      <c r="AT34" s="1363"/>
      <c r="AU34" s="1330"/>
      <c r="AV34" s="1330"/>
      <c r="AZ34" s="1205"/>
      <c r="BA34" s="1205"/>
      <c r="BB34" s="1205"/>
      <c r="BC34" s="1205"/>
      <c r="BD34" s="1205"/>
      <c r="BE34" s="1205"/>
      <c r="BF34" s="1205"/>
      <c r="BG34" s="1205"/>
      <c r="BH34" s="1205"/>
      <c r="BI34" s="1205"/>
      <c r="BJ34" s="1205"/>
      <c r="BK34" s="1205"/>
      <c r="BL34" s="1205"/>
      <c r="BM34" s="1205"/>
      <c r="BN34" s="1205"/>
      <c r="BO34" s="1205"/>
      <c r="BP34" s="1205"/>
      <c r="BQ34" s="1205"/>
      <c r="BR34" s="1205"/>
      <c r="BS34" s="1205"/>
      <c r="BT34" s="1205"/>
      <c r="BU34" s="1205"/>
      <c r="BV34" s="1205"/>
    </row>
    <row r="35" ht="17.25" customHeight="1" spans="15:74">
      <c r="O35"/>
      <c r="P35"/>
      <c r="Q35"/>
      <c r="S35" s="1307"/>
      <c r="T35" s="1307"/>
      <c r="U35" s="1307"/>
      <c r="V35" s="1307"/>
      <c r="X35" s="1309" t="s">
        <v>93</v>
      </c>
      <c r="Y35" s="1240"/>
      <c r="AA35" s="1330"/>
      <c r="AB35" s="1330"/>
      <c r="AC35" s="1330"/>
      <c r="AD35" s="1330"/>
      <c r="AE35" s="1363"/>
      <c r="AF35" s="1364"/>
      <c r="AG35" s="1364"/>
      <c r="AH35" s="1364"/>
      <c r="AI35" s="1364"/>
      <c r="AJ35" s="1364"/>
      <c r="AK35" s="1364"/>
      <c r="AL35" s="1372">
        <f>人物卡!H36</f>
        <v>0</v>
      </c>
      <c r="AM35" s="1373">
        <f>人物卡!R36</f>
        <v>0</v>
      </c>
      <c r="AN35" s="1364"/>
      <c r="AO35" s="1364"/>
      <c r="AP35" s="1364"/>
      <c r="AQ35" s="1364"/>
      <c r="AR35" s="1364"/>
      <c r="AS35" s="1365"/>
      <c r="AT35" s="1363"/>
      <c r="AU35" s="1330"/>
      <c r="AV35" s="1330"/>
      <c r="AZ35" s="1205"/>
      <c r="BA35" s="1205"/>
      <c r="BB35" s="1205"/>
      <c r="BC35" s="1205"/>
      <c r="BD35" s="1205"/>
      <c r="BE35" s="1205"/>
      <c r="BF35" s="1205"/>
      <c r="BG35" s="1205"/>
      <c r="BH35" s="1205"/>
      <c r="BI35" s="1205"/>
      <c r="BJ35" s="1205"/>
      <c r="BK35" s="1205"/>
      <c r="BL35" s="1205"/>
      <c r="BM35" s="1205"/>
      <c r="BN35" s="1205"/>
      <c r="BO35" s="1205"/>
      <c r="BP35" s="1205"/>
      <c r="BQ35" s="1205"/>
      <c r="BR35" s="1205"/>
      <c r="BS35" s="1205"/>
      <c r="BT35" s="1205"/>
      <c r="BU35" s="1205"/>
      <c r="BV35" s="1205"/>
    </row>
    <row r="36" ht="17.25" customHeight="1" spans="2:74">
      <c r="B36" s="1208"/>
      <c r="C36" s="1209" t="s">
        <v>18</v>
      </c>
      <c r="D36" s="1209" t="s">
        <v>542</v>
      </c>
      <c r="E36" s="1192"/>
      <c r="F36" s="1210"/>
      <c r="I36" s="1260" t="s">
        <v>581</v>
      </c>
      <c r="J36" s="1260"/>
      <c r="K36" s="1260"/>
      <c r="L36" s="1260"/>
      <c r="M36" s="1260"/>
      <c r="O36"/>
      <c r="P36"/>
      <c r="Q36"/>
      <c r="S36" s="1312"/>
      <c r="T36" s="1312"/>
      <c r="U36" s="1312"/>
      <c r="V36" s="1312"/>
      <c r="X36" s="1309" t="s">
        <v>96</v>
      </c>
      <c r="Y36" s="1240"/>
      <c r="AA36" s="1330"/>
      <c r="AB36" s="1330"/>
      <c r="AC36" s="1330"/>
      <c r="AD36" s="1330"/>
      <c r="AE36" s="1363"/>
      <c r="AF36" s="1364"/>
      <c r="AG36" s="1364"/>
      <c r="AH36" s="1364"/>
      <c r="AI36" s="1364"/>
      <c r="AJ36" s="1364"/>
      <c r="AK36" s="1364"/>
      <c r="AL36" s="1372">
        <f>人物卡!H37</f>
        <v>0</v>
      </c>
      <c r="AM36" s="1373">
        <f>人物卡!R37</f>
        <v>0</v>
      </c>
      <c r="AN36" s="1364"/>
      <c r="AO36" s="1365"/>
      <c r="AP36" s="1365"/>
      <c r="AQ36" s="1364"/>
      <c r="AR36" s="1364"/>
      <c r="AS36" s="1365"/>
      <c r="AT36" s="1363"/>
      <c r="AU36" s="1330"/>
      <c r="AV36" s="1341"/>
      <c r="AZ36" s="1404"/>
      <c r="BA36" s="1404"/>
      <c r="BB36" s="1404"/>
      <c r="BC36" s="1404"/>
      <c r="BD36" s="1404"/>
      <c r="BE36" s="1404"/>
      <c r="BF36" s="1404"/>
      <c r="BG36" s="1404"/>
      <c r="BH36" s="1404"/>
      <c r="BI36" s="1404"/>
      <c r="BJ36" s="1404"/>
      <c r="BK36" s="1404"/>
      <c r="BL36" s="1404"/>
      <c r="BM36" s="1404"/>
      <c r="BN36" s="1404"/>
      <c r="BO36" s="1404"/>
      <c r="BP36" s="1404"/>
      <c r="BQ36" s="1404"/>
      <c r="BR36" s="1404"/>
      <c r="BS36" s="1404"/>
      <c r="BT36" s="1205"/>
      <c r="BU36" s="1205"/>
      <c r="BV36" s="1205"/>
    </row>
    <row r="37" ht="17.25" customHeight="1" spans="2:74">
      <c r="B37" s="1211"/>
      <c r="C37" s="1212">
        <f>ABS(人物卡!E6)</f>
        <v>0</v>
      </c>
      <c r="D37" s="1212" t="str">
        <f>IF(ISBLANK(人物卡!AU37),IF(AND(C37&gt;=15,C37&lt;=19),D39,IF(AND(C37&gt;=20,C37&lt;=39),D40,IF(AND(C37&gt;=40,C37&lt;=49),D41,IF(AND(C37&gt;=50,C37&lt;=59),D42,IF(AND(C37&gt;=60,C37&lt;=69),D43,IF(AND(C37&gt;=70,C37&lt;=79),D44,IF(AND(C37&gt;=80,C37&lt;=89),D45,IF(ABS(C37)&gt;=90,D48,"请和kp商议")))))))),人物卡!AU37)</f>
        <v>请和kp商议</v>
      </c>
      <c r="F37" s="1213"/>
      <c r="I37" s="1261" t="s">
        <v>582</v>
      </c>
      <c r="J37" s="1261" t="s">
        <v>583</v>
      </c>
      <c r="K37" s="1261" t="s">
        <v>584</v>
      </c>
      <c r="L37" s="1261" t="s">
        <v>200</v>
      </c>
      <c r="M37" s="1261" t="s">
        <v>108</v>
      </c>
      <c r="O37"/>
      <c r="P37"/>
      <c r="Q37"/>
      <c r="S37" s="1313" t="str">
        <f>IF(人物卡!M4="","","时代:"&amp;人物卡!M4&amp;CHAR(9))&amp;IF(人物卡!E5="","","职业:"&amp;人物卡!E5&amp;CHAR(9))&amp;IF(人物卡!E6="","","年龄"&amp;人物卡!E6&amp;" ")&amp;IF(人物卡!M6="","","性别:"&amp;人物卡!M6&amp;CHAR(9))&amp;IF(人物卡!E7="","","住地:"&amp;人物卡!E7&amp;CHAR(9))&amp;IF(人物卡!M7="","","出身:"&amp;人物卡!M7&amp;CHAR(9))</f>
        <v>时代:现代	职业:自定义职业	</v>
      </c>
      <c r="T37" s="1313"/>
      <c r="U37" s="1313"/>
      <c r="V37" s="1313"/>
      <c r="X37" s="1309" t="s">
        <v>103</v>
      </c>
      <c r="Y37" s="1240"/>
      <c r="AA37" s="1330"/>
      <c r="AB37" s="1330"/>
      <c r="AC37" s="1330"/>
      <c r="AD37" s="1330"/>
      <c r="AE37" s="1363"/>
      <c r="AF37" s="1364"/>
      <c r="AG37" s="1364"/>
      <c r="AH37" s="1364"/>
      <c r="AI37" s="1364"/>
      <c r="AJ37" s="1364"/>
      <c r="AK37" s="1364"/>
      <c r="AL37" s="1372" t="str">
        <f>人物卡!H38</f>
        <v>手枪</v>
      </c>
      <c r="AM37" s="1373">
        <f>人物卡!R38</f>
        <v>20</v>
      </c>
      <c r="AN37" s="1364"/>
      <c r="AO37" s="1364"/>
      <c r="AP37" s="1365"/>
      <c r="AQ37" s="1364"/>
      <c r="AR37" s="1364"/>
      <c r="AS37" s="1364"/>
      <c r="AT37" s="1363"/>
      <c r="AU37" s="1330"/>
      <c r="AV37" s="1330"/>
      <c r="AZ37" s="1404"/>
      <c r="BA37" s="1404"/>
      <c r="BB37" s="1404"/>
      <c r="BC37" s="1404"/>
      <c r="BD37" s="1404"/>
      <c r="BE37" s="1404"/>
      <c r="BF37" s="1404"/>
      <c r="BG37" s="1404"/>
      <c r="BH37" s="1404"/>
      <c r="BI37" s="1404"/>
      <c r="BJ37" s="1404"/>
      <c r="BK37" s="1404"/>
      <c r="BL37" s="1404"/>
      <c r="BM37" s="1404"/>
      <c r="BN37" s="1404"/>
      <c r="BO37" s="1404"/>
      <c r="BP37" s="1404"/>
      <c r="BQ37" s="1404"/>
      <c r="BR37" s="1404"/>
      <c r="BS37" s="1404"/>
      <c r="BT37" s="1205"/>
      <c r="BU37" s="1205"/>
      <c r="BV37" s="1205"/>
    </row>
    <row r="38" ht="17.25" customHeight="1" spans="2:74">
      <c r="B38" s="1211"/>
      <c r="C38" s="1214" t="s">
        <v>585</v>
      </c>
      <c r="D38" s="1215"/>
      <c r="E38" s="1216"/>
      <c r="F38" s="1213"/>
      <c r="I38" s="1262" t="s">
        <v>586</v>
      </c>
      <c r="J38" s="1263" t="s">
        <v>587</v>
      </c>
      <c r="K38" s="1263" t="s">
        <v>588</v>
      </c>
      <c r="L38" s="1263" t="s">
        <v>495</v>
      </c>
      <c r="M38" s="1263" t="s">
        <v>589</v>
      </c>
      <c r="O38"/>
      <c r="P38"/>
      <c r="Q38"/>
      <c r="S38" s="1313"/>
      <c r="T38" s="1313"/>
      <c r="U38" s="1313"/>
      <c r="V38" s="1313"/>
      <c r="X38" s="1309" t="s">
        <v>105</v>
      </c>
      <c r="Y38" s="1240"/>
      <c r="AA38" s="1330"/>
      <c r="AB38" s="1330"/>
      <c r="AC38" s="1330"/>
      <c r="AD38" s="1330"/>
      <c r="AE38" s="1363"/>
      <c r="AF38" s="1364"/>
      <c r="AG38" s="1364"/>
      <c r="AH38" s="1364"/>
      <c r="AI38" s="1364"/>
      <c r="AJ38" s="1364"/>
      <c r="AK38" s="1364"/>
      <c r="AL38" s="1372">
        <f>人物卡!H39</f>
        <v>0</v>
      </c>
      <c r="AM38" s="1373">
        <f>人物卡!R39</f>
        <v>0</v>
      </c>
      <c r="AN38" s="1364"/>
      <c r="AO38" s="1364"/>
      <c r="AP38" s="1365"/>
      <c r="AQ38" s="1364"/>
      <c r="AR38" s="1364"/>
      <c r="AS38" s="1365"/>
      <c r="AT38" s="1363"/>
      <c r="AU38" s="1330"/>
      <c r="AV38" s="1330"/>
      <c r="AZ38" s="1404"/>
      <c r="BA38" s="1404"/>
      <c r="BB38" s="1404"/>
      <c r="BC38" s="1404"/>
      <c r="BD38" s="1404"/>
      <c r="BE38" s="1404"/>
      <c r="BF38" s="1404"/>
      <c r="BG38" s="1404"/>
      <c r="BH38" s="1404"/>
      <c r="BI38" s="1404"/>
      <c r="BJ38" s="1404"/>
      <c r="BK38" s="1404"/>
      <c r="BL38" s="1404"/>
      <c r="BM38" s="1404"/>
      <c r="BN38" s="1404"/>
      <c r="BO38" s="1404"/>
      <c r="BP38" s="1404"/>
      <c r="BQ38" s="1404"/>
      <c r="BR38" s="1404"/>
      <c r="BS38" s="1404"/>
      <c r="BT38" s="1205"/>
      <c r="BU38" s="1205"/>
      <c r="BV38" s="1205"/>
    </row>
    <row r="39" ht="17.25" customHeight="1" spans="2:74">
      <c r="B39" s="1211">
        <v>15</v>
      </c>
      <c r="C39" s="1212">
        <v>19</v>
      </c>
      <c r="D39" s="1212" t="s">
        <v>590</v>
      </c>
      <c r="E39" s="1212"/>
      <c r="F39" s="1213"/>
      <c r="I39" s="1264" t="s">
        <v>591</v>
      </c>
      <c r="J39" s="1265" t="s">
        <v>592</v>
      </c>
      <c r="K39" s="1266" t="s">
        <v>593</v>
      </c>
      <c r="L39" s="1266" t="s">
        <v>594</v>
      </c>
      <c r="M39" s="1265" t="s">
        <v>595</v>
      </c>
      <c r="O39"/>
      <c r="P39"/>
      <c r="Q39"/>
      <c r="S39" s="1313" t="str">
        <f>IF(人物卡!I11="",""," 身体状态:"&amp;人物卡!I11&amp;CHAR(9))&amp;IF(人物卡!R11="",""," 精神状态:"&amp;人物卡!R11&amp;CHAR(9))</f>
        <v> 身体状态:健康	 精神状态:清醒	</v>
      </c>
      <c r="T39" s="1313"/>
      <c r="U39" s="1313"/>
      <c r="V39" s="1313"/>
      <c r="X39" s="1309" t="s">
        <v>109</v>
      </c>
      <c r="Y39" s="1240"/>
      <c r="AA39" s="1330"/>
      <c r="AB39" s="1330"/>
      <c r="AC39" s="1330"/>
      <c r="AD39" s="1330"/>
      <c r="AE39" s="1363"/>
      <c r="AF39" s="1364"/>
      <c r="AG39" s="1364"/>
      <c r="AH39" s="1364"/>
      <c r="AI39" s="1364"/>
      <c r="AJ39" s="1364"/>
      <c r="AK39" s="1364"/>
      <c r="AL39" s="1372">
        <f>人物卡!H40</f>
        <v>0</v>
      </c>
      <c r="AM39" s="1373">
        <f>人物卡!R40</f>
        <v>0</v>
      </c>
      <c r="AN39" s="1364"/>
      <c r="AO39" s="1365"/>
      <c r="AP39" s="1365"/>
      <c r="AQ39" s="1364"/>
      <c r="AR39" s="1364"/>
      <c r="AS39" s="1365"/>
      <c r="AT39" s="1363"/>
      <c r="AU39" s="1330"/>
      <c r="AV39" s="1330"/>
      <c r="AZ39" s="1404"/>
      <c r="BA39" s="1404"/>
      <c r="BB39" s="1404"/>
      <c r="BC39" s="1404"/>
      <c r="BD39" s="1404"/>
      <c r="BE39" s="1404"/>
      <c r="BF39" s="1404"/>
      <c r="BG39" s="1404"/>
      <c r="BH39" s="1404"/>
      <c r="BI39" s="1404"/>
      <c r="BJ39" s="1404"/>
      <c r="BK39" s="1404"/>
      <c r="BL39" s="1404"/>
      <c r="BM39" s="1404"/>
      <c r="BN39" s="1404"/>
      <c r="BO39" s="1404"/>
      <c r="BP39" s="1404"/>
      <c r="BQ39" s="1404"/>
      <c r="BR39" s="1404"/>
      <c r="BS39" s="1404"/>
      <c r="BT39" s="1205"/>
      <c r="BU39" s="1205"/>
      <c r="BV39" s="1205"/>
    </row>
    <row r="40" ht="17.25" customHeight="1" spans="2:74">
      <c r="B40" s="1211">
        <v>20</v>
      </c>
      <c r="C40" s="1212">
        <v>39</v>
      </c>
      <c r="D40" s="1212" t="s">
        <v>596</v>
      </c>
      <c r="E40" s="1212"/>
      <c r="F40" s="1213"/>
      <c r="I40" s="1267" t="s">
        <v>597</v>
      </c>
      <c r="J40" s="1268" t="s">
        <v>598</v>
      </c>
      <c r="K40" s="1269" t="s">
        <v>599</v>
      </c>
      <c r="L40" s="1268" t="s">
        <v>594</v>
      </c>
      <c r="M40" s="1268" t="s">
        <v>600</v>
      </c>
      <c r="O40"/>
      <c r="P40"/>
      <c r="Q40"/>
      <c r="S40" s="1313" t="str">
        <f>IF(人物卡!AP64="","","&amp;DB="&amp;人物卡!AP64&amp;" 体格:"&amp;人物卡!AP67)&amp;IF(OR(人物卡!AP69="",,人物卡!R29&lt;&gt;人物卡!J29),""," 闪避:"&amp;人物卡!AP69)&amp;IF(人物卡!AN10="",""," 护甲:"&amp;人物卡!AN10)</f>
        <v>&amp;DB=0 体格:0 闪避:0 护甲:0</v>
      </c>
      <c r="T40" s="1313"/>
      <c r="U40" s="1313"/>
      <c r="V40" s="1313"/>
      <c r="X40" s="1309" t="s">
        <v>111</v>
      </c>
      <c r="Y40" s="1240"/>
      <c r="AA40" s="1330"/>
      <c r="AB40" s="1330"/>
      <c r="AC40" s="1330"/>
      <c r="AD40" s="1330"/>
      <c r="AE40" s="1363"/>
      <c r="AF40" s="1364"/>
      <c r="AG40" s="1364"/>
      <c r="AH40" s="1364"/>
      <c r="AI40" s="1364"/>
      <c r="AJ40" s="1364"/>
      <c r="AK40" s="1364"/>
      <c r="AL40" s="1372">
        <f>人物卡!H41</f>
        <v>0</v>
      </c>
      <c r="AM40" s="1373">
        <f>人物卡!R41</f>
        <v>0</v>
      </c>
      <c r="AN40" s="1364"/>
      <c r="AO40" s="1365"/>
      <c r="AP40" s="1365"/>
      <c r="AQ40" s="1364"/>
      <c r="AR40" s="1364"/>
      <c r="AS40" s="1365"/>
      <c r="AT40" s="1363"/>
      <c r="AU40" s="1330"/>
      <c r="AV40" s="1330"/>
      <c r="AZ40" s="1205"/>
      <c r="BA40" s="1205"/>
      <c r="BB40" s="1205"/>
      <c r="BC40" s="1205"/>
      <c r="BD40" s="1205"/>
      <c r="BE40" s="1205"/>
      <c r="BF40" s="1205"/>
      <c r="BG40" s="1205"/>
      <c r="BH40" s="1205"/>
      <c r="BI40" s="1205"/>
      <c r="BJ40" s="1205"/>
      <c r="BK40" s="1205"/>
      <c r="BL40" s="1205"/>
      <c r="BM40" s="1205"/>
      <c r="BN40" s="1205"/>
      <c r="BO40" s="1205"/>
      <c r="BP40" s="1205"/>
      <c r="BQ40" s="1205"/>
      <c r="BR40" s="1205"/>
      <c r="BS40" s="1205"/>
      <c r="BT40" s="1205"/>
      <c r="BU40" s="1205"/>
      <c r="BV40" s="1205"/>
    </row>
    <row r="41" ht="17.25" customHeight="1" spans="2:74">
      <c r="B41" s="1211">
        <v>40</v>
      </c>
      <c r="C41" s="1212">
        <v>49</v>
      </c>
      <c r="D41" s="1212" t="s">
        <v>601</v>
      </c>
      <c r="E41" s="1212"/>
      <c r="F41" s="1213"/>
      <c r="I41" s="1264" t="s">
        <v>602</v>
      </c>
      <c r="J41" s="1266" t="s">
        <v>603</v>
      </c>
      <c r="K41" s="1265" t="s">
        <v>604</v>
      </c>
      <c r="L41" s="1266" t="s">
        <v>495</v>
      </c>
      <c r="M41" s="1266" t="s">
        <v>605</v>
      </c>
      <c r="O41"/>
      <c r="P41"/>
      <c r="Q41"/>
      <c r="S41" s="1313" t="str">
        <f>IF(人物卡!G66="",IF(人物卡!B66="",""," &amp;"&amp;人物卡!B66&amp;"="&amp;人物卡!W66)," &amp;"&amp;人物卡!B66&amp;"="&amp;VLOOKUP(人物卡!G66,#REF!,19,FALSE))</f>
        <v/>
      </c>
      <c r="T41" s="1313"/>
      <c r="U41" s="1313"/>
      <c r="V41" s="1313"/>
      <c r="X41" s="1309" t="s">
        <v>114</v>
      </c>
      <c r="Y41" s="1240"/>
      <c r="AA41" s="1330"/>
      <c r="AB41" s="1330"/>
      <c r="AC41" s="1330"/>
      <c r="AD41" s="1330"/>
      <c r="AE41" s="1363"/>
      <c r="AF41" s="1364"/>
      <c r="AG41" s="1374"/>
      <c r="AH41" s="1364"/>
      <c r="AI41" s="1364"/>
      <c r="AJ41" s="1364"/>
      <c r="AK41" s="1375"/>
      <c r="AL41" s="1372" t="str">
        <f>人物卡!AB25</f>
        <v>操作重型机械</v>
      </c>
      <c r="AM41" s="1373">
        <f>人物卡!AN25</f>
        <v>1</v>
      </c>
      <c r="AN41" s="1364"/>
      <c r="AO41" s="1364"/>
      <c r="AP41" s="1365"/>
      <c r="AQ41" s="1364"/>
      <c r="AR41" s="1364"/>
      <c r="AS41" s="1365"/>
      <c r="AT41" s="1363"/>
      <c r="AU41" s="1330"/>
      <c r="AV41" s="1330"/>
      <c r="AW41" s="1205"/>
      <c r="AX41" s="1205"/>
      <c r="AY41" s="1205"/>
      <c r="AZ41" s="1205"/>
      <c r="BA41" s="1205"/>
      <c r="BB41" s="1205"/>
      <c r="BC41" s="1205"/>
      <c r="BD41" s="1205"/>
      <c r="BE41" s="1205"/>
      <c r="BF41" s="1205"/>
      <c r="BG41" s="1205"/>
      <c r="BH41" s="1205"/>
      <c r="BI41" s="1205"/>
      <c r="BJ41" s="1205"/>
      <c r="BK41" s="1205"/>
      <c r="BL41" s="1205"/>
      <c r="BM41" s="1205"/>
      <c r="BN41" s="1205"/>
      <c r="BO41" s="1205"/>
      <c r="BP41" s="1205"/>
      <c r="BQ41" s="1205"/>
      <c r="BR41" s="1205"/>
      <c r="BS41" s="1205"/>
      <c r="BT41" s="1205"/>
      <c r="BU41" s="1205"/>
      <c r="BV41" s="1205"/>
    </row>
    <row r="42" ht="17.25" customHeight="1" spans="2:74">
      <c r="B42" s="1211">
        <v>50</v>
      </c>
      <c r="C42" s="1212">
        <v>59</v>
      </c>
      <c r="D42" s="1212" t="s">
        <v>606</v>
      </c>
      <c r="E42" s="1212"/>
      <c r="F42" s="1213"/>
      <c r="I42" s="1267" t="s">
        <v>607</v>
      </c>
      <c r="J42" s="1268" t="s">
        <v>608</v>
      </c>
      <c r="K42" s="1269" t="s">
        <v>609</v>
      </c>
      <c r="L42" s="1268" t="s">
        <v>610</v>
      </c>
      <c r="M42" s="1268" t="s">
        <v>611</v>
      </c>
      <c r="O42"/>
      <c r="P42"/>
      <c r="Q42"/>
      <c r="S42" s="1313" t="str">
        <f>IF(人物卡!G67="",IF(人物卡!B67="",""," &amp;"&amp;人物卡!B67&amp;"="&amp;人物卡!W67)," &amp;"&amp;人物卡!B67&amp;"="&amp;VLOOKUP(人物卡!G67,#REF!,19,FALSE))</f>
        <v/>
      </c>
      <c r="T42" s="1313"/>
      <c r="U42" s="1313"/>
      <c r="V42" s="1313"/>
      <c r="X42" s="1309" t="s">
        <v>116</v>
      </c>
      <c r="Y42" s="1240"/>
      <c r="AA42" s="1330"/>
      <c r="AB42" s="1330"/>
      <c r="AC42" s="1330"/>
      <c r="AD42" s="1330"/>
      <c r="AE42" s="1363"/>
      <c r="AF42" s="1365"/>
      <c r="AG42" s="1364"/>
      <c r="AH42" s="1364"/>
      <c r="AI42" s="1364"/>
      <c r="AJ42" s="1364"/>
      <c r="AK42" s="1364"/>
      <c r="AL42" s="1372" t="str">
        <f>人物卡!AB39</f>
        <v>投掷</v>
      </c>
      <c r="AM42" s="1373">
        <f>人物卡!AN39</f>
        <v>20</v>
      </c>
      <c r="AN42" s="1364"/>
      <c r="AO42" s="1365"/>
      <c r="AP42" s="1365"/>
      <c r="AQ42" s="1364"/>
      <c r="AR42" s="1364"/>
      <c r="AS42" s="1365"/>
      <c r="AT42" s="1363"/>
      <c r="AU42" s="1330"/>
      <c r="AV42" s="1330"/>
      <c r="AW42" s="1205"/>
      <c r="AX42" s="1205"/>
      <c r="AY42" s="1205"/>
      <c r="AZ42" s="1205"/>
      <c r="BA42" s="1205"/>
      <c r="BB42" s="1205"/>
      <c r="BC42" s="1205"/>
      <c r="BD42" s="1205"/>
      <c r="BE42" s="1205"/>
      <c r="BF42" s="1205"/>
      <c r="BG42" s="1205"/>
      <c r="BH42" s="1205"/>
      <c r="BI42" s="1205"/>
      <c r="BJ42" s="1205"/>
      <c r="BK42" s="1205"/>
      <c r="BL42" s="1205"/>
      <c r="BM42" s="1205"/>
      <c r="BN42" s="1205"/>
      <c r="BO42" s="1205"/>
      <c r="BP42" s="1205"/>
      <c r="BQ42" s="1205"/>
      <c r="BR42" s="1205"/>
      <c r="BS42" s="1205"/>
      <c r="BT42" s="1205"/>
      <c r="BU42" s="1205"/>
      <c r="BV42" s="1205"/>
    </row>
    <row r="43" ht="17.25" customHeight="1" spans="2:74">
      <c r="B43" s="1211">
        <v>60</v>
      </c>
      <c r="C43" s="1212">
        <v>69</v>
      </c>
      <c r="D43" s="1212" t="s">
        <v>612</v>
      </c>
      <c r="E43" s="1212"/>
      <c r="F43" s="1213"/>
      <c r="I43" s="1264" t="s">
        <v>613</v>
      </c>
      <c r="J43" s="1266" t="s">
        <v>614</v>
      </c>
      <c r="K43" s="1270" t="s">
        <v>615</v>
      </c>
      <c r="L43" s="1265" t="s">
        <v>594</v>
      </c>
      <c r="M43" s="1266" t="s">
        <v>616</v>
      </c>
      <c r="O43"/>
      <c r="P43"/>
      <c r="Q43"/>
      <c r="S43" s="1313" t="str">
        <f>IF(人物卡!G68="",IF(人物卡!B68="",""," &amp;"&amp;人物卡!B68&amp;"="&amp;人物卡!W68)," &amp;"&amp;人物卡!B68&amp;"="&amp;VLOOKUP(人物卡!G68,#REF!,19,FALSE))</f>
        <v/>
      </c>
      <c r="T43" s="1313"/>
      <c r="U43" s="1313"/>
      <c r="V43" s="1313"/>
      <c r="X43" s="1309" t="s">
        <v>119</v>
      </c>
      <c r="Y43" s="1240"/>
      <c r="AA43" s="1330"/>
      <c r="AB43" s="1330"/>
      <c r="AC43" s="1330"/>
      <c r="AD43" s="1330"/>
      <c r="AE43" s="1363"/>
      <c r="AF43" s="1364"/>
      <c r="AG43" s="1364"/>
      <c r="AH43" s="1364"/>
      <c r="AI43" s="1364"/>
      <c r="AJ43" s="1364"/>
      <c r="AK43" s="1364"/>
      <c r="AL43" s="1372" t="str">
        <f>人物卡!AB43</f>
        <v>爆破</v>
      </c>
      <c r="AM43" s="1373">
        <f>人物卡!AN43</f>
        <v>1</v>
      </c>
      <c r="AN43" s="1364"/>
      <c r="AO43" s="1365"/>
      <c r="AP43" s="1365"/>
      <c r="AQ43" s="1364"/>
      <c r="AR43" s="1364"/>
      <c r="AS43" s="1365"/>
      <c r="AT43" s="1363"/>
      <c r="AU43" s="1330"/>
      <c r="AV43" s="1330"/>
      <c r="AW43" s="1205"/>
      <c r="AX43" s="1205"/>
      <c r="AY43" s="1205"/>
      <c r="AZ43" s="1205"/>
      <c r="BA43" s="1205"/>
      <c r="BB43" s="1205"/>
      <c r="BC43" s="1205"/>
      <c r="BD43" s="1205"/>
      <c r="BE43" s="1205"/>
      <c r="BF43" s="1205"/>
      <c r="BG43" s="1205"/>
      <c r="BH43" s="1205"/>
      <c r="BI43" s="1205"/>
      <c r="BJ43" s="1205"/>
      <c r="BK43" s="1205"/>
      <c r="BL43" s="1205"/>
      <c r="BM43" s="1205"/>
      <c r="BN43" s="1205"/>
      <c r="BO43" s="1205"/>
      <c r="BP43" s="1205"/>
      <c r="BQ43" s="1205"/>
      <c r="BR43" s="1205"/>
      <c r="BS43" s="1205"/>
      <c r="BT43" s="1205"/>
      <c r="BU43" s="1205"/>
      <c r="BV43" s="1205"/>
    </row>
    <row r="44" ht="17.25" customHeight="1" spans="2:74">
      <c r="B44" s="1211">
        <v>70</v>
      </c>
      <c r="C44" s="1212">
        <v>79</v>
      </c>
      <c r="D44" s="1212" t="s">
        <v>617</v>
      </c>
      <c r="E44" s="1212"/>
      <c r="F44" s="1213"/>
      <c r="I44" s="1267" t="s">
        <v>618</v>
      </c>
      <c r="J44" s="1268" t="s">
        <v>608</v>
      </c>
      <c r="K44" s="1205" t="s">
        <v>619</v>
      </c>
      <c r="L44" s="1269" t="s">
        <v>594</v>
      </c>
      <c r="M44" s="1268" t="s">
        <v>620</v>
      </c>
      <c r="O44"/>
      <c r="P44"/>
      <c r="Q44"/>
      <c r="S44" s="1313" t="str">
        <f>S41&amp;S42&amp;S43</f>
        <v/>
      </c>
      <c r="T44" s="1313"/>
      <c r="U44" s="1313"/>
      <c r="V44" s="1313"/>
      <c r="X44" s="1311" t="s">
        <v>122</v>
      </c>
      <c r="Y44" s="1240"/>
      <c r="AA44" s="1330"/>
      <c r="AB44" s="1330"/>
      <c r="AC44" s="1330"/>
      <c r="AD44" s="1330"/>
      <c r="AE44" s="1363"/>
      <c r="AF44" s="1364"/>
      <c r="AG44" s="1364"/>
      <c r="AH44" s="1364"/>
      <c r="AI44" s="1364"/>
      <c r="AJ44" s="1364"/>
      <c r="AK44" s="1364"/>
      <c r="AL44" s="1372" t="str">
        <f>人物卡!AB46</f>
        <v>炮术</v>
      </c>
      <c r="AM44" s="1373">
        <f>人物卡!AN46</f>
        <v>1</v>
      </c>
      <c r="AN44" s="1364"/>
      <c r="AO44" s="1365"/>
      <c r="AP44" s="1365"/>
      <c r="AQ44" s="1364"/>
      <c r="AR44" s="1364"/>
      <c r="AS44" s="1365"/>
      <c r="AT44" s="1363"/>
      <c r="AU44" s="1330"/>
      <c r="AV44" s="1330"/>
      <c r="AW44" s="1205"/>
      <c r="AX44" s="1205"/>
      <c r="AY44" s="1205"/>
      <c r="AZ44" s="1205"/>
      <c r="BA44" s="1205"/>
      <c r="BB44" s="1205"/>
      <c r="BC44" s="1205"/>
      <c r="BD44" s="1205"/>
      <c r="BE44" s="1205"/>
      <c r="BF44" s="1205"/>
      <c r="BG44" s="1205"/>
      <c r="BH44" s="1205"/>
      <c r="BI44" s="1205"/>
      <c r="BJ44" s="1205"/>
      <c r="BK44" s="1205"/>
      <c r="BL44" s="1205"/>
      <c r="BM44" s="1205"/>
      <c r="BN44" s="1205"/>
      <c r="BO44" s="1205"/>
      <c r="BP44" s="1205"/>
      <c r="BQ44" s="1205"/>
      <c r="BR44" s="1205"/>
      <c r="BS44" s="1205"/>
      <c r="BT44" s="1205"/>
      <c r="BU44" s="1205"/>
      <c r="BV44" s="1205"/>
    </row>
    <row r="45" ht="17.25" customHeight="1" spans="2:48">
      <c r="B45" s="1211">
        <v>80</v>
      </c>
      <c r="C45" s="1212">
        <v>89</v>
      </c>
      <c r="D45" s="1212" t="s">
        <v>621</v>
      </c>
      <c r="E45" s="1212"/>
      <c r="F45" s="1213"/>
      <c r="I45" s="1264" t="s">
        <v>622</v>
      </c>
      <c r="J45" s="1266" t="s">
        <v>623</v>
      </c>
      <c r="K45" s="1265" t="s">
        <v>624</v>
      </c>
      <c r="L45" s="1266" t="s">
        <v>594</v>
      </c>
      <c r="M45" s="1266" t="s">
        <v>625</v>
      </c>
      <c r="O45"/>
      <c r="P45"/>
      <c r="Q45"/>
      <c r="S45" s="1313"/>
      <c r="T45" s="1313"/>
      <c r="U45" s="1313"/>
      <c r="V45" s="1313"/>
      <c r="X45" s="1309" t="s">
        <v>126</v>
      </c>
      <c r="Y45" s="1240"/>
      <c r="AA45" s="1330"/>
      <c r="AB45" s="1330"/>
      <c r="AC45" s="1330"/>
      <c r="AD45" s="1330"/>
      <c r="AE45" s="1363"/>
      <c r="AF45" s="1364"/>
      <c r="AG45" s="1364"/>
      <c r="AH45" s="1364"/>
      <c r="AI45" s="1364"/>
      <c r="AJ45" s="1364"/>
      <c r="AK45" s="1364"/>
      <c r="AL45" s="1376" t="s">
        <v>133</v>
      </c>
      <c r="AM45" s="1377">
        <v>20</v>
      </c>
      <c r="AN45" s="1364"/>
      <c r="AO45" s="1365"/>
      <c r="AP45" s="1365"/>
      <c r="AQ45" s="1364"/>
      <c r="AR45" s="1364"/>
      <c r="AS45" s="1365"/>
      <c r="AT45" s="1363"/>
      <c r="AU45" s="1330"/>
      <c r="AV45" s="1330"/>
    </row>
    <row r="46" ht="17.25" customHeight="1" spans="2:54">
      <c r="B46" s="1211"/>
      <c r="C46" s="1217" t="s">
        <v>626</v>
      </c>
      <c r="D46" s="1218" t="s">
        <v>627</v>
      </c>
      <c r="E46" s="1219" t="s">
        <v>628</v>
      </c>
      <c r="F46" s="1213"/>
      <c r="I46" s="1267" t="s">
        <v>629</v>
      </c>
      <c r="J46" s="1205" t="s">
        <v>614</v>
      </c>
      <c r="K46" s="1269" t="s">
        <v>630</v>
      </c>
      <c r="L46" s="1205" t="s">
        <v>631</v>
      </c>
      <c r="M46" s="1269" t="s">
        <v>632</v>
      </c>
      <c r="O46"/>
      <c r="P46"/>
      <c r="Q46"/>
      <c r="S46" s="1313" t="str">
        <f>S24&amp;S37&amp;S39&amp;S40&amp;S44</f>
        <v>.st 力量0str0敏捷0dex0意志0pow0体质0con0外貌0app0教育0edu0体型0siz0智力0灵感0int0san0san值0理智0理智值0幸运0运气0mp0魔法0hp0体力0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通灵5传说10风水15稽古5东方医学25中医25次文化5礼仪作法15礼仪15企业文化15企业15武士道10武士10武术5冥想5我流1现金1500存款0时代:现代	职业:自定义职业	 身体状态:健康	 精神状态:清醒	&amp;DB=0 体格:0 闪避:0 护甲:0</v>
      </c>
      <c r="T46" s="1313"/>
      <c r="U46" s="1313"/>
      <c r="V46" s="1313"/>
      <c r="X46" s="1309" t="s">
        <v>130</v>
      </c>
      <c r="Y46" s="1240"/>
      <c r="AA46" s="1330"/>
      <c r="AB46" s="1330"/>
      <c r="AC46" s="1330"/>
      <c r="AD46" s="1330"/>
      <c r="AE46" s="1363"/>
      <c r="AF46" s="1364"/>
      <c r="AG46" s="1364"/>
      <c r="AH46" s="1364"/>
      <c r="AI46" s="1364"/>
      <c r="AJ46" s="1364"/>
      <c r="AK46" s="1364"/>
      <c r="AL46" s="1378" t="s">
        <v>470</v>
      </c>
      <c r="AM46" s="1379">
        <v>25</v>
      </c>
      <c r="AN46" s="1364"/>
      <c r="AO46" s="1364"/>
      <c r="AP46" s="1365"/>
      <c r="AQ46" s="1364"/>
      <c r="AR46" s="1364"/>
      <c r="AS46" s="1365"/>
      <c r="AT46" s="1363"/>
      <c r="AU46" s="1330"/>
      <c r="AV46" s="1330"/>
      <c r="BB46" s="1394"/>
    </row>
    <row r="47" ht="17.25" customHeight="1" spans="2:54">
      <c r="B47" s="1211"/>
      <c r="C47" s="1220">
        <f>INT((C37-B45)/10)</f>
        <v>-8</v>
      </c>
      <c r="D47" s="1221">
        <f>80+80*C47</f>
        <v>-560</v>
      </c>
      <c r="E47" s="1222">
        <v>25</v>
      </c>
      <c r="F47" s="1213"/>
      <c r="I47" s="1270" t="s">
        <v>633</v>
      </c>
      <c r="J47" s="1265" t="s">
        <v>634</v>
      </c>
      <c r="K47" s="1265" t="s">
        <v>635</v>
      </c>
      <c r="L47" s="1266" t="s">
        <v>610</v>
      </c>
      <c r="M47" s="1266" t="s">
        <v>636</v>
      </c>
      <c r="O47"/>
      <c r="P47"/>
      <c r="Q47"/>
      <c r="S47" s="1313"/>
      <c r="T47" s="1313"/>
      <c r="U47" s="1313"/>
      <c r="V47" s="1313"/>
      <c r="X47" s="1310" t="s">
        <v>132</v>
      </c>
      <c r="Y47" s="1240"/>
      <c r="AA47" s="1330"/>
      <c r="AB47" s="1330"/>
      <c r="AC47" s="1330"/>
      <c r="AD47" s="1330"/>
      <c r="AE47" s="1363"/>
      <c r="AF47" s="1364"/>
      <c r="AG47" s="1364"/>
      <c r="AH47" s="1364"/>
      <c r="AI47" s="1364"/>
      <c r="AJ47" s="1364"/>
      <c r="AK47" s="1364"/>
      <c r="AL47" s="1376" t="s">
        <v>637</v>
      </c>
      <c r="AM47" s="1377">
        <v>15</v>
      </c>
      <c r="AN47" s="1364"/>
      <c r="AO47" s="1365"/>
      <c r="AP47" s="1365"/>
      <c r="AQ47" s="1364"/>
      <c r="AR47" s="1364"/>
      <c r="AS47" s="1365"/>
      <c r="AT47" s="1363"/>
      <c r="AU47" s="1330"/>
      <c r="AV47" s="1330"/>
      <c r="BB47" s="1394"/>
    </row>
    <row r="48" ht="17.25" customHeight="1" spans="2:54">
      <c r="B48" s="1223"/>
      <c r="C48" s="1224">
        <f>C37</f>
        <v>0</v>
      </c>
      <c r="D48" s="1225" t="str">
        <f>"进步*4,SCD共-"&amp;D47&amp;" A-"&amp;E47</f>
        <v>进步*4,SCD共--560 A-25</v>
      </c>
      <c r="E48" s="1226"/>
      <c r="F48" s="1227"/>
      <c r="G48" s="1228"/>
      <c r="H48" s="1207"/>
      <c r="I48" s="1205" t="s">
        <v>638</v>
      </c>
      <c r="J48" s="1205" t="s">
        <v>639</v>
      </c>
      <c r="K48" s="1269" t="s">
        <v>640</v>
      </c>
      <c r="L48" s="1205" t="s">
        <v>594</v>
      </c>
      <c r="M48" s="1269" t="s">
        <v>641</v>
      </c>
      <c r="O48"/>
      <c r="P48"/>
      <c r="Q48"/>
      <c r="S48" s="1313"/>
      <c r="T48" s="1313"/>
      <c r="U48" s="1313"/>
      <c r="V48" s="1313"/>
      <c r="X48" s="1311" t="s">
        <v>136</v>
      </c>
      <c r="Y48" s="1240"/>
      <c r="AA48" s="1330"/>
      <c r="AB48" s="1330"/>
      <c r="AC48" s="1330"/>
      <c r="AD48" s="1330"/>
      <c r="AE48" s="1363"/>
      <c r="AF48" s="1364"/>
      <c r="AG48" s="1364"/>
      <c r="AH48" s="1364"/>
      <c r="AI48" s="1364"/>
      <c r="AJ48" s="1364"/>
      <c r="AK48" s="1364"/>
      <c r="AL48" s="1378" t="s">
        <v>642</v>
      </c>
      <c r="AM48" s="1379">
        <v>15</v>
      </c>
      <c r="AN48" s="1364"/>
      <c r="AO48" s="1365"/>
      <c r="AP48" s="1365"/>
      <c r="AQ48" s="1364"/>
      <c r="AR48" s="1364"/>
      <c r="AS48" s="1365"/>
      <c r="AT48" s="1363"/>
      <c r="AU48" s="1330"/>
      <c r="AV48" s="1330"/>
      <c r="BB48" s="1394"/>
    </row>
    <row r="49" ht="17.25" customHeight="1" spans="9:54">
      <c r="I49" s="1205" t="s">
        <v>643</v>
      </c>
      <c r="J49" s="1269" t="s">
        <v>644</v>
      </c>
      <c r="K49" s="1269" t="s">
        <v>644</v>
      </c>
      <c r="L49" s="1269" t="s">
        <v>644</v>
      </c>
      <c r="M49" s="1269" t="s">
        <v>644</v>
      </c>
      <c r="O49"/>
      <c r="P49"/>
      <c r="Q49"/>
      <c r="S49" s="1313"/>
      <c r="T49" s="1313"/>
      <c r="U49" s="1313"/>
      <c r="V49" s="1313"/>
      <c r="X49" s="1310" t="s">
        <v>139</v>
      </c>
      <c r="Y49" s="1240"/>
      <c r="AA49" s="1330"/>
      <c r="AB49" s="1330"/>
      <c r="AC49" s="1330"/>
      <c r="AD49" s="1330"/>
      <c r="AE49" s="1363"/>
      <c r="AF49" s="1364"/>
      <c r="AG49" s="1364"/>
      <c r="AH49" s="1364"/>
      <c r="AI49" s="1364"/>
      <c r="AJ49" s="1364"/>
      <c r="AK49" s="1364"/>
      <c r="AL49" s="1376" t="s">
        <v>645</v>
      </c>
      <c r="AM49" s="1377">
        <v>10</v>
      </c>
      <c r="AN49" s="1364"/>
      <c r="AO49" s="1365"/>
      <c r="AP49" s="1365"/>
      <c r="AQ49" s="1364"/>
      <c r="AR49" s="1364"/>
      <c r="AS49" s="1365"/>
      <c r="AT49" s="1363"/>
      <c r="AU49" s="1330"/>
      <c r="AV49" s="1330"/>
      <c r="BB49" s="1394"/>
    </row>
    <row r="50" ht="17.25" customHeight="1" spans="15:54">
      <c r="O50"/>
      <c r="P50"/>
      <c r="Q50"/>
      <c r="S50" s="1313"/>
      <c r="T50" s="1313"/>
      <c r="U50" s="1313"/>
      <c r="V50" s="1313"/>
      <c r="X50" s="1310" t="s">
        <v>141</v>
      </c>
      <c r="Y50" s="1240"/>
      <c r="AA50" s="1330"/>
      <c r="AB50" s="1330"/>
      <c r="AC50" s="1330"/>
      <c r="AD50" s="1330"/>
      <c r="AE50" s="1363"/>
      <c r="AF50" s="1364"/>
      <c r="AG50" s="1364"/>
      <c r="AH50" s="1364"/>
      <c r="AI50" s="1364"/>
      <c r="AJ50" s="1364"/>
      <c r="AK50" s="1364"/>
      <c r="AL50" s="1378" t="s">
        <v>646</v>
      </c>
      <c r="AM50" s="1379">
        <v>10</v>
      </c>
      <c r="AN50" s="1364"/>
      <c r="AO50" s="1365"/>
      <c r="AP50" s="1365"/>
      <c r="AQ50" s="1364"/>
      <c r="AR50" s="1364"/>
      <c r="AS50" s="1365"/>
      <c r="AT50" s="1363"/>
      <c r="AU50" s="1330"/>
      <c r="AV50" s="1330"/>
      <c r="BB50" s="1394"/>
    </row>
    <row r="51" ht="17.25" customHeight="1" spans="15:65">
      <c r="O51"/>
      <c r="P51"/>
      <c r="Q51"/>
      <c r="S51" s="1313"/>
      <c r="T51" s="1313"/>
      <c r="U51" s="1313"/>
      <c r="V51" s="1313"/>
      <c r="X51" s="1309" t="s">
        <v>143</v>
      </c>
      <c r="Y51" s="1240"/>
      <c r="AA51" s="1330"/>
      <c r="AB51" s="1330"/>
      <c r="AC51" s="1330"/>
      <c r="AD51" s="1330"/>
      <c r="AE51" s="1363"/>
      <c r="AF51" s="1364"/>
      <c r="AG51" s="1364"/>
      <c r="AH51" s="1364"/>
      <c r="AI51" s="1364"/>
      <c r="AJ51" s="1364"/>
      <c r="AK51" s="1364"/>
      <c r="AL51" s="1376" t="s">
        <v>647</v>
      </c>
      <c r="AM51" s="1377">
        <v>10</v>
      </c>
      <c r="AN51" s="1364"/>
      <c r="AO51" s="1365"/>
      <c r="AP51" s="1365"/>
      <c r="AQ51" s="1364"/>
      <c r="AR51" s="1364"/>
      <c r="AS51" s="1365"/>
      <c r="AT51" s="1363"/>
      <c r="AU51" s="1330"/>
      <c r="AV51" s="1330"/>
      <c r="BA51" s="1405"/>
      <c r="BB51" s="1394"/>
      <c r="BC51" s="1405"/>
      <c r="BD51" s="1405"/>
      <c r="BE51" s="1405"/>
      <c r="BF51" s="1405"/>
      <c r="BG51" s="1405"/>
      <c r="BH51" s="1405"/>
      <c r="BI51" s="1405"/>
      <c r="BJ51" s="1405"/>
      <c r="BK51" s="1405"/>
      <c r="BL51" s="1405"/>
      <c r="BM51" s="1405"/>
    </row>
    <row r="52" ht="17.25" customHeight="1" spans="5:65">
      <c r="E52" s="1229" t="str">
        <f>IF(人物卡!M5=0," ","["&amp;LOOKUP(人物卡!M5,职业列表!A2:A232,职业列表!B2:B232)&amp;"]")</f>
        <v>[自定义职业]</v>
      </c>
      <c r="F52" s="1230"/>
      <c r="G52" s="1230"/>
      <c r="H52" s="1231" t="s">
        <v>648</v>
      </c>
      <c r="I52" s="1271"/>
      <c r="J52" s="1272" t="str">
        <f ca="1">IF(人物卡!M5=0," ","["&amp;LOOKUP(人物卡!M5,职业列表!A2:C232,职业列表!E2:E232)&amp;"]")</f>
        <v>[教育×4]</v>
      </c>
      <c r="K52" s="1273"/>
      <c r="O52"/>
      <c r="P52"/>
      <c r="Q52"/>
      <c r="S52" s="1313"/>
      <c r="T52" s="1313"/>
      <c r="U52" s="1313"/>
      <c r="V52" s="1313"/>
      <c r="X52" s="1309" t="s">
        <v>145</v>
      </c>
      <c r="Y52" s="1240"/>
      <c r="AA52" s="1330"/>
      <c r="AB52" s="1330"/>
      <c r="AC52" s="1330"/>
      <c r="AD52" s="1330"/>
      <c r="AE52" s="1363"/>
      <c r="AF52" s="1364"/>
      <c r="AG52" s="1364"/>
      <c r="AH52" s="1364"/>
      <c r="AI52" s="1364"/>
      <c r="AJ52" s="1364"/>
      <c r="AK52" s="1364"/>
      <c r="AL52" s="1378" t="s">
        <v>649</v>
      </c>
      <c r="AM52" s="1379">
        <v>15</v>
      </c>
      <c r="AN52" s="1364"/>
      <c r="AO52" s="1365"/>
      <c r="AP52" s="1365"/>
      <c r="AQ52" s="1364"/>
      <c r="AR52" s="1364"/>
      <c r="AS52" s="1365"/>
      <c r="AT52" s="1363"/>
      <c r="AU52" s="1330"/>
      <c r="AV52" s="1330"/>
      <c r="BA52" s="1406"/>
      <c r="BB52" s="1394"/>
      <c r="BC52" s="1205"/>
      <c r="BD52" s="1407"/>
      <c r="BE52" s="1407"/>
      <c r="BF52" s="1406"/>
      <c r="BG52" s="1406"/>
      <c r="BH52" s="1406"/>
      <c r="BI52" s="1406"/>
      <c r="BJ52" s="1406"/>
      <c r="BK52" s="1406"/>
      <c r="BL52" s="1406"/>
      <c r="BM52" s="1406"/>
    </row>
    <row r="53" ht="17.25" customHeight="1" spans="5:65">
      <c r="E53" s="1232" t="str">
        <f>IF(人物卡!M5=0," ","["&amp;LOOKUP(人物卡!M5,职业列表!A2:A232,职业列表!B2:B232)&amp;"]的本职技能："&amp;LOOKUP(人物卡!M5,职业列表!A2:A232,职业列表!G2:G232))</f>
        <v>[自定义职业]的本职技能：不多于8个本职技能。在右侧职业属性中输入第二职业属性的数值（留空则视为EDU）并自行设置起始信誉。使用自定义职业前，请先咨询你的守秘人。</v>
      </c>
      <c r="F53" s="1233"/>
      <c r="G53" s="1233"/>
      <c r="H53" s="1233"/>
      <c r="I53" s="1274"/>
      <c r="J53" s="1275">
        <f ca="1">IF(人物卡!M5=0," ",LOOKUP(人物卡!M5,职业列表!A2:C232,职业列表!F2:F232))</f>
        <v>0</v>
      </c>
      <c r="K53" s="1276"/>
      <c r="O53"/>
      <c r="P53"/>
      <c r="Q53"/>
      <c r="S53" s="1313"/>
      <c r="T53" s="1313"/>
      <c r="U53" s="1313"/>
      <c r="V53" s="1313"/>
      <c r="X53" s="1309" t="s">
        <v>147</v>
      </c>
      <c r="Y53" s="1240"/>
      <c r="AA53" s="1330"/>
      <c r="AB53" s="1330"/>
      <c r="AC53" s="1330"/>
      <c r="AD53" s="1330"/>
      <c r="AE53" s="1363"/>
      <c r="AF53" s="1364"/>
      <c r="AG53" s="1364"/>
      <c r="AH53" s="1364"/>
      <c r="AI53" s="1364"/>
      <c r="AJ53" s="1364"/>
      <c r="AK53" s="1364"/>
      <c r="AL53" s="1376" t="s">
        <v>650</v>
      </c>
      <c r="AM53" s="1377">
        <v>15</v>
      </c>
      <c r="AN53" s="1364"/>
      <c r="AO53" s="1365"/>
      <c r="AP53" s="1365"/>
      <c r="AQ53" s="1364"/>
      <c r="AR53" s="1364"/>
      <c r="AS53" s="1365"/>
      <c r="AT53" s="1363"/>
      <c r="AU53" s="1330"/>
      <c r="AV53" s="1330"/>
      <c r="BA53" s="1406"/>
      <c r="BB53" s="1394"/>
      <c r="BC53" s="1205"/>
      <c r="BD53" s="1407"/>
      <c r="BE53" s="1407"/>
      <c r="BF53" s="1406"/>
      <c r="BG53" s="1406"/>
      <c r="BH53" s="1406"/>
      <c r="BI53" s="1406"/>
      <c r="BJ53" s="1406"/>
      <c r="BK53" s="1406"/>
      <c r="BL53" s="1406"/>
      <c r="BM53" s="1406"/>
    </row>
    <row r="54" ht="17.25" customHeight="1" spans="5:65">
      <c r="E54" s="1234"/>
      <c r="F54" s="1235"/>
      <c r="G54" s="1235"/>
      <c r="H54" s="1235"/>
      <c r="I54" s="1277"/>
      <c r="J54" s="1278"/>
      <c r="K54" s="1279"/>
      <c r="O54"/>
      <c r="P54"/>
      <c r="Q54"/>
      <c r="S54" s="1313"/>
      <c r="T54" s="1313"/>
      <c r="U54" s="1313"/>
      <c r="V54" s="1313"/>
      <c r="X54" s="1309" t="s">
        <v>150</v>
      </c>
      <c r="Y54" s="1240"/>
      <c r="AA54" s="1330"/>
      <c r="AB54" s="1330"/>
      <c r="AC54" s="1330"/>
      <c r="AD54" s="1330"/>
      <c r="AE54" s="1363"/>
      <c r="AF54" s="1364"/>
      <c r="AG54" s="1364"/>
      <c r="AH54" s="1364"/>
      <c r="AI54" s="1364"/>
      <c r="AJ54" s="1364"/>
      <c r="AK54" s="1364"/>
      <c r="AL54" s="1378" t="s">
        <v>651</v>
      </c>
      <c r="AM54" s="1379">
        <v>5</v>
      </c>
      <c r="AN54" s="1364"/>
      <c r="AO54" s="1365"/>
      <c r="AP54" s="1364"/>
      <c r="AQ54" s="1364"/>
      <c r="AR54" s="1364"/>
      <c r="AS54" s="1365"/>
      <c r="AT54" s="1363"/>
      <c r="AU54" s="1330"/>
      <c r="AV54" s="1330"/>
      <c r="BA54" s="1406"/>
      <c r="BB54" s="1394"/>
      <c r="BC54" s="1205"/>
      <c r="BD54" s="1205"/>
      <c r="BE54" s="1205"/>
      <c r="BF54" s="1406"/>
      <c r="BG54" s="1406"/>
      <c r="BH54" s="1406"/>
      <c r="BI54" s="1406"/>
      <c r="BJ54" s="1406"/>
      <c r="BK54" s="1406"/>
      <c r="BL54" s="1406"/>
      <c r="BM54" s="1406"/>
    </row>
    <row r="55" ht="17.25" customHeight="1" spans="5:64">
      <c r="E55" s="1234"/>
      <c r="F55" s="1235"/>
      <c r="G55" s="1235"/>
      <c r="H55" s="1235"/>
      <c r="I55" s="1277"/>
      <c r="J55" s="1278"/>
      <c r="K55" s="1279"/>
      <c r="O55"/>
      <c r="P55"/>
      <c r="Q55"/>
      <c r="S55" s="1313"/>
      <c r="T55" s="1313"/>
      <c r="U55" s="1313"/>
      <c r="V55" s="1313"/>
      <c r="X55" s="1310" t="s">
        <v>153</v>
      </c>
      <c r="Y55" s="1240"/>
      <c r="AA55" s="1330"/>
      <c r="AB55" s="1330"/>
      <c r="AC55" s="1330"/>
      <c r="AD55" s="1330"/>
      <c r="AE55" s="1363"/>
      <c r="AF55" s="1364"/>
      <c r="AG55" s="1364"/>
      <c r="AH55" s="1364"/>
      <c r="AI55" s="1364"/>
      <c r="AJ55" s="1364"/>
      <c r="AK55" s="1364"/>
      <c r="AL55" s="1376" t="s">
        <v>652</v>
      </c>
      <c r="AM55" s="1377">
        <v>5</v>
      </c>
      <c r="AN55" s="1364"/>
      <c r="AO55" s="1365"/>
      <c r="AP55" s="1365"/>
      <c r="AQ55" s="1364"/>
      <c r="AR55" s="1365"/>
      <c r="AS55" s="1365"/>
      <c r="AT55" s="1363"/>
      <c r="AU55" s="1330"/>
      <c r="AV55" s="1330"/>
      <c r="AZ55" s="1406"/>
      <c r="BA55" s="1205"/>
      <c r="BB55" s="1394"/>
      <c r="BC55" s="1406"/>
      <c r="BD55" s="1406"/>
      <c r="BE55" s="1406"/>
      <c r="BF55" s="1406"/>
      <c r="BG55" s="1406"/>
      <c r="BH55" s="1406"/>
      <c r="BI55" s="1406"/>
      <c r="BJ55" s="1406"/>
      <c r="BK55" s="1406"/>
      <c r="BL55" s="1406"/>
    </row>
    <row r="56" ht="17.25" customHeight="1" spans="5:64">
      <c r="E56" s="1234"/>
      <c r="F56" s="1235"/>
      <c r="G56" s="1235"/>
      <c r="H56" s="1235"/>
      <c r="I56" s="1277"/>
      <c r="J56" s="1278"/>
      <c r="K56" s="1279"/>
      <c r="O56"/>
      <c r="P56"/>
      <c r="Q56"/>
      <c r="S56" s="1313"/>
      <c r="T56" s="1313"/>
      <c r="U56" s="1313"/>
      <c r="V56" s="1313"/>
      <c r="X56" s="1311" t="s">
        <v>156</v>
      </c>
      <c r="Y56" s="1240"/>
      <c r="AA56" s="1330"/>
      <c r="AB56" s="1330"/>
      <c r="AC56" s="1330"/>
      <c r="AD56" s="1330"/>
      <c r="AE56" s="1363"/>
      <c r="AF56" s="1364"/>
      <c r="AG56" s="1364"/>
      <c r="AH56" s="1364"/>
      <c r="AI56" s="1364"/>
      <c r="AJ56" s="1364"/>
      <c r="AK56" s="1364"/>
      <c r="AL56" s="1378" t="s">
        <v>653</v>
      </c>
      <c r="AM56" s="1379">
        <v>5</v>
      </c>
      <c r="AN56" s="1364"/>
      <c r="AO56" s="1365"/>
      <c r="AP56" s="1365"/>
      <c r="AQ56" s="1364"/>
      <c r="AR56" s="1365"/>
      <c r="AS56" s="1365"/>
      <c r="AT56" s="1363"/>
      <c r="AU56" s="1330"/>
      <c r="AV56" s="1330"/>
      <c r="AZ56" s="1406"/>
      <c r="BA56" s="1205"/>
      <c r="BB56" s="1394"/>
      <c r="BC56" s="1205"/>
      <c r="BD56" s="1205"/>
      <c r="BE56" s="1406"/>
      <c r="BF56" s="1406"/>
      <c r="BG56" s="1406"/>
      <c r="BH56" s="1406"/>
      <c r="BI56" s="1406"/>
      <c r="BJ56" s="1406"/>
      <c r="BK56" s="1406"/>
      <c r="BL56" s="1406"/>
    </row>
    <row r="57" ht="17.25" customHeight="1" spans="5:64">
      <c r="E57" s="1234"/>
      <c r="F57" s="1235"/>
      <c r="G57" s="1235"/>
      <c r="H57" s="1235"/>
      <c r="I57" s="1277"/>
      <c r="J57" s="1278"/>
      <c r="K57" s="1279"/>
      <c r="O57"/>
      <c r="P57"/>
      <c r="Q57"/>
      <c r="S57" s="1313"/>
      <c r="T57" s="1313"/>
      <c r="U57" s="1313"/>
      <c r="V57" s="1313"/>
      <c r="X57" s="1310" t="s">
        <v>159</v>
      </c>
      <c r="Y57" s="1240"/>
      <c r="AA57" s="1330"/>
      <c r="AB57" s="1330"/>
      <c r="AC57" s="1330"/>
      <c r="AD57" s="1330"/>
      <c r="AE57" s="1363"/>
      <c r="AF57" s="1365"/>
      <c r="AG57" s="1365"/>
      <c r="AH57" s="1365"/>
      <c r="AI57" s="1364"/>
      <c r="AJ57" s="1364"/>
      <c r="AK57" s="1364"/>
      <c r="AL57" s="1376" t="s">
        <v>654</v>
      </c>
      <c r="AM57" s="1377">
        <v>5</v>
      </c>
      <c r="AN57" s="1364"/>
      <c r="AO57" s="1364"/>
      <c r="AP57" s="1365"/>
      <c r="AQ57" s="1364"/>
      <c r="AR57" s="1365"/>
      <c r="AS57" s="1365"/>
      <c r="AT57" s="1363"/>
      <c r="AU57" s="1330"/>
      <c r="AV57" s="1330"/>
      <c r="AZ57" s="1408"/>
      <c r="BA57" s="1205"/>
      <c r="BB57" s="1394"/>
      <c r="BC57" s="1409"/>
      <c r="BD57" s="1409"/>
      <c r="BE57" s="1406"/>
      <c r="BF57" s="1406"/>
      <c r="BG57" s="1406"/>
      <c r="BH57" s="1406"/>
      <c r="BI57" s="1406"/>
      <c r="BJ57" s="1406"/>
      <c r="BK57" s="1406"/>
      <c r="BL57" s="1406"/>
    </row>
    <row r="58" ht="17.25" customHeight="1" spans="5:63">
      <c r="E58" s="1236"/>
      <c r="F58" s="1237"/>
      <c r="G58" s="1237"/>
      <c r="H58" s="1237"/>
      <c r="I58" s="1280"/>
      <c r="J58" s="1281"/>
      <c r="K58" s="1282"/>
      <c r="O58"/>
      <c r="P58"/>
      <c r="Q58"/>
      <c r="S58" s="1313"/>
      <c r="T58" s="1313"/>
      <c r="U58" s="1313"/>
      <c r="V58" s="1313"/>
      <c r="X58" s="1309" t="s">
        <v>163</v>
      </c>
      <c r="Y58" s="1240"/>
      <c r="AA58" s="1330"/>
      <c r="AB58" s="1330"/>
      <c r="AC58" s="1330"/>
      <c r="AD58" s="1330"/>
      <c r="AE58" s="1363"/>
      <c r="AF58" s="1365"/>
      <c r="AG58" s="1365"/>
      <c r="AH58" s="1365"/>
      <c r="AI58" s="1364"/>
      <c r="AJ58" s="1364"/>
      <c r="AK58" s="1364"/>
      <c r="AL58" s="1378" t="s">
        <v>120</v>
      </c>
      <c r="AM58" s="1379">
        <v>25</v>
      </c>
      <c r="AN58" s="1365"/>
      <c r="AO58" s="1364"/>
      <c r="AP58" s="1365"/>
      <c r="AQ58" s="1365"/>
      <c r="AR58" s="1363"/>
      <c r="AS58" s="1330"/>
      <c r="AT58" s="1330"/>
      <c r="AY58" s="1390"/>
      <c r="AZ58" s="1394"/>
      <c r="BA58" s="1408"/>
      <c r="BB58" s="1408"/>
      <c r="BC58" s="1408"/>
      <c r="BD58" s="1410"/>
      <c r="BE58" s="1410"/>
      <c r="BF58" s="1411"/>
      <c r="BG58" s="1411"/>
      <c r="BH58" s="1410"/>
      <c r="BI58" s="1410"/>
      <c r="BJ58" s="1411"/>
      <c r="BK58" s="1411"/>
    </row>
    <row r="59" ht="17.25" customHeight="1" spans="5:65">
      <c r="E59" s="1162" t="str">
        <f ca="1">IF(人物卡!M5=0," ",LOOKUP(人物卡!M5,职业列表!A2:C232,职业列表!E2:E232))</f>
        <v>教育×4</v>
      </c>
      <c r="S59" s="1313"/>
      <c r="T59" s="1313"/>
      <c r="U59" s="1313"/>
      <c r="V59" s="1313"/>
      <c r="X59" s="1309" t="s">
        <v>60</v>
      </c>
      <c r="Y59" s="1240"/>
      <c r="AA59" s="1330"/>
      <c r="AB59" s="1330"/>
      <c r="AC59" s="1330"/>
      <c r="AD59" s="1330"/>
      <c r="AE59" s="1363"/>
      <c r="AF59" s="1364"/>
      <c r="AG59" s="1364"/>
      <c r="AH59" s="1364"/>
      <c r="AI59" s="1364"/>
      <c r="AJ59" s="1364"/>
      <c r="AK59" s="1364"/>
      <c r="AL59" s="1378" t="s">
        <v>655</v>
      </c>
      <c r="AM59" s="1379">
        <v>5</v>
      </c>
      <c r="AN59" s="1364"/>
      <c r="AO59" s="1365"/>
      <c r="AP59" s="1365"/>
      <c r="AQ59" s="1364"/>
      <c r="AR59" s="1365"/>
      <c r="AS59" s="1365"/>
      <c r="AT59" s="1363"/>
      <c r="AU59" s="1330"/>
      <c r="AV59" s="1330"/>
      <c r="BA59" s="1390"/>
      <c r="BB59" s="1394"/>
      <c r="BC59" s="1408"/>
      <c r="BD59" s="1408"/>
      <c r="BE59" s="1408"/>
      <c r="BF59" s="1410"/>
      <c r="BG59" s="1410"/>
      <c r="BH59" s="1411"/>
      <c r="BI59" s="1411"/>
      <c r="BJ59" s="1410"/>
      <c r="BK59" s="1410"/>
      <c r="BL59" s="1411"/>
      <c r="BM59" s="1411"/>
    </row>
    <row r="60" ht="17.25" customHeight="1" spans="19:64">
      <c r="S60" s="1313"/>
      <c r="T60" s="1313"/>
      <c r="U60" s="1313"/>
      <c r="V60" s="1313"/>
      <c r="X60" s="1309" t="s">
        <v>62</v>
      </c>
      <c r="Y60" s="1240"/>
      <c r="AA60" s="1330"/>
      <c r="AB60" s="1330"/>
      <c r="AC60" s="1330"/>
      <c r="AD60" s="1330"/>
      <c r="AE60" s="1363"/>
      <c r="AF60" s="1364"/>
      <c r="AG60" s="1364"/>
      <c r="AH60" s="1364"/>
      <c r="AI60" s="1364"/>
      <c r="AJ60" s="1364"/>
      <c r="AK60" s="1364"/>
      <c r="AL60" s="1376" t="s">
        <v>656</v>
      </c>
      <c r="AM60" s="1377">
        <v>10</v>
      </c>
      <c r="AN60" s="1364"/>
      <c r="AO60" s="1365"/>
      <c r="AP60" s="1365"/>
      <c r="AQ60" s="1364"/>
      <c r="AR60" s="1365"/>
      <c r="AS60" s="1365"/>
      <c r="AT60" s="1363"/>
      <c r="AU60" s="1330"/>
      <c r="AV60" s="1390"/>
      <c r="AW60" s="1390"/>
      <c r="AX60" s="1390"/>
      <c r="AY60" s="1390"/>
      <c r="AZ60" s="1390"/>
      <c r="BA60" s="1408"/>
      <c r="BB60" s="1394"/>
      <c r="BC60" s="1408"/>
      <c r="BD60" s="1408"/>
      <c r="BE60" s="1410"/>
      <c r="BF60" s="1410"/>
      <c r="BG60" s="1411"/>
      <c r="BH60" s="1411"/>
      <c r="BI60" s="1410"/>
      <c r="BJ60" s="1410"/>
      <c r="BK60" s="1411"/>
      <c r="BL60" s="1411"/>
    </row>
    <row r="61" ht="17.25" customHeight="1" spans="19:65">
      <c r="S61" s="1313"/>
      <c r="T61" s="1313"/>
      <c r="U61" s="1313"/>
      <c r="V61" s="1313"/>
      <c r="X61" s="1309" t="s">
        <v>66</v>
      </c>
      <c r="Y61" s="1240"/>
      <c r="AA61" s="1330"/>
      <c r="AB61" s="1330"/>
      <c r="AC61" s="1330"/>
      <c r="AD61" s="1330"/>
      <c r="AE61" s="1363"/>
      <c r="AF61" s="1365"/>
      <c r="AG61" s="1365"/>
      <c r="AH61" s="1365"/>
      <c r="AI61" s="1364"/>
      <c r="AJ61" s="1364"/>
      <c r="AK61" s="1364"/>
      <c r="AL61" s="1378" t="s">
        <v>657</v>
      </c>
      <c r="AM61" s="1379">
        <v>10</v>
      </c>
      <c r="AN61" s="1364"/>
      <c r="AO61" s="1365"/>
      <c r="AP61" s="1365"/>
      <c r="AQ61" s="1364"/>
      <c r="AR61" s="1365"/>
      <c r="AS61" s="1365"/>
      <c r="AT61" s="1363"/>
      <c r="AU61" s="1330"/>
      <c r="AV61" s="1390"/>
      <c r="AW61" s="1390"/>
      <c r="AX61" s="1390"/>
      <c r="AY61" s="1390"/>
      <c r="AZ61" s="1390"/>
      <c r="BA61" s="1390"/>
      <c r="BB61" s="1394"/>
      <c r="BC61" s="1408"/>
      <c r="BD61" s="1408"/>
      <c r="BE61" s="1408"/>
      <c r="BF61" s="1410"/>
      <c r="BG61" s="1410"/>
      <c r="BH61" s="1411"/>
      <c r="BI61" s="1411"/>
      <c r="BJ61" s="1410"/>
      <c r="BK61" s="1410"/>
      <c r="BL61" s="1411"/>
      <c r="BM61" s="1411"/>
    </row>
    <row r="62" ht="17.25" customHeight="1" spans="24:65">
      <c r="X62" s="1309" t="s">
        <v>69</v>
      </c>
      <c r="Y62" s="1240"/>
      <c r="AA62" s="1330"/>
      <c r="AB62" s="1330"/>
      <c r="AC62" s="1330"/>
      <c r="AD62" s="1330"/>
      <c r="AE62" s="1363"/>
      <c r="AF62" s="1364"/>
      <c r="AG62" s="1364"/>
      <c r="AH62" s="1364"/>
      <c r="AI62" s="1364"/>
      <c r="AJ62" s="1364"/>
      <c r="AK62" s="1364"/>
      <c r="AL62" s="1376" t="s">
        <v>658</v>
      </c>
      <c r="AM62" s="1377">
        <v>15</v>
      </c>
      <c r="AN62" s="1364"/>
      <c r="AO62" s="1365"/>
      <c r="AP62" s="1364"/>
      <c r="AQ62" s="1364"/>
      <c r="AR62" s="1365"/>
      <c r="AS62" s="1365"/>
      <c r="AT62" s="1363"/>
      <c r="AU62" s="1330"/>
      <c r="AV62" s="1390"/>
      <c r="AW62" s="1390"/>
      <c r="AX62" s="1390"/>
      <c r="AY62" s="1390"/>
      <c r="AZ62" s="1390"/>
      <c r="BA62" s="1390"/>
      <c r="BB62" s="1394"/>
      <c r="BC62" s="1408"/>
      <c r="BD62" s="1408"/>
      <c r="BE62" s="1408"/>
      <c r="BF62" s="1410"/>
      <c r="BG62" s="1410"/>
      <c r="BH62" s="1411"/>
      <c r="BI62" s="1411"/>
      <c r="BJ62" s="1410"/>
      <c r="BK62" s="1410"/>
      <c r="BL62" s="1411"/>
      <c r="BM62" s="1411"/>
    </row>
    <row r="63" ht="17.25" customHeight="1" spans="19:65">
      <c r="S63" s="1241"/>
      <c r="T63" s="1241"/>
      <c r="U63" s="1241"/>
      <c r="V63" s="1241"/>
      <c r="X63" s="1309" t="s">
        <v>71</v>
      </c>
      <c r="Y63" s="1240"/>
      <c r="AA63" s="1330"/>
      <c r="AB63" s="1330"/>
      <c r="AC63" s="1330"/>
      <c r="AD63" s="1330"/>
      <c r="AE63" s="1363"/>
      <c r="AF63" s="1364"/>
      <c r="AG63" s="1364"/>
      <c r="AH63" s="1364"/>
      <c r="AI63" s="1364"/>
      <c r="AJ63" s="1364"/>
      <c r="AK63" s="1364"/>
      <c r="AL63" s="1376" t="s">
        <v>659</v>
      </c>
      <c r="AM63" s="1377">
        <v>15</v>
      </c>
      <c r="AN63" s="1364"/>
      <c r="AO63" s="1365"/>
      <c r="AP63" s="1365"/>
      <c r="AQ63" s="1364"/>
      <c r="AR63" s="1365"/>
      <c r="AS63" s="1365"/>
      <c r="AT63" s="1363"/>
      <c r="AU63" s="1330"/>
      <c r="AV63" s="1391"/>
      <c r="AW63" s="1392"/>
      <c r="AX63" s="1205"/>
      <c r="AY63" s="1391"/>
      <c r="AZ63" s="1205"/>
      <c r="BA63" s="1391"/>
      <c r="BB63" s="1394"/>
      <c r="BC63" s="1408"/>
      <c r="BD63" s="1408"/>
      <c r="BE63" s="1408"/>
      <c r="BF63" s="1410"/>
      <c r="BG63" s="1410"/>
      <c r="BH63" s="1411"/>
      <c r="BI63" s="1411"/>
      <c r="BJ63" s="1410"/>
      <c r="BK63" s="1410"/>
      <c r="BL63" s="1411"/>
      <c r="BM63" s="1411"/>
    </row>
    <row r="64" ht="17.25" customHeight="1" spans="19:65">
      <c r="S64" s="1241"/>
      <c r="T64" s="1241"/>
      <c r="U64" s="1241"/>
      <c r="V64" s="1241"/>
      <c r="X64" s="1309" t="s">
        <v>73</v>
      </c>
      <c r="Y64" s="1240"/>
      <c r="AA64" s="1330"/>
      <c r="AB64" s="1330"/>
      <c r="AC64" s="1330"/>
      <c r="AD64" s="1330"/>
      <c r="AE64" s="1363"/>
      <c r="AF64" s="1364"/>
      <c r="AG64" s="1364"/>
      <c r="AH64" s="1364"/>
      <c r="AI64" s="1364"/>
      <c r="AJ64" s="1364"/>
      <c r="AK64" s="1364"/>
      <c r="AL64" s="1378" t="s">
        <v>660</v>
      </c>
      <c r="AM64" s="1379">
        <v>20</v>
      </c>
      <c r="AN64" s="1364"/>
      <c r="AO64" s="1365"/>
      <c r="AP64" s="1365"/>
      <c r="AQ64" s="1364"/>
      <c r="AR64" s="1365"/>
      <c r="AS64" s="1365"/>
      <c r="AT64" s="1363"/>
      <c r="AU64" s="1330"/>
      <c r="AV64" s="1392"/>
      <c r="AW64" s="1392"/>
      <c r="AX64" s="1391"/>
      <c r="AY64" s="1391"/>
      <c r="AZ64" s="1391"/>
      <c r="BA64" s="1391"/>
      <c r="BB64" s="1394"/>
      <c r="BC64" s="1408"/>
      <c r="BD64" s="1408"/>
      <c r="BE64" s="1408"/>
      <c r="BF64" s="1410"/>
      <c r="BG64" s="1410"/>
      <c r="BH64" s="1411"/>
      <c r="BI64" s="1411"/>
      <c r="BJ64" s="1410"/>
      <c r="BK64" s="1410"/>
      <c r="BL64" s="1411"/>
      <c r="BM64" s="1411"/>
    </row>
    <row r="65" ht="17.25" customHeight="1" spans="19:65">
      <c r="S65" s="1241"/>
      <c r="T65" s="1241"/>
      <c r="U65" s="1241"/>
      <c r="V65" s="1241"/>
      <c r="X65" s="1309" t="s">
        <v>77</v>
      </c>
      <c r="Y65" s="1240"/>
      <c r="AA65" s="1330"/>
      <c r="AB65" s="1330"/>
      <c r="AC65" s="1330"/>
      <c r="AD65" s="1330"/>
      <c r="AE65" s="1363"/>
      <c r="AF65" s="1364"/>
      <c r="AG65" s="1364"/>
      <c r="AH65" s="1364"/>
      <c r="AI65" s="1364"/>
      <c r="AJ65" s="1364"/>
      <c r="AK65" s="1364"/>
      <c r="AL65" s="1376" t="s">
        <v>661</v>
      </c>
      <c r="AM65" s="1377">
        <v>20</v>
      </c>
      <c r="AN65" s="1364"/>
      <c r="AO65" s="1365"/>
      <c r="AP65" s="1364"/>
      <c r="AQ65" s="1364"/>
      <c r="AR65" s="1365"/>
      <c r="AS65" s="1365"/>
      <c r="AT65" s="1363"/>
      <c r="AU65" s="1330"/>
      <c r="AV65" s="1392"/>
      <c r="AW65" s="1392"/>
      <c r="AX65" s="1391"/>
      <c r="AY65" s="1391"/>
      <c r="AZ65" s="1391"/>
      <c r="BA65" s="1391"/>
      <c r="BB65" s="1394"/>
      <c r="BC65" s="1408"/>
      <c r="BD65" s="1408"/>
      <c r="BE65" s="1408"/>
      <c r="BF65" s="1410"/>
      <c r="BG65" s="1410"/>
      <c r="BH65" s="1411"/>
      <c r="BI65" s="1411"/>
      <c r="BJ65" s="1410"/>
      <c r="BK65" s="1410"/>
      <c r="BL65" s="1411"/>
      <c r="BM65" s="1411"/>
    </row>
    <row r="66" ht="17.25" customHeight="1" spans="2:65">
      <c r="B66" s="1312"/>
      <c r="C66" s="1312"/>
      <c r="D66" s="1312"/>
      <c r="E66" s="1312"/>
      <c r="F66" s="1312"/>
      <c r="G66" s="1312"/>
      <c r="H66" s="1312"/>
      <c r="I66" s="1312"/>
      <c r="J66" s="1312"/>
      <c r="K66" s="1312"/>
      <c r="L66" s="1312"/>
      <c r="S66" s="1241"/>
      <c r="T66" s="1241"/>
      <c r="U66" s="1241"/>
      <c r="V66" s="1241"/>
      <c r="X66" s="1309" t="s">
        <v>80</v>
      </c>
      <c r="Y66" s="1240"/>
      <c r="AA66" s="1330"/>
      <c r="AB66" s="1330"/>
      <c r="AC66" s="1330"/>
      <c r="AD66" s="1330"/>
      <c r="AE66" s="1363"/>
      <c r="AF66" s="1364"/>
      <c r="AG66" s="1364"/>
      <c r="AH66" s="1364"/>
      <c r="AI66" s="1364"/>
      <c r="AJ66" s="1364"/>
      <c r="AK66" s="1364"/>
      <c r="AL66" s="1430" t="s">
        <v>662</v>
      </c>
      <c r="AM66" s="1430">
        <v>25</v>
      </c>
      <c r="AN66" s="1364"/>
      <c r="AO66" s="1365"/>
      <c r="AP66" s="1365"/>
      <c r="AQ66" s="1364"/>
      <c r="AR66" s="1365"/>
      <c r="AS66" s="1365"/>
      <c r="AT66" s="1363"/>
      <c r="AU66" s="1330"/>
      <c r="AV66" s="1392"/>
      <c r="AW66" s="1392"/>
      <c r="AX66" s="1391"/>
      <c r="AY66" s="1391"/>
      <c r="AZ66" s="1391"/>
      <c r="BA66" s="1391"/>
      <c r="BB66" s="1394"/>
      <c r="BC66" s="1408"/>
      <c r="BD66" s="1408"/>
      <c r="BE66" s="1408"/>
      <c r="BF66" s="1410"/>
      <c r="BG66" s="1410"/>
      <c r="BH66" s="1411"/>
      <c r="BI66" s="1411"/>
      <c r="BJ66" s="1410"/>
      <c r="BK66" s="1410"/>
      <c r="BL66" s="1411"/>
      <c r="BM66" s="1411"/>
    </row>
    <row r="67" ht="17.25" customHeight="1" spans="7:65">
      <c r="G67" s="1412"/>
      <c r="H67" s="1412"/>
      <c r="I67" s="1412"/>
      <c r="J67" s="1239"/>
      <c r="S67" s="1241"/>
      <c r="T67" s="1241"/>
      <c r="U67" s="1241"/>
      <c r="V67" s="1241"/>
      <c r="X67" s="1309" t="s">
        <v>83</v>
      </c>
      <c r="Y67" s="1240"/>
      <c r="AA67" s="1330"/>
      <c r="AB67" s="1330"/>
      <c r="AC67" s="1330"/>
      <c r="AD67" s="1330"/>
      <c r="AE67" s="1363"/>
      <c r="AF67" s="1364"/>
      <c r="AG67" s="1364"/>
      <c r="AH67" s="1364"/>
      <c r="AI67" s="1364"/>
      <c r="AJ67" s="1364"/>
      <c r="AK67" s="1364"/>
      <c r="AL67" s="1430" t="s">
        <v>663</v>
      </c>
      <c r="AM67" s="1430">
        <v>15</v>
      </c>
      <c r="AN67" s="1364"/>
      <c r="AO67" s="1365"/>
      <c r="AP67" s="1365"/>
      <c r="AQ67" s="1364"/>
      <c r="AR67" s="1365"/>
      <c r="AS67" s="1365"/>
      <c r="AT67" s="1363"/>
      <c r="AU67" s="1330"/>
      <c r="AV67" s="1330"/>
      <c r="AY67" s="1391"/>
      <c r="BA67" s="1391"/>
      <c r="BB67" s="1394"/>
      <c r="BC67" s="1408"/>
      <c r="BD67" s="1408"/>
      <c r="BE67" s="1408"/>
      <c r="BF67" s="1410"/>
      <c r="BG67" s="1410"/>
      <c r="BH67" s="1411"/>
      <c r="BI67" s="1411"/>
      <c r="BJ67" s="1410"/>
      <c r="BK67" s="1410"/>
      <c r="BL67" s="1411"/>
      <c r="BM67" s="1411"/>
    </row>
    <row r="68" ht="17.25" customHeight="1" spans="7:65">
      <c r="G68" s="1267"/>
      <c r="J68" s="1239"/>
      <c r="S68" s="1241"/>
      <c r="T68" s="1241"/>
      <c r="U68" s="1241"/>
      <c r="V68" s="1241"/>
      <c r="X68" s="1309" t="s">
        <v>88</v>
      </c>
      <c r="Y68" s="1240"/>
      <c r="AA68" s="1330"/>
      <c r="AB68" s="1330"/>
      <c r="AC68" s="1330"/>
      <c r="AD68" s="1330"/>
      <c r="AE68" s="1363"/>
      <c r="AF68" s="1364"/>
      <c r="AG68" s="1364"/>
      <c r="AH68" s="1364"/>
      <c r="AI68" s="1364"/>
      <c r="AJ68" s="1364"/>
      <c r="AK68" s="1364"/>
      <c r="AL68" s="1430" t="s">
        <v>664</v>
      </c>
      <c r="AM68" s="1430">
        <v>10</v>
      </c>
      <c r="AN68" s="1364"/>
      <c r="AO68" s="1364"/>
      <c r="AP68" s="1365"/>
      <c r="AQ68" s="1364"/>
      <c r="AR68" s="1365"/>
      <c r="AS68" s="1365"/>
      <c r="AT68" s="1363"/>
      <c r="AU68" s="1330"/>
      <c r="AV68" s="1392"/>
      <c r="AW68" s="1392"/>
      <c r="AX68" s="1391"/>
      <c r="AY68" s="1391"/>
      <c r="AZ68" s="1391"/>
      <c r="BA68" s="1391"/>
      <c r="BB68" s="1394"/>
      <c r="BC68" s="1408"/>
      <c r="BD68" s="1408"/>
      <c r="BE68" s="1408"/>
      <c r="BF68" s="1410"/>
      <c r="BG68" s="1410"/>
      <c r="BH68" s="1411"/>
      <c r="BI68" s="1411"/>
      <c r="BJ68" s="1410"/>
      <c r="BK68" s="1410"/>
      <c r="BL68" s="1411"/>
      <c r="BM68" s="1411"/>
    </row>
    <row r="69" ht="17.25" customHeight="1" spans="7:65">
      <c r="G69" s="1263"/>
      <c r="J69" s="1239"/>
      <c r="S69" s="1241"/>
      <c r="T69" s="1241"/>
      <c r="U69" s="1241"/>
      <c r="V69" s="1241"/>
      <c r="X69" s="1309" t="s">
        <v>94</v>
      </c>
      <c r="Y69" s="1240"/>
      <c r="AA69" s="1330"/>
      <c r="AB69" s="1330"/>
      <c r="AC69" s="1330"/>
      <c r="AD69" s="1330"/>
      <c r="AE69" s="1363"/>
      <c r="AF69" s="1364"/>
      <c r="AG69" s="1364"/>
      <c r="AH69" s="1364"/>
      <c r="AI69" s="1364"/>
      <c r="AJ69" s="1364"/>
      <c r="AK69" s="1364"/>
      <c r="AL69" s="1431" t="s">
        <v>665</v>
      </c>
      <c r="AM69" s="1431">
        <v>20</v>
      </c>
      <c r="AN69" s="1364"/>
      <c r="AO69" s="1365"/>
      <c r="AP69" s="1364"/>
      <c r="AQ69" s="1364"/>
      <c r="AR69" s="1365"/>
      <c r="AS69" s="1365"/>
      <c r="AT69" s="1363"/>
      <c r="AU69" s="1330"/>
      <c r="AV69" s="1392"/>
      <c r="AW69" s="1392"/>
      <c r="AX69" s="1391"/>
      <c r="AY69" s="1391"/>
      <c r="AZ69" s="1391"/>
      <c r="BA69" s="1391"/>
      <c r="BB69" s="1394"/>
      <c r="BC69" s="1408"/>
      <c r="BD69" s="1408"/>
      <c r="BE69" s="1408"/>
      <c r="BF69" s="1410"/>
      <c r="BG69" s="1410"/>
      <c r="BH69" s="1411"/>
      <c r="BI69" s="1411"/>
      <c r="BJ69" s="1410"/>
      <c r="BK69" s="1410"/>
      <c r="BL69" s="1411"/>
      <c r="BM69" s="1411"/>
    </row>
    <row r="70" ht="17.25" customHeight="1" spans="7:65">
      <c r="G70" s="1268"/>
      <c r="J70" s="1239"/>
      <c r="S70" s="1241"/>
      <c r="T70" s="1241"/>
      <c r="U70" s="1241"/>
      <c r="V70" s="1241"/>
      <c r="X70" s="1309" t="s">
        <v>97</v>
      </c>
      <c r="Y70" s="1240"/>
      <c r="AA70" s="1330"/>
      <c r="AB70" s="1330"/>
      <c r="AC70" s="1330"/>
      <c r="AD70" s="1330"/>
      <c r="AE70" s="1363"/>
      <c r="AF70" s="1364"/>
      <c r="AG70" s="1364"/>
      <c r="AH70" s="1364"/>
      <c r="AI70" s="1364"/>
      <c r="AJ70" s="1364"/>
      <c r="AK70" s="1364"/>
      <c r="AL70" s="1431" t="s">
        <v>666</v>
      </c>
      <c r="AM70" s="1431">
        <v>15</v>
      </c>
      <c r="AN70" s="1364"/>
      <c r="AO70" s="1365"/>
      <c r="AP70" s="1364"/>
      <c r="AQ70" s="1364"/>
      <c r="AR70" s="1365"/>
      <c r="AS70" s="1365"/>
      <c r="AT70" s="1363"/>
      <c r="AU70" s="1330"/>
      <c r="AV70" s="1392"/>
      <c r="AW70" s="1392"/>
      <c r="AX70" s="1391"/>
      <c r="AY70" s="1391"/>
      <c r="AZ70" s="1391"/>
      <c r="BA70" s="1391"/>
      <c r="BB70" s="1394"/>
      <c r="BC70" s="1408"/>
      <c r="BD70" s="1408"/>
      <c r="BE70" s="1408"/>
      <c r="BF70" s="1410"/>
      <c r="BG70" s="1410"/>
      <c r="BH70" s="1411"/>
      <c r="BI70" s="1411"/>
      <c r="BJ70" s="1410"/>
      <c r="BK70" s="1410"/>
      <c r="BL70" s="1411"/>
      <c r="BM70" s="1411"/>
    </row>
    <row r="71" ht="17.25" customHeight="1" spans="7:65">
      <c r="G71" s="1268"/>
      <c r="J71" s="1239"/>
      <c r="S71" s="1241"/>
      <c r="T71" s="1241"/>
      <c r="U71" s="1241"/>
      <c r="V71" s="1241"/>
      <c r="X71" s="1309" t="s">
        <v>104</v>
      </c>
      <c r="Y71" s="1240"/>
      <c r="AA71" s="1330"/>
      <c r="AB71" s="1330"/>
      <c r="AC71" s="1330"/>
      <c r="AD71" s="1330"/>
      <c r="AE71" s="1363"/>
      <c r="AF71" s="1364"/>
      <c r="AG71" s="1364"/>
      <c r="AH71" s="1364"/>
      <c r="AI71" s="1364"/>
      <c r="AJ71" s="1364"/>
      <c r="AK71" s="1364"/>
      <c r="AL71" s="1431" t="s">
        <v>667</v>
      </c>
      <c r="AM71" s="1431">
        <v>25</v>
      </c>
      <c r="AN71" s="1364"/>
      <c r="AO71" s="1364"/>
      <c r="AP71" s="1365"/>
      <c r="AQ71" s="1364"/>
      <c r="AR71" s="1365"/>
      <c r="AS71" s="1365"/>
      <c r="AT71" s="1363"/>
      <c r="AU71" s="1330"/>
      <c r="AV71" s="1330"/>
      <c r="AW71" s="1435"/>
      <c r="AY71" s="1435"/>
      <c r="BA71" s="1435"/>
      <c r="BB71" s="1394"/>
      <c r="BC71" s="1408"/>
      <c r="BD71" s="1408"/>
      <c r="BE71" s="1408"/>
      <c r="BF71" s="1410"/>
      <c r="BG71" s="1410"/>
      <c r="BH71" s="1411"/>
      <c r="BI71" s="1411"/>
      <c r="BJ71" s="1410"/>
      <c r="BK71" s="1410"/>
      <c r="BL71" s="1411"/>
      <c r="BM71" s="1411"/>
    </row>
    <row r="72" ht="17.25" customHeight="1" spans="19:65">
      <c r="S72" s="1241"/>
      <c r="T72" s="1241"/>
      <c r="U72" s="1241"/>
      <c r="V72" s="1241"/>
      <c r="X72" s="1309" t="s">
        <v>106</v>
      </c>
      <c r="Y72" s="1240"/>
      <c r="AA72" s="1424"/>
      <c r="AB72" s="1424"/>
      <c r="AC72" s="1330"/>
      <c r="AD72" s="1330"/>
      <c r="AE72" s="1363"/>
      <c r="AF72" s="1364"/>
      <c r="AG72" s="1364"/>
      <c r="AH72" s="1364"/>
      <c r="AI72" s="1364"/>
      <c r="AJ72" s="1364"/>
      <c r="AK72" s="1364"/>
      <c r="AL72" s="1431" t="s">
        <v>668</v>
      </c>
      <c r="AM72" s="1431">
        <v>15</v>
      </c>
      <c r="AN72" s="1364"/>
      <c r="AO72" s="1365"/>
      <c r="AP72" s="1364"/>
      <c r="AQ72" s="1364"/>
      <c r="AR72" s="1365"/>
      <c r="AS72" s="1365"/>
      <c r="AT72" s="1363"/>
      <c r="AU72" s="1330"/>
      <c r="AV72" s="1435"/>
      <c r="AW72" s="1435"/>
      <c r="AX72" s="1435"/>
      <c r="AY72" s="1435"/>
      <c r="AZ72" s="1435"/>
      <c r="BA72" s="1435"/>
      <c r="BB72" s="1394"/>
      <c r="BC72" s="1408"/>
      <c r="BD72" s="1408"/>
      <c r="BE72" s="1408"/>
      <c r="BF72" s="1410"/>
      <c r="BG72" s="1410"/>
      <c r="BH72" s="1411"/>
      <c r="BI72" s="1411"/>
      <c r="BJ72" s="1410"/>
      <c r="BK72" s="1410"/>
      <c r="BL72" s="1411"/>
      <c r="BM72" s="1411"/>
    </row>
    <row r="73" ht="17.25" customHeight="1" spans="19:65">
      <c r="S73" s="1241"/>
      <c r="T73" s="1241"/>
      <c r="U73" s="1241"/>
      <c r="V73" s="1241"/>
      <c r="X73" s="1309" t="s">
        <v>110</v>
      </c>
      <c r="Y73" s="1240"/>
      <c r="AA73" s="1424"/>
      <c r="AB73" s="1424"/>
      <c r="AC73" s="1330"/>
      <c r="AD73" s="1330"/>
      <c r="AE73" s="1363"/>
      <c r="AF73" s="1364"/>
      <c r="AG73" s="1364"/>
      <c r="AH73" s="1364"/>
      <c r="AI73" s="1364"/>
      <c r="AJ73" s="1364"/>
      <c r="AK73" s="1364"/>
      <c r="AL73" s="1431" t="s">
        <v>669</v>
      </c>
      <c r="AM73" s="1431">
        <v>10</v>
      </c>
      <c r="AN73" s="1364"/>
      <c r="AO73" s="1365"/>
      <c r="AP73" s="1364"/>
      <c r="AQ73" s="1364"/>
      <c r="AR73" s="1365"/>
      <c r="AS73" s="1365"/>
      <c r="AT73" s="1363"/>
      <c r="AU73" s="1330"/>
      <c r="AV73" s="1435"/>
      <c r="AW73" s="1435"/>
      <c r="AX73" s="1435"/>
      <c r="AY73" s="1435"/>
      <c r="AZ73" s="1435"/>
      <c r="BA73" s="1435"/>
      <c r="BB73" s="1394"/>
      <c r="BC73" s="1408"/>
      <c r="BD73" s="1408"/>
      <c r="BE73" s="1408"/>
      <c r="BF73" s="1410"/>
      <c r="BG73" s="1410"/>
      <c r="BH73" s="1411"/>
      <c r="BI73" s="1411"/>
      <c r="BJ73" s="1410"/>
      <c r="BK73" s="1410"/>
      <c r="BL73" s="1411"/>
      <c r="BM73" s="1411"/>
    </row>
    <row r="74" ht="17.25" customHeight="1" spans="19:65">
      <c r="S74" s="1241"/>
      <c r="T74" s="1241"/>
      <c r="U74" s="1241"/>
      <c r="V74" s="1241"/>
      <c r="X74" s="1311" t="s">
        <v>112</v>
      </c>
      <c r="Y74" s="1240"/>
      <c r="AA74" s="1424"/>
      <c r="AB74" s="1424"/>
      <c r="AC74" s="1330"/>
      <c r="AD74" s="1330"/>
      <c r="AE74" s="1363"/>
      <c r="AF74" s="1364"/>
      <c r="AG74" s="1364"/>
      <c r="AH74" s="1364"/>
      <c r="AI74" s="1427"/>
      <c r="AJ74" s="1427"/>
      <c r="AK74" s="1427"/>
      <c r="AL74" s="1431" t="s">
        <v>670</v>
      </c>
      <c r="AM74" s="1431">
        <v>10</v>
      </c>
      <c r="AN74" s="1364"/>
      <c r="AO74" s="1365"/>
      <c r="AP74" s="1364"/>
      <c r="AQ74" s="1364"/>
      <c r="AR74" s="1365"/>
      <c r="AS74" s="1365"/>
      <c r="AT74" s="1363"/>
      <c r="AU74" s="1330"/>
      <c r="AV74" s="1435"/>
      <c r="AW74" s="1435"/>
      <c r="AX74" s="1435"/>
      <c r="AY74" s="1435"/>
      <c r="AZ74" s="1435"/>
      <c r="BA74" s="1435"/>
      <c r="BB74" s="1394"/>
      <c r="BC74" s="1408"/>
      <c r="BD74" s="1408"/>
      <c r="BE74" s="1408"/>
      <c r="BF74" s="1410"/>
      <c r="BG74" s="1410"/>
      <c r="BH74" s="1411"/>
      <c r="BI74" s="1411"/>
      <c r="BJ74" s="1410"/>
      <c r="BK74" s="1410"/>
      <c r="BL74" s="1411"/>
      <c r="BM74" s="1411"/>
    </row>
    <row r="75" ht="17.25" customHeight="1" spans="13:65">
      <c r="M75" s="1312"/>
      <c r="N75" s="1312"/>
      <c r="O75" s="1312"/>
      <c r="P75" s="1312"/>
      <c r="S75" s="1241"/>
      <c r="T75" s="1241"/>
      <c r="U75" s="1241"/>
      <c r="V75" s="1241"/>
      <c r="X75" s="1311" t="s">
        <v>115</v>
      </c>
      <c r="Y75" s="1240"/>
      <c r="AA75" s="1424"/>
      <c r="AB75" s="1424"/>
      <c r="AC75" s="1330"/>
      <c r="AD75" s="1330"/>
      <c r="AE75" s="1363"/>
      <c r="AF75" s="1425"/>
      <c r="AG75" s="1364"/>
      <c r="AH75" s="1425"/>
      <c r="AI75" s="1364"/>
      <c r="AJ75" s="1365"/>
      <c r="AK75" s="1364"/>
      <c r="AL75" s="1431" t="s">
        <v>671</v>
      </c>
      <c r="AM75" s="1431">
        <v>10</v>
      </c>
      <c r="AN75" s="1364"/>
      <c r="AO75" s="1365"/>
      <c r="AP75" s="1364"/>
      <c r="AQ75" s="1364"/>
      <c r="AR75" s="1365"/>
      <c r="AS75" s="1365"/>
      <c r="AT75" s="1363"/>
      <c r="AU75" s="1330"/>
      <c r="AV75" s="1435"/>
      <c r="AW75" s="1435"/>
      <c r="AX75" s="1435"/>
      <c r="AY75" s="1435"/>
      <c r="AZ75" s="1435"/>
      <c r="BA75" s="1435"/>
      <c r="BB75" s="1394"/>
      <c r="BC75" s="1408"/>
      <c r="BD75" s="1408"/>
      <c r="BE75" s="1408"/>
      <c r="BF75" s="1410"/>
      <c r="BG75" s="1410"/>
      <c r="BH75" s="1411"/>
      <c r="BI75" s="1411"/>
      <c r="BJ75" s="1410"/>
      <c r="BK75" s="1410"/>
      <c r="BL75" s="1411"/>
      <c r="BM75" s="1411"/>
    </row>
    <row r="76" ht="17.25" customHeight="1" spans="13:65">
      <c r="M76" s="1312"/>
      <c r="N76" s="1312"/>
      <c r="O76" s="1312"/>
      <c r="P76" s="1312"/>
      <c r="S76" s="1204"/>
      <c r="T76" s="1204"/>
      <c r="U76" s="1204"/>
      <c r="V76" s="1204"/>
      <c r="X76" s="1309" t="s">
        <v>117</v>
      </c>
      <c r="Y76" s="1240"/>
      <c r="AA76" s="1424"/>
      <c r="AB76" s="1424"/>
      <c r="AC76" s="1330"/>
      <c r="AD76" s="1330"/>
      <c r="AE76" s="1363"/>
      <c r="AF76" s="1425"/>
      <c r="AG76" s="1425"/>
      <c r="AH76" s="1425"/>
      <c r="AI76" s="1364"/>
      <c r="AJ76" s="1364"/>
      <c r="AK76" s="1364"/>
      <c r="AL76" s="1431" t="s">
        <v>672</v>
      </c>
      <c r="AM76" s="1431">
        <v>5</v>
      </c>
      <c r="AN76" s="1364"/>
      <c r="AO76" s="1365"/>
      <c r="AP76" s="1364"/>
      <c r="AQ76" s="1364"/>
      <c r="AR76" s="1365"/>
      <c r="AS76" s="1365"/>
      <c r="AT76" s="1363"/>
      <c r="AU76" s="1330"/>
      <c r="AV76" s="1435"/>
      <c r="AW76" s="1435"/>
      <c r="AX76" s="1435"/>
      <c r="AY76" s="1435"/>
      <c r="AZ76" s="1435"/>
      <c r="BA76" s="1435"/>
      <c r="BB76" s="1394"/>
      <c r="BC76" s="1408"/>
      <c r="BD76" s="1408"/>
      <c r="BE76" s="1408"/>
      <c r="BF76" s="1410"/>
      <c r="BG76" s="1410"/>
      <c r="BH76" s="1411"/>
      <c r="BI76" s="1411"/>
      <c r="BJ76" s="1410"/>
      <c r="BK76" s="1410"/>
      <c r="BL76" s="1411"/>
      <c r="BM76" s="1411"/>
    </row>
    <row r="77" ht="17.25" customHeight="1" spans="13:65">
      <c r="M77" s="1312"/>
      <c r="N77" s="1312"/>
      <c r="O77" s="1312"/>
      <c r="P77" s="1312"/>
      <c r="S77" s="1204"/>
      <c r="T77" s="1204"/>
      <c r="U77" s="1204"/>
      <c r="V77" s="1204"/>
      <c r="X77" s="1309" t="s">
        <v>121</v>
      </c>
      <c r="Y77" s="1240"/>
      <c r="AA77" s="1424"/>
      <c r="AB77" s="1424"/>
      <c r="AC77" s="1330"/>
      <c r="AD77" s="1330"/>
      <c r="AE77" s="1363"/>
      <c r="AF77" s="1364"/>
      <c r="AG77" s="1364"/>
      <c r="AH77" s="1364"/>
      <c r="AI77" s="1427"/>
      <c r="AJ77" s="1427"/>
      <c r="AK77" s="1427"/>
      <c r="AL77" s="1431" t="s">
        <v>673</v>
      </c>
      <c r="AM77" s="1431">
        <v>5</v>
      </c>
      <c r="AN77" s="1364"/>
      <c r="AO77" s="1365"/>
      <c r="AP77" s="1365"/>
      <c r="AQ77" s="1364"/>
      <c r="AR77" s="1365"/>
      <c r="AS77" s="1365"/>
      <c r="AT77" s="1363"/>
      <c r="AU77" s="1330"/>
      <c r="AV77" s="1435"/>
      <c r="AW77" s="1435"/>
      <c r="AX77" s="1435"/>
      <c r="AY77" s="1435"/>
      <c r="AZ77" s="1435"/>
      <c r="BA77" s="1435"/>
      <c r="BB77" s="1394"/>
      <c r="BC77" s="1408"/>
      <c r="BD77" s="1408"/>
      <c r="BE77" s="1408"/>
      <c r="BF77" s="1410"/>
      <c r="BG77" s="1410"/>
      <c r="BH77" s="1411"/>
      <c r="BI77" s="1411"/>
      <c r="BJ77" s="1410"/>
      <c r="BK77" s="1410"/>
      <c r="BL77" s="1411"/>
      <c r="BM77" s="1411"/>
    </row>
    <row r="78" ht="17.25" customHeight="1" spans="13:65">
      <c r="M78" s="1312"/>
      <c r="N78" s="1312"/>
      <c r="O78" s="1312"/>
      <c r="P78" s="1312"/>
      <c r="S78" s="1204"/>
      <c r="T78" s="1204"/>
      <c r="U78" s="1204"/>
      <c r="V78" s="1204"/>
      <c r="X78" s="1309" t="s">
        <v>123</v>
      </c>
      <c r="Y78" s="1240"/>
      <c r="AA78" s="1424"/>
      <c r="AB78" s="1424"/>
      <c r="AC78" s="1330"/>
      <c r="AD78" s="1330"/>
      <c r="AE78" s="1363"/>
      <c r="AF78" s="1364"/>
      <c r="AG78" s="1364"/>
      <c r="AH78" s="1364"/>
      <c r="AI78" s="1427"/>
      <c r="AJ78" s="1427"/>
      <c r="AK78" s="1427"/>
      <c r="AL78" s="1431" t="s">
        <v>674</v>
      </c>
      <c r="AM78" s="1431">
        <v>5</v>
      </c>
      <c r="AN78" s="1364"/>
      <c r="AO78" s="1365"/>
      <c r="AP78" s="1365"/>
      <c r="AQ78" s="1364"/>
      <c r="AR78" s="1365"/>
      <c r="AS78" s="1365"/>
      <c r="AT78" s="1363"/>
      <c r="AU78" s="1330"/>
      <c r="AV78" s="1408"/>
      <c r="AW78" s="1408"/>
      <c r="AX78" s="1436"/>
      <c r="AY78" s="1436"/>
      <c r="AZ78" s="1436"/>
      <c r="BA78" s="1436"/>
      <c r="BB78" s="1394"/>
      <c r="BC78" s="1408"/>
      <c r="BD78" s="1408"/>
      <c r="BE78" s="1408"/>
      <c r="BF78" s="1410"/>
      <c r="BG78" s="1410"/>
      <c r="BH78" s="1411"/>
      <c r="BI78" s="1411"/>
      <c r="BJ78" s="1410"/>
      <c r="BK78" s="1410"/>
      <c r="BL78" s="1411"/>
      <c r="BM78" s="1411"/>
    </row>
    <row r="79" ht="17.25" customHeight="1" spans="7:65">
      <c r="G79" s="1269"/>
      <c r="H79" s="1269"/>
      <c r="I79" s="1268"/>
      <c r="J79" s="1239"/>
      <c r="M79" s="1312"/>
      <c r="N79" s="1312"/>
      <c r="O79" s="1312"/>
      <c r="P79" s="1312"/>
      <c r="S79" s="1204"/>
      <c r="T79" s="1204"/>
      <c r="U79" s="1204"/>
      <c r="V79" s="1204"/>
      <c r="X79" s="1309" t="s">
        <v>127</v>
      </c>
      <c r="Y79" s="1240"/>
      <c r="AA79" s="1424"/>
      <c r="AB79" s="1424"/>
      <c r="AC79" s="1330"/>
      <c r="AD79" s="1330"/>
      <c r="AE79" s="1363"/>
      <c r="AF79" s="1426"/>
      <c r="AG79" s="1426"/>
      <c r="AH79" s="1426"/>
      <c r="AI79" s="1427"/>
      <c r="AJ79" s="1427"/>
      <c r="AK79" s="1427"/>
      <c r="AL79" s="1431" t="s">
        <v>675</v>
      </c>
      <c r="AM79" s="1431">
        <v>1</v>
      </c>
      <c r="AN79" s="1364"/>
      <c r="AO79" s="1365"/>
      <c r="AP79" s="1365"/>
      <c r="AQ79" s="1364"/>
      <c r="AR79" s="1365"/>
      <c r="AS79" s="1365"/>
      <c r="AT79" s="1363"/>
      <c r="AU79" s="1330"/>
      <c r="AV79" s="1408"/>
      <c r="AW79" s="1408"/>
      <c r="AX79" s="1436"/>
      <c r="AY79" s="1436"/>
      <c r="AZ79" s="1436"/>
      <c r="BA79" s="1436"/>
      <c r="BB79" s="1394"/>
      <c r="BC79" s="1408"/>
      <c r="BD79" s="1408"/>
      <c r="BE79" s="1408"/>
      <c r="BF79" s="1410"/>
      <c r="BG79" s="1410"/>
      <c r="BH79" s="1411"/>
      <c r="BI79" s="1411"/>
      <c r="BJ79" s="1410"/>
      <c r="BK79" s="1410"/>
      <c r="BL79" s="1411"/>
      <c r="BM79" s="1411"/>
    </row>
    <row r="80" ht="17.25" customHeight="1" spans="7:65">
      <c r="G80" s="1269"/>
      <c r="H80" s="1269"/>
      <c r="I80" s="1269"/>
      <c r="J80" s="1239"/>
      <c r="M80" s="1312"/>
      <c r="N80" s="1312"/>
      <c r="O80" s="1312"/>
      <c r="P80" s="1312"/>
      <c r="S80" s="1204"/>
      <c r="T80" s="1204"/>
      <c r="U80" s="1204"/>
      <c r="V80" s="1204"/>
      <c r="X80" s="1309" t="s">
        <v>131</v>
      </c>
      <c r="Y80" s="1240"/>
      <c r="AA80" s="1424"/>
      <c r="AB80" s="1424"/>
      <c r="AC80" s="1330"/>
      <c r="AD80" s="1330"/>
      <c r="AE80" s="1363"/>
      <c r="AF80" s="1364"/>
      <c r="AG80" s="1364"/>
      <c r="AH80" s="1364"/>
      <c r="AI80" s="1427"/>
      <c r="AJ80" s="1427"/>
      <c r="AK80" s="1427"/>
      <c r="AL80" s="1431" t="s">
        <v>676</v>
      </c>
      <c r="AM80" s="1431">
        <v>25</v>
      </c>
      <c r="AN80" s="1364"/>
      <c r="AO80" s="1365"/>
      <c r="AP80" s="1365"/>
      <c r="AQ80" s="1364"/>
      <c r="AR80" s="1365"/>
      <c r="AS80" s="1365"/>
      <c r="AT80" s="1363"/>
      <c r="AU80" s="1330"/>
      <c r="AV80" s="1408"/>
      <c r="AW80" s="1408"/>
      <c r="AX80" s="1436"/>
      <c r="AY80" s="1436"/>
      <c r="AZ80" s="1436"/>
      <c r="BA80" s="1436"/>
      <c r="BB80" s="1394"/>
      <c r="BC80" s="1408"/>
      <c r="BD80" s="1408"/>
      <c r="BE80" s="1408"/>
      <c r="BF80" s="1313"/>
      <c r="BG80" s="1313"/>
      <c r="BH80" s="1438"/>
      <c r="BI80" s="1438"/>
      <c r="BJ80" s="1313"/>
      <c r="BK80" s="1313"/>
      <c r="BL80" s="1438"/>
      <c r="BM80" s="1438"/>
    </row>
    <row r="81" ht="17.25" customHeight="1" spans="2:65">
      <c r="B81" s="1205"/>
      <c r="C81" s="1205"/>
      <c r="D81" s="1205"/>
      <c r="E81" s="1205"/>
      <c r="F81" s="1269"/>
      <c r="G81" s="1269"/>
      <c r="H81" s="1269"/>
      <c r="I81" s="1268"/>
      <c r="J81" s="1239"/>
      <c r="M81" s="1312"/>
      <c r="N81" s="1312"/>
      <c r="O81" s="1312"/>
      <c r="P81" s="1312"/>
      <c r="S81" s="1204"/>
      <c r="T81" s="1204"/>
      <c r="U81" s="1204"/>
      <c r="V81" s="1204"/>
      <c r="X81" s="1309" t="s">
        <v>134</v>
      </c>
      <c r="Y81" s="1240"/>
      <c r="AA81" s="1424"/>
      <c r="AB81" s="1424"/>
      <c r="AC81" s="1330"/>
      <c r="AD81" s="1330"/>
      <c r="AE81" s="1363"/>
      <c r="AF81" s="1364"/>
      <c r="AG81" s="1364"/>
      <c r="AH81" s="1364"/>
      <c r="AI81" s="1427"/>
      <c r="AJ81" s="1427"/>
      <c r="AK81" s="1427"/>
      <c r="AL81" s="1431" t="s">
        <v>677</v>
      </c>
      <c r="AM81" s="1431">
        <v>20</v>
      </c>
      <c r="AN81" s="1364"/>
      <c r="AO81" s="1365"/>
      <c r="AP81" s="1365"/>
      <c r="AQ81" s="1364"/>
      <c r="AR81" s="1365"/>
      <c r="AS81" s="1365"/>
      <c r="AT81" s="1363"/>
      <c r="AU81" s="1330"/>
      <c r="AV81" s="1408"/>
      <c r="AW81" s="1408"/>
      <c r="AX81" s="1436"/>
      <c r="AY81" s="1436"/>
      <c r="AZ81" s="1436"/>
      <c r="BA81" s="1436"/>
      <c r="BB81" s="1394"/>
      <c r="BC81" s="1408"/>
      <c r="BD81" s="1408"/>
      <c r="BE81" s="1408"/>
      <c r="BF81" s="1313"/>
      <c r="BG81" s="1313"/>
      <c r="BH81" s="1438"/>
      <c r="BI81" s="1438"/>
      <c r="BJ81" s="1313"/>
      <c r="BK81" s="1313"/>
      <c r="BL81" s="1438"/>
      <c r="BM81" s="1438"/>
    </row>
    <row r="82" ht="17.25" customHeight="1" spans="2:65">
      <c r="B82" s="1205"/>
      <c r="C82" s="1268"/>
      <c r="D82" s="1205"/>
      <c r="E82" s="1269"/>
      <c r="F82" s="1269"/>
      <c r="G82" s="1269"/>
      <c r="H82" s="1269"/>
      <c r="I82" s="1269"/>
      <c r="J82" s="1239"/>
      <c r="M82" s="1312"/>
      <c r="N82" s="1312"/>
      <c r="O82" s="1312"/>
      <c r="P82" s="1312"/>
      <c r="S82" s="1204"/>
      <c r="T82" s="1204"/>
      <c r="U82" s="1204"/>
      <c r="V82" s="1204"/>
      <c r="X82" s="1309" t="s">
        <v>137</v>
      </c>
      <c r="Y82" s="1240"/>
      <c r="AA82" s="1424"/>
      <c r="AB82" s="1424"/>
      <c r="AC82" s="1330"/>
      <c r="AD82" s="1330"/>
      <c r="AE82" s="1363"/>
      <c r="AF82" s="1427"/>
      <c r="AG82" s="1427"/>
      <c r="AH82" s="1427"/>
      <c r="AI82" s="1364"/>
      <c r="AJ82" s="1364"/>
      <c r="AK82" s="1364"/>
      <c r="AL82" s="1431" t="s">
        <v>678</v>
      </c>
      <c r="AM82" s="1431">
        <v>15</v>
      </c>
      <c r="AN82" s="1364"/>
      <c r="AO82" s="1365"/>
      <c r="AP82" s="1365"/>
      <c r="AQ82" s="1364"/>
      <c r="AR82" s="1365"/>
      <c r="AS82" s="1365"/>
      <c r="AT82" s="1363"/>
      <c r="AU82" s="1330"/>
      <c r="AV82" s="1408"/>
      <c r="AW82" s="1408"/>
      <c r="AX82" s="1436"/>
      <c r="AY82" s="1436"/>
      <c r="AZ82" s="1436"/>
      <c r="BA82" s="1436"/>
      <c r="BB82" s="1394"/>
      <c r="BC82" s="1408"/>
      <c r="BD82" s="1408"/>
      <c r="BE82" s="1408"/>
      <c r="BF82" s="1313"/>
      <c r="BG82" s="1313"/>
      <c r="BH82" s="1438"/>
      <c r="BI82" s="1438"/>
      <c r="BJ82" s="1313"/>
      <c r="BK82" s="1313"/>
      <c r="BL82" s="1438"/>
      <c r="BM82" s="1438"/>
    </row>
    <row r="83" ht="17.25" customHeight="1" spans="2:65">
      <c r="B83" s="1205"/>
      <c r="C83" s="1268"/>
      <c r="D83" s="1205"/>
      <c r="E83" s="1205"/>
      <c r="F83" s="1269"/>
      <c r="G83" s="1269"/>
      <c r="H83" s="1269"/>
      <c r="I83" s="1268"/>
      <c r="J83" s="1239"/>
      <c r="M83" s="1312"/>
      <c r="N83" s="1312"/>
      <c r="O83" s="1312"/>
      <c r="P83" s="1312"/>
      <c r="S83" s="1204"/>
      <c r="T83" s="1204"/>
      <c r="U83" s="1204"/>
      <c r="V83" s="1204"/>
      <c r="X83" s="1309" t="s">
        <v>140</v>
      </c>
      <c r="Y83" s="1240"/>
      <c r="AA83" s="1424"/>
      <c r="AB83" s="1424"/>
      <c r="AC83" s="1428"/>
      <c r="AD83" s="1391"/>
      <c r="AE83" s="1363"/>
      <c r="AF83" s="1427"/>
      <c r="AG83" s="1427"/>
      <c r="AH83" s="1427"/>
      <c r="AI83" s="1364"/>
      <c r="AJ83" s="1364"/>
      <c r="AK83" s="1364"/>
      <c r="AL83" s="1431" t="s">
        <v>679</v>
      </c>
      <c r="AM83" s="1431">
        <v>10</v>
      </c>
      <c r="AN83" s="1364"/>
      <c r="AO83" s="1365"/>
      <c r="AP83" s="1364"/>
      <c r="AQ83" s="1364"/>
      <c r="AR83" s="1365"/>
      <c r="AS83" s="1365"/>
      <c r="AT83" s="1363"/>
      <c r="AU83" s="1330"/>
      <c r="AV83" s="1408"/>
      <c r="AW83" s="1408"/>
      <c r="AX83" s="1436"/>
      <c r="AY83" s="1436"/>
      <c r="AZ83" s="1436"/>
      <c r="BA83" s="1436"/>
      <c r="BB83" s="1394"/>
      <c r="BC83" s="1408"/>
      <c r="BD83" s="1408"/>
      <c r="BE83" s="1408"/>
      <c r="BF83" s="1313"/>
      <c r="BG83" s="1313"/>
      <c r="BH83" s="1438"/>
      <c r="BI83" s="1438"/>
      <c r="BJ83" s="1313"/>
      <c r="BK83" s="1313"/>
      <c r="BL83" s="1438"/>
      <c r="BM83" s="1438"/>
    </row>
    <row r="84" ht="17.25" customHeight="1" spans="2:63">
      <c r="B84" s="1268"/>
      <c r="C84" s="1269"/>
      <c r="D84" s="1205"/>
      <c r="E84" s="1268"/>
      <c r="F84" s="1268"/>
      <c r="G84" s="1268"/>
      <c r="H84" s="1268"/>
      <c r="I84" s="1268"/>
      <c r="J84" s="1239"/>
      <c r="M84" s="1312"/>
      <c r="N84" s="1312"/>
      <c r="O84" s="1312"/>
      <c r="P84" s="1312" t="s">
        <v>680</v>
      </c>
      <c r="Q84" s="1162" t="s">
        <v>681</v>
      </c>
      <c r="S84" s="1204"/>
      <c r="T84" s="1204"/>
      <c r="U84" s="1204"/>
      <c r="V84" s="1204"/>
      <c r="X84" s="1311" t="s">
        <v>142</v>
      </c>
      <c r="Y84" s="1240"/>
      <c r="AA84" s="1424"/>
      <c r="AB84" s="1424"/>
      <c r="AC84" s="1330"/>
      <c r="AD84" s="1330"/>
      <c r="AE84" s="1363"/>
      <c r="AF84" s="1427"/>
      <c r="AG84" s="1427"/>
      <c r="AH84" s="1427"/>
      <c r="AI84" s="1364"/>
      <c r="AJ84" s="1364"/>
      <c r="AK84" s="1364"/>
      <c r="AL84" s="1372" t="str">
        <f>Q232</f>
        <v>自定义</v>
      </c>
      <c r="AM84" s="1432">
        <f>R232</f>
        <v>0</v>
      </c>
      <c r="AN84" s="1365"/>
      <c r="AO84" s="1364"/>
      <c r="AP84" s="1365"/>
      <c r="AQ84" s="1365"/>
      <c r="AR84" s="1363"/>
      <c r="AS84" s="1330"/>
      <c r="AT84" s="1408"/>
      <c r="AU84" s="1408"/>
      <c r="AV84" s="1436"/>
      <c r="AW84" s="1436"/>
      <c r="AX84" s="1436"/>
      <c r="AY84" s="1436"/>
      <c r="AZ84" s="1394"/>
      <c r="BA84" s="1408"/>
      <c r="BB84" s="1408"/>
      <c r="BC84" s="1408"/>
      <c r="BD84" s="1313"/>
      <c r="BE84" s="1313"/>
      <c r="BF84" s="1438"/>
      <c r="BG84" s="1438"/>
      <c r="BH84" s="1313"/>
      <c r="BI84" s="1313"/>
      <c r="BJ84" s="1438"/>
      <c r="BK84" s="1438"/>
    </row>
    <row r="85" ht="17.25" customHeight="1" spans="2:65">
      <c r="B85" s="1205"/>
      <c r="C85" s="1268"/>
      <c r="D85" s="1205"/>
      <c r="E85" s="1205"/>
      <c r="F85" s="1269"/>
      <c r="G85" s="1269"/>
      <c r="H85" s="1269"/>
      <c r="I85" s="1268"/>
      <c r="J85" s="1239"/>
      <c r="M85" s="1312"/>
      <c r="N85" s="1312"/>
      <c r="O85" s="1312"/>
      <c r="P85" s="1312" t="s">
        <v>680</v>
      </c>
      <c r="Q85" s="1162" t="s">
        <v>682</v>
      </c>
      <c r="S85" s="1204"/>
      <c r="T85" s="1204"/>
      <c r="U85" s="1204"/>
      <c r="V85" s="1204"/>
      <c r="X85" s="1311" t="s">
        <v>144</v>
      </c>
      <c r="Y85" s="1240"/>
      <c r="AA85" s="1424"/>
      <c r="AB85" s="1424"/>
      <c r="AC85" s="1330"/>
      <c r="AD85" s="1330"/>
      <c r="AE85" s="1363"/>
      <c r="AF85" s="1427"/>
      <c r="AG85" s="1427"/>
      <c r="AH85" s="1427"/>
      <c r="AI85" s="1364"/>
      <c r="AJ85" s="1364"/>
      <c r="AK85" s="1364"/>
      <c r="AL85" s="1174" t="str">
        <f>U245</f>
        <v>自定义</v>
      </c>
      <c r="AM85" s="1399">
        <f>V245</f>
        <v>0</v>
      </c>
      <c r="AN85" s="1364"/>
      <c r="AO85" s="1365"/>
      <c r="AP85" s="1365"/>
      <c r="AQ85" s="1364"/>
      <c r="AR85" s="1365"/>
      <c r="AS85" s="1365"/>
      <c r="AT85" s="1363"/>
      <c r="AU85" s="1330"/>
      <c r="AV85" s="1408"/>
      <c r="AW85" s="1408"/>
      <c r="AX85" s="1436"/>
      <c r="AY85" s="1436"/>
      <c r="AZ85" s="1436"/>
      <c r="BA85" s="1436"/>
      <c r="BB85" s="1394"/>
      <c r="BC85" s="1408"/>
      <c r="BD85" s="1408"/>
      <c r="BE85" s="1408"/>
      <c r="BF85" s="1313"/>
      <c r="BG85" s="1313"/>
      <c r="BH85" s="1439"/>
      <c r="BI85" s="1439"/>
      <c r="BJ85" s="1313"/>
      <c r="BK85" s="1313"/>
      <c r="BL85" s="1439"/>
      <c r="BM85" s="1439"/>
    </row>
    <row r="86" ht="17.25" customHeight="1" spans="2:65">
      <c r="B86" s="1269"/>
      <c r="C86" s="1268"/>
      <c r="D86" s="1205"/>
      <c r="E86" s="1269"/>
      <c r="F86" s="1269"/>
      <c r="G86" s="1269"/>
      <c r="H86" s="1269"/>
      <c r="I86" s="1269"/>
      <c r="J86" s="1239"/>
      <c r="M86" s="1312"/>
      <c r="N86" s="1312"/>
      <c r="O86" s="1312"/>
      <c r="P86" s="1312" t="s">
        <v>680</v>
      </c>
      <c r="Q86" s="1162" t="s">
        <v>683</v>
      </c>
      <c r="S86" s="1204"/>
      <c r="T86" s="1204"/>
      <c r="U86" s="1204"/>
      <c r="V86" s="1204"/>
      <c r="X86" s="1311" t="s">
        <v>146</v>
      </c>
      <c r="Y86" s="1240"/>
      <c r="AA86" s="1424"/>
      <c r="AB86" s="1424"/>
      <c r="AC86" s="1330"/>
      <c r="AD86" s="1330"/>
      <c r="AE86" s="1363"/>
      <c r="AF86" s="1427"/>
      <c r="AG86" s="1427"/>
      <c r="AH86" s="1427"/>
      <c r="AI86" s="1364"/>
      <c r="AJ86" s="1364"/>
      <c r="AK86" s="1364"/>
      <c r="AL86" s="1372"/>
      <c r="AM86" s="1373"/>
      <c r="AN86" s="1364"/>
      <c r="AO86" s="1365"/>
      <c r="AP86" s="1364"/>
      <c r="AQ86" s="1364"/>
      <c r="AR86" s="1365"/>
      <c r="AS86" s="1365"/>
      <c r="AT86" s="1363"/>
      <c r="AU86" s="1330"/>
      <c r="AV86" s="1408"/>
      <c r="AW86" s="1408"/>
      <c r="AX86" s="1436"/>
      <c r="AY86" s="1436"/>
      <c r="AZ86" s="1436"/>
      <c r="BA86" s="1436"/>
      <c r="BB86" s="1394"/>
      <c r="BC86" s="1408"/>
      <c r="BD86" s="1408"/>
      <c r="BE86" s="1408"/>
      <c r="BF86" s="1313"/>
      <c r="BG86" s="1313"/>
      <c r="BH86" s="1439"/>
      <c r="BI86" s="1439"/>
      <c r="BJ86" s="1313"/>
      <c r="BK86" s="1313"/>
      <c r="BL86" s="1439"/>
      <c r="BM86" s="1439"/>
    </row>
    <row r="87" ht="17.25" customHeight="1" spans="2:65">
      <c r="B87" s="1267"/>
      <c r="C87" s="1268"/>
      <c r="D87" s="1205"/>
      <c r="E87" s="1205"/>
      <c r="F87" s="1269"/>
      <c r="G87" s="1269"/>
      <c r="H87" s="1269"/>
      <c r="I87" s="1419"/>
      <c r="J87" s="1239"/>
      <c r="M87" s="1312"/>
      <c r="N87" s="1312"/>
      <c r="O87" s="1312"/>
      <c r="P87" s="1312" t="s">
        <v>684</v>
      </c>
      <c r="Q87" s="1162" t="s">
        <v>685</v>
      </c>
      <c r="S87" s="1204"/>
      <c r="T87" s="1204"/>
      <c r="U87" s="1204"/>
      <c r="V87" s="1204"/>
      <c r="X87" s="1311" t="s">
        <v>148</v>
      </c>
      <c r="Y87" s="1240"/>
      <c r="AA87" s="1424"/>
      <c r="AB87" s="1424"/>
      <c r="AC87" s="1424"/>
      <c r="AD87" s="1424"/>
      <c r="AE87" s="1363"/>
      <c r="AF87" s="1427"/>
      <c r="AG87" s="1427"/>
      <c r="AH87" s="1427"/>
      <c r="AI87" s="1364"/>
      <c r="AJ87" s="1364"/>
      <c r="AK87" s="1364"/>
      <c r="AL87" s="1433"/>
      <c r="AM87" s="1434"/>
      <c r="AN87" s="1364"/>
      <c r="AO87" s="1365"/>
      <c r="AP87" s="1365"/>
      <c r="AQ87" s="1364"/>
      <c r="AR87" s="1365"/>
      <c r="AS87" s="1365"/>
      <c r="AT87" s="1363"/>
      <c r="AU87" s="1330"/>
      <c r="AV87" s="1435"/>
      <c r="AW87" s="1435"/>
      <c r="AX87" s="1408"/>
      <c r="AY87" s="1408"/>
      <c r="AZ87" s="1435"/>
      <c r="BA87" s="1435"/>
      <c r="BB87" s="1394"/>
      <c r="BC87" s="1408"/>
      <c r="BD87" s="1408"/>
      <c r="BE87" s="1408"/>
      <c r="BF87" s="1313"/>
      <c r="BG87" s="1313"/>
      <c r="BH87" s="1439"/>
      <c r="BI87" s="1439"/>
      <c r="BJ87" s="1313"/>
      <c r="BK87" s="1313"/>
      <c r="BL87" s="1439"/>
      <c r="BM87" s="1439"/>
    </row>
    <row r="88" ht="17.25" customHeight="1" spans="2:65">
      <c r="B88" s="1268"/>
      <c r="C88" s="1268"/>
      <c r="D88" s="1205"/>
      <c r="E88" s="1268"/>
      <c r="F88" s="1268"/>
      <c r="G88" s="1268"/>
      <c r="H88" s="1268"/>
      <c r="I88" s="1268"/>
      <c r="J88" s="1239"/>
      <c r="M88" s="1312"/>
      <c r="N88" s="1312"/>
      <c r="O88" s="1312"/>
      <c r="P88" s="1312" t="s">
        <v>684</v>
      </c>
      <c r="Q88" s="1162" t="s">
        <v>686</v>
      </c>
      <c r="S88" s="1241"/>
      <c r="T88" s="1241"/>
      <c r="U88" s="1241"/>
      <c r="V88" s="1241"/>
      <c r="X88" s="1311" t="s">
        <v>151</v>
      </c>
      <c r="Y88" s="1240"/>
      <c r="AA88" s="1424"/>
      <c r="AB88" s="1424"/>
      <c r="AC88" s="1424"/>
      <c r="AD88" s="1424"/>
      <c r="AE88" s="1363"/>
      <c r="AF88" s="1427"/>
      <c r="AG88" s="1427"/>
      <c r="AH88" s="1427"/>
      <c r="AI88" s="1364"/>
      <c r="AJ88" s="1364"/>
      <c r="AK88" s="1364"/>
      <c r="AL88" s="1364"/>
      <c r="AM88" s="1364"/>
      <c r="AN88" s="1364"/>
      <c r="AO88" s="1365"/>
      <c r="AP88" s="1365"/>
      <c r="AQ88" s="1364"/>
      <c r="AR88" s="1365"/>
      <c r="AS88" s="1364"/>
      <c r="AT88" s="1363"/>
      <c r="AU88" s="1330"/>
      <c r="AV88" s="1435"/>
      <c r="AW88" s="1435"/>
      <c r="AX88" s="1408"/>
      <c r="AY88" s="1408"/>
      <c r="AZ88" s="1435"/>
      <c r="BA88" s="1435"/>
      <c r="BB88" s="1394"/>
      <c r="BC88" s="1408"/>
      <c r="BD88" s="1408"/>
      <c r="BE88" s="1408"/>
      <c r="BF88" s="1313"/>
      <c r="BG88" s="1313"/>
      <c r="BH88" s="1439"/>
      <c r="BI88" s="1439"/>
      <c r="BJ88" s="1313"/>
      <c r="BK88" s="1313"/>
      <c r="BL88" s="1439"/>
      <c r="BM88" s="1439"/>
    </row>
    <row r="89" ht="17.25" customHeight="1" spans="2:65">
      <c r="B89" s="1263"/>
      <c r="C89" s="1268"/>
      <c r="F89" s="1413"/>
      <c r="G89" s="1269"/>
      <c r="H89" s="1269"/>
      <c r="I89" s="1263"/>
      <c r="J89" s="1239"/>
      <c r="M89" s="1312"/>
      <c r="N89" s="1312"/>
      <c r="O89" s="1312"/>
      <c r="P89" s="1312" t="s">
        <v>684</v>
      </c>
      <c r="Q89" s="1162" t="s">
        <v>687</v>
      </c>
      <c r="S89" s="1241"/>
      <c r="T89" s="1241"/>
      <c r="U89" s="1241"/>
      <c r="V89" s="1241"/>
      <c r="X89" s="1311" t="s">
        <v>154</v>
      </c>
      <c r="Y89" s="1240"/>
      <c r="AA89" s="1424"/>
      <c r="AB89" s="1424"/>
      <c r="AC89" s="1424"/>
      <c r="AD89" s="1424"/>
      <c r="AE89" s="1363"/>
      <c r="AF89" s="1364"/>
      <c r="AG89" s="1364"/>
      <c r="AH89" s="1364"/>
      <c r="AI89" s="1364"/>
      <c r="AJ89" s="1364"/>
      <c r="AK89" s="1364"/>
      <c r="AL89" s="1364"/>
      <c r="AM89" s="1364"/>
      <c r="AN89" s="1364"/>
      <c r="AO89" s="1365"/>
      <c r="AP89" s="1365"/>
      <c r="AQ89" s="1364"/>
      <c r="AR89" s="1365"/>
      <c r="AS89" s="1365"/>
      <c r="AT89" s="1363"/>
      <c r="AU89" s="1330"/>
      <c r="AV89" s="1391"/>
      <c r="AW89" s="1205"/>
      <c r="AX89" s="1205"/>
      <c r="AY89" s="1205"/>
      <c r="AZ89" s="1205"/>
      <c r="BA89" s="1205"/>
      <c r="BB89" s="1394"/>
      <c r="BC89" s="1205"/>
      <c r="BD89" s="1205"/>
      <c r="BE89" s="1408"/>
      <c r="BF89" s="1313"/>
      <c r="BG89" s="1313"/>
      <c r="BH89" s="1439"/>
      <c r="BI89" s="1439"/>
      <c r="BJ89" s="1313"/>
      <c r="BK89" s="1313"/>
      <c r="BL89" s="1439"/>
      <c r="BM89" s="1439"/>
    </row>
    <row r="90" ht="17.25" customHeight="1" spans="2:65">
      <c r="B90" s="1263"/>
      <c r="C90" s="1263"/>
      <c r="D90" s="1263"/>
      <c r="E90" s="1263"/>
      <c r="F90" s="1263"/>
      <c r="G90" s="1263"/>
      <c r="H90" s="1263"/>
      <c r="I90" s="1263"/>
      <c r="J90" s="1239"/>
      <c r="M90" s="1312"/>
      <c r="N90" s="1312"/>
      <c r="O90" s="1312"/>
      <c r="P90" s="1312" t="s">
        <v>688</v>
      </c>
      <c r="Q90" s="1162" t="s">
        <v>689</v>
      </c>
      <c r="S90" s="1241"/>
      <c r="T90" s="1241"/>
      <c r="U90" s="1241"/>
      <c r="V90" s="1241"/>
      <c r="X90" s="1311" t="s">
        <v>690</v>
      </c>
      <c r="Y90" s="1240"/>
      <c r="AA90" s="1424"/>
      <c r="AB90" s="1424"/>
      <c r="AC90" s="1424"/>
      <c r="AD90" s="1424"/>
      <c r="AE90" s="1363"/>
      <c r="AF90" s="1364"/>
      <c r="AG90" s="1364"/>
      <c r="AH90" s="1364"/>
      <c r="AI90" s="1364"/>
      <c r="AJ90" s="1364"/>
      <c r="AK90" s="1364"/>
      <c r="AL90" s="1364"/>
      <c r="AM90" s="1364"/>
      <c r="AN90" s="1364"/>
      <c r="AO90" s="1365"/>
      <c r="AP90" s="1365"/>
      <c r="AQ90" s="1364"/>
      <c r="AR90" s="1365"/>
      <c r="AS90" s="1365"/>
      <c r="AT90" s="1363"/>
      <c r="AU90" s="1330"/>
      <c r="AV90" s="1391"/>
      <c r="AW90" s="1205"/>
      <c r="AX90" s="1205"/>
      <c r="AY90" s="1205"/>
      <c r="AZ90" s="1205"/>
      <c r="BA90" s="1205"/>
      <c r="BB90" s="1394"/>
      <c r="BC90" s="1205"/>
      <c r="BD90" s="1205"/>
      <c r="BE90" s="1408"/>
      <c r="BF90" s="1313"/>
      <c r="BG90" s="1313"/>
      <c r="BH90" s="1439"/>
      <c r="BI90" s="1439"/>
      <c r="BJ90" s="1313"/>
      <c r="BK90" s="1313"/>
      <c r="BL90" s="1439"/>
      <c r="BM90" s="1439"/>
    </row>
    <row r="91" ht="17.25" customHeight="1" spans="8:65">
      <c r="H91" s="1206"/>
      <c r="M91" s="1312"/>
      <c r="N91" s="1312"/>
      <c r="O91" s="1312"/>
      <c r="P91" s="1312" t="s">
        <v>688</v>
      </c>
      <c r="Q91" s="1162" t="s">
        <v>691</v>
      </c>
      <c r="S91" s="1241"/>
      <c r="T91" s="1241"/>
      <c r="U91" s="1241"/>
      <c r="V91" s="1241"/>
      <c r="X91" s="1176" t="str">
        <f>IF(ISBLANK(人物卡!AB48),"",人物卡!AB48)</f>
        <v>学识2</v>
      </c>
      <c r="Y91" s="1240"/>
      <c r="AA91" s="1424"/>
      <c r="AB91" s="1424"/>
      <c r="AC91" s="1424"/>
      <c r="AD91" s="1424"/>
      <c r="AE91" s="1363"/>
      <c r="AF91" s="1364"/>
      <c r="AG91" s="1364"/>
      <c r="AH91" s="1364"/>
      <c r="AI91" s="1364"/>
      <c r="AJ91" s="1364"/>
      <c r="AK91" s="1364"/>
      <c r="AL91" s="1364"/>
      <c r="AM91" s="1364"/>
      <c r="AN91" s="1364"/>
      <c r="AO91" s="1365"/>
      <c r="AP91" s="1365"/>
      <c r="AQ91" s="1364"/>
      <c r="AR91" s="1365"/>
      <c r="AS91" s="1365"/>
      <c r="AT91" s="1363"/>
      <c r="AU91" s="1330"/>
      <c r="AV91" s="1391"/>
      <c r="AW91" s="1205"/>
      <c r="AX91" s="1205"/>
      <c r="AY91" s="1205"/>
      <c r="AZ91" s="1205"/>
      <c r="BA91" s="1205"/>
      <c r="BB91" s="1394"/>
      <c r="BC91" s="1205"/>
      <c r="BD91" s="1205"/>
      <c r="BE91" s="1408"/>
      <c r="BF91" s="1313"/>
      <c r="BG91" s="1313"/>
      <c r="BH91" s="1439"/>
      <c r="BI91" s="1439"/>
      <c r="BJ91" s="1313"/>
      <c r="BK91" s="1313"/>
      <c r="BL91" s="1439"/>
      <c r="BM91" s="1439"/>
    </row>
    <row r="92" ht="17.25" customHeight="1" spans="8:65">
      <c r="H92" s="1206"/>
      <c r="M92" s="1312"/>
      <c r="N92" s="1312"/>
      <c r="O92" s="1312"/>
      <c r="P92" s="1312" t="s">
        <v>688</v>
      </c>
      <c r="Q92" s="1162" t="s">
        <v>692</v>
      </c>
      <c r="S92" s="1241"/>
      <c r="T92" s="1241"/>
      <c r="U92" s="1241"/>
      <c r="V92" s="1241"/>
      <c r="X92" s="1176" t="str">
        <f>IF(ISBLANK(人物卡!AB49),"",人物卡!AB49)</f>
        <v>通灵</v>
      </c>
      <c r="Y92" s="1240"/>
      <c r="AA92" s="1424"/>
      <c r="AB92" s="1330"/>
      <c r="AC92" s="1330"/>
      <c r="AD92" s="1330"/>
      <c r="AE92" s="1363"/>
      <c r="AF92" s="1364"/>
      <c r="AG92" s="1364"/>
      <c r="AH92" s="1364"/>
      <c r="AI92" s="1364"/>
      <c r="AJ92" s="1364"/>
      <c r="AK92" s="1364"/>
      <c r="AL92" s="1364"/>
      <c r="AM92" s="1364"/>
      <c r="AN92" s="1364"/>
      <c r="AO92" s="1365"/>
      <c r="AP92" s="1365"/>
      <c r="AQ92" s="1364"/>
      <c r="AR92" s="1365"/>
      <c r="AS92" s="1365"/>
      <c r="AT92" s="1363"/>
      <c r="AU92" s="1330"/>
      <c r="AV92" s="1391"/>
      <c r="AW92" s="1205"/>
      <c r="AX92" s="1205"/>
      <c r="AY92" s="1205"/>
      <c r="AZ92" s="1205"/>
      <c r="BA92" s="1205"/>
      <c r="BB92" s="1394"/>
      <c r="BC92" s="1205"/>
      <c r="BD92" s="1205"/>
      <c r="BE92" s="1408"/>
      <c r="BF92" s="1313"/>
      <c r="BG92" s="1313"/>
      <c r="BH92" s="1439"/>
      <c r="BI92" s="1439"/>
      <c r="BJ92" s="1313"/>
      <c r="BK92" s="1313"/>
      <c r="BL92" s="1439"/>
      <c r="BM92" s="1439"/>
    </row>
    <row r="93" ht="17.25" customHeight="1" spans="2:65">
      <c r="B93" s="1414"/>
      <c r="C93" s="1415">
        <v>2</v>
      </c>
      <c r="D93" s="1415">
        <v>3</v>
      </c>
      <c r="E93" s="1192">
        <v>4</v>
      </c>
      <c r="F93" s="1192">
        <v>5</v>
      </c>
      <c r="G93" s="1415">
        <v>6</v>
      </c>
      <c r="H93" s="1415">
        <v>7</v>
      </c>
      <c r="I93" s="1192">
        <v>8</v>
      </c>
      <c r="J93" s="1192">
        <v>9</v>
      </c>
      <c r="K93" s="1193">
        <v>10</v>
      </c>
      <c r="M93" s="1312"/>
      <c r="N93" s="1312"/>
      <c r="O93" s="1312"/>
      <c r="P93" s="1312" t="s">
        <v>693</v>
      </c>
      <c r="Q93" s="1162" t="s">
        <v>694</v>
      </c>
      <c r="S93" s="1241"/>
      <c r="T93" s="1241"/>
      <c r="U93" s="1241"/>
      <c r="V93" s="1241"/>
      <c r="X93" s="1423" t="s">
        <v>75</v>
      </c>
      <c r="Y93" s="1429"/>
      <c r="AA93" s="1424"/>
      <c r="AB93" s="1330"/>
      <c r="AC93" s="1330"/>
      <c r="AD93" s="1330"/>
      <c r="AE93" s="1363"/>
      <c r="AF93" s="1364"/>
      <c r="AG93" s="1364"/>
      <c r="AH93" s="1364"/>
      <c r="AI93" s="1364"/>
      <c r="AJ93" s="1364"/>
      <c r="AK93" s="1364"/>
      <c r="AL93" s="1364"/>
      <c r="AM93" s="1364"/>
      <c r="AN93" s="1364"/>
      <c r="AO93" s="1365"/>
      <c r="AP93" s="1365"/>
      <c r="AQ93" s="1364"/>
      <c r="AR93" s="1365"/>
      <c r="AS93" s="1365"/>
      <c r="AT93" s="1363"/>
      <c r="AU93" s="1330"/>
      <c r="AV93" s="1391"/>
      <c r="AW93" s="1205"/>
      <c r="AX93" s="1205"/>
      <c r="AY93" s="1205"/>
      <c r="AZ93" s="1205"/>
      <c r="BA93" s="1205"/>
      <c r="BB93" s="1394"/>
      <c r="BC93" s="1205"/>
      <c r="BD93" s="1205"/>
      <c r="BE93" s="1408"/>
      <c r="BF93" s="1410"/>
      <c r="BG93" s="1410"/>
      <c r="BH93" s="1410"/>
      <c r="BI93" s="1410"/>
      <c r="BJ93" s="1410"/>
      <c r="BK93" s="1410"/>
      <c r="BL93" s="1410"/>
      <c r="BM93" s="1410"/>
    </row>
    <row r="94" ht="17.25" customHeight="1" spans="2:65">
      <c r="B94" s="1387" t="s">
        <v>54</v>
      </c>
      <c r="C94" s="1391" t="s">
        <v>90</v>
      </c>
      <c r="D94" s="1391" t="s">
        <v>695</v>
      </c>
      <c r="E94" s="1391" t="s">
        <v>696</v>
      </c>
      <c r="F94" s="1391" t="s">
        <v>697</v>
      </c>
      <c r="G94" s="1391" t="s">
        <v>698</v>
      </c>
      <c r="H94" s="1391" t="s">
        <v>699</v>
      </c>
      <c r="I94" s="1391" t="s">
        <v>700</v>
      </c>
      <c r="J94" s="1391" t="s">
        <v>701</v>
      </c>
      <c r="K94" s="1240" t="s">
        <v>702</v>
      </c>
      <c r="M94" s="1312"/>
      <c r="N94" s="1312"/>
      <c r="O94" s="1312"/>
      <c r="P94" s="1312" t="s">
        <v>693</v>
      </c>
      <c r="Q94" s="1162" t="s">
        <v>703</v>
      </c>
      <c r="S94" s="1241"/>
      <c r="T94" s="1241"/>
      <c r="U94" s="1241"/>
      <c r="V94" s="1241"/>
      <c r="X94" s="1423" t="s">
        <v>181</v>
      </c>
      <c r="Y94" s="1240"/>
      <c r="AA94" s="1424"/>
      <c r="AB94" s="1330"/>
      <c r="AC94" s="1330"/>
      <c r="AD94" s="1330"/>
      <c r="AE94" s="1363"/>
      <c r="AF94" s="1364"/>
      <c r="AG94" s="1364"/>
      <c r="AH94" s="1364"/>
      <c r="AI94" s="1364"/>
      <c r="AJ94" s="1364"/>
      <c r="AK94" s="1364"/>
      <c r="AL94" s="1364"/>
      <c r="AM94" s="1364"/>
      <c r="AN94" s="1364"/>
      <c r="AO94" s="1365"/>
      <c r="AP94" s="1365"/>
      <c r="AQ94" s="1364"/>
      <c r="AR94" s="1365"/>
      <c r="AS94" s="1365"/>
      <c r="AT94" s="1363"/>
      <c r="AU94" s="1330"/>
      <c r="AV94" s="1391"/>
      <c r="AW94" s="1205"/>
      <c r="AX94" s="1205"/>
      <c r="AY94" s="1205"/>
      <c r="AZ94" s="1205"/>
      <c r="BA94" s="1205"/>
      <c r="BB94" s="1394"/>
      <c r="BC94" s="1205"/>
      <c r="BD94" s="1205"/>
      <c r="BE94" s="1408"/>
      <c r="BF94" s="1410"/>
      <c r="BG94" s="1410"/>
      <c r="BH94" s="1410"/>
      <c r="BI94" s="1410"/>
      <c r="BJ94" s="1410"/>
      <c r="BK94" s="1410"/>
      <c r="BL94" s="1410"/>
      <c r="BM94" s="1410"/>
    </row>
    <row r="95" ht="17.25" customHeight="1" spans="2:65">
      <c r="B95" s="1387" t="s">
        <v>59</v>
      </c>
      <c r="C95" s="1416">
        <v>0.05</v>
      </c>
      <c r="D95" s="1162" t="s">
        <v>76</v>
      </c>
      <c r="E95" s="1162" t="s">
        <v>704</v>
      </c>
      <c r="F95" s="1162" t="s">
        <v>705</v>
      </c>
      <c r="G95" s="1162" t="s">
        <v>706</v>
      </c>
      <c r="H95" s="1162" t="s">
        <v>707</v>
      </c>
      <c r="I95" s="1162" t="s">
        <v>708</v>
      </c>
      <c r="J95" s="1162" t="s">
        <v>709</v>
      </c>
      <c r="K95" s="1175" t="s">
        <v>710</v>
      </c>
      <c r="M95" s="1312"/>
      <c r="N95" s="1312"/>
      <c r="O95" s="1312"/>
      <c r="P95" s="1312" t="s">
        <v>693</v>
      </c>
      <c r="Q95" s="1162" t="s">
        <v>711</v>
      </c>
      <c r="S95" s="1241"/>
      <c r="T95" s="1241"/>
      <c r="U95" s="1241"/>
      <c r="V95" s="1241"/>
      <c r="X95" s="1423" t="s">
        <v>164</v>
      </c>
      <c r="Y95" s="1240"/>
      <c r="AA95" s="1330"/>
      <c r="AB95" s="1330"/>
      <c r="AC95" s="1330"/>
      <c r="AD95" s="1330"/>
      <c r="AE95" s="1363"/>
      <c r="AF95" s="1364"/>
      <c r="AG95" s="1364"/>
      <c r="AH95" s="1364"/>
      <c r="AI95" s="1364"/>
      <c r="AJ95" s="1364"/>
      <c r="AK95" s="1364"/>
      <c r="AL95" s="1364"/>
      <c r="AM95" s="1364"/>
      <c r="AN95" s="1364"/>
      <c r="AO95" s="1365"/>
      <c r="AP95" s="1364"/>
      <c r="AQ95" s="1364"/>
      <c r="AR95" s="1365"/>
      <c r="AS95" s="1365"/>
      <c r="AT95" s="1363"/>
      <c r="AU95" s="1330"/>
      <c r="AV95" s="1391"/>
      <c r="AW95" s="1205"/>
      <c r="AX95" s="1205"/>
      <c r="AY95" s="1205"/>
      <c r="AZ95" s="1205"/>
      <c r="BA95" s="1205"/>
      <c r="BB95" s="1394"/>
      <c r="BC95" s="1205"/>
      <c r="BD95" s="1205"/>
      <c r="BE95" s="1408"/>
      <c r="BF95" s="1410"/>
      <c r="BG95" s="1410"/>
      <c r="BH95" s="1410"/>
      <c r="BI95" s="1410"/>
      <c r="BJ95" s="1410"/>
      <c r="BK95" s="1410"/>
      <c r="BL95" s="1410"/>
      <c r="BM95" s="1410"/>
    </row>
    <row r="96" ht="17.25" customHeight="1" spans="2:65">
      <c r="B96" s="1387" t="s">
        <v>61</v>
      </c>
      <c r="C96" s="1417" t="s">
        <v>712</v>
      </c>
      <c r="D96" s="1162" t="s">
        <v>76</v>
      </c>
      <c r="E96" s="1162" t="s">
        <v>76</v>
      </c>
      <c r="F96" s="1162" t="s">
        <v>713</v>
      </c>
      <c r="G96" s="1162" t="s">
        <v>714</v>
      </c>
      <c r="H96" s="1162" t="s">
        <v>715</v>
      </c>
      <c r="I96" s="1162" t="s">
        <v>716</v>
      </c>
      <c r="J96" s="1162" t="s">
        <v>717</v>
      </c>
      <c r="K96" s="1240" t="s">
        <v>718</v>
      </c>
      <c r="M96" s="1312"/>
      <c r="N96" s="1312"/>
      <c r="O96" s="1312"/>
      <c r="P96" s="1312" t="s">
        <v>719</v>
      </c>
      <c r="Q96" s="1162" t="s">
        <v>720</v>
      </c>
      <c r="S96" s="1241"/>
      <c r="T96" s="1241"/>
      <c r="U96" s="1241"/>
      <c r="V96" s="1241"/>
      <c r="X96" s="1423" t="s">
        <v>166</v>
      </c>
      <c r="Y96" s="1240"/>
      <c r="AA96" s="1330"/>
      <c r="AB96" s="1330"/>
      <c r="AC96" s="1330"/>
      <c r="AD96" s="1330"/>
      <c r="AE96" s="1363"/>
      <c r="AF96" s="1364"/>
      <c r="AG96" s="1364"/>
      <c r="AH96" s="1364"/>
      <c r="AI96" s="1364"/>
      <c r="AJ96" s="1364"/>
      <c r="AK96" s="1364"/>
      <c r="AL96" s="1364"/>
      <c r="AM96" s="1364"/>
      <c r="AN96" s="1364"/>
      <c r="AO96" s="1365"/>
      <c r="AP96" s="1365"/>
      <c r="AQ96" s="1364"/>
      <c r="AR96" s="1365"/>
      <c r="AS96" s="1365"/>
      <c r="AT96" s="1363"/>
      <c r="AU96" s="1330"/>
      <c r="AV96" s="1391"/>
      <c r="AW96" s="1205"/>
      <c r="AX96" s="1205"/>
      <c r="AY96" s="1205"/>
      <c r="AZ96" s="1205"/>
      <c r="BA96" s="1205"/>
      <c r="BB96" s="1394"/>
      <c r="BC96" s="1205"/>
      <c r="BD96" s="1205"/>
      <c r="BE96" s="1408"/>
      <c r="BF96" s="1410"/>
      <c r="BG96" s="1410"/>
      <c r="BH96" s="1410"/>
      <c r="BI96" s="1410"/>
      <c r="BJ96" s="1410"/>
      <c r="BK96" s="1410"/>
      <c r="BL96" s="1410"/>
      <c r="BM96" s="1410"/>
    </row>
    <row r="97" ht="17.25" customHeight="1" spans="2:65">
      <c r="B97" s="1387" t="s">
        <v>65</v>
      </c>
      <c r="C97" s="1417" t="s">
        <v>721</v>
      </c>
      <c r="D97" s="1162" t="s">
        <v>76</v>
      </c>
      <c r="E97" s="1162" t="s">
        <v>76</v>
      </c>
      <c r="F97" s="1162" t="s">
        <v>722</v>
      </c>
      <c r="G97" s="1162" t="s">
        <v>723</v>
      </c>
      <c r="H97" s="1406" t="s">
        <v>724</v>
      </c>
      <c r="I97" s="1162" t="s">
        <v>725</v>
      </c>
      <c r="J97" s="1409" t="s">
        <v>726</v>
      </c>
      <c r="K97" s="1420" t="s">
        <v>727</v>
      </c>
      <c r="M97" s="1312"/>
      <c r="N97" s="1312"/>
      <c r="O97" s="1312"/>
      <c r="P97" s="1312" t="s">
        <v>728</v>
      </c>
      <c r="Q97" s="1162" t="s">
        <v>729</v>
      </c>
      <c r="S97" s="1241"/>
      <c r="T97" s="1241"/>
      <c r="U97" s="1241"/>
      <c r="V97" s="1241"/>
      <c r="X97" s="1423" t="s">
        <v>169</v>
      </c>
      <c r="Y97" s="1240"/>
      <c r="AA97" s="1330"/>
      <c r="AB97" s="1330"/>
      <c r="AC97" s="1330"/>
      <c r="AD97" s="1330"/>
      <c r="AE97" s="1363"/>
      <c r="AF97" s="1364"/>
      <c r="AG97" s="1364"/>
      <c r="AH97" s="1364"/>
      <c r="AI97" s="1364"/>
      <c r="AJ97" s="1364"/>
      <c r="AK97" s="1364"/>
      <c r="AL97" s="1364"/>
      <c r="AM97" s="1364"/>
      <c r="AN97" s="1364"/>
      <c r="AO97" s="1365"/>
      <c r="AP97" s="1365"/>
      <c r="AQ97" s="1364"/>
      <c r="AR97" s="1365"/>
      <c r="AS97" s="1365"/>
      <c r="AT97" s="1363"/>
      <c r="AU97" s="1330"/>
      <c r="AV97" s="1391"/>
      <c r="AW97" s="1205"/>
      <c r="AX97" s="1205"/>
      <c r="AY97" s="1205"/>
      <c r="AZ97" s="1205"/>
      <c r="BA97" s="1205"/>
      <c r="BB97" s="1394"/>
      <c r="BC97" s="1205"/>
      <c r="BD97" s="1205"/>
      <c r="BE97" s="1408"/>
      <c r="BF97" s="1410"/>
      <c r="BG97" s="1410"/>
      <c r="BH97" s="1410"/>
      <c r="BI97" s="1410"/>
      <c r="BJ97" s="1410"/>
      <c r="BK97" s="1410"/>
      <c r="BL97" s="1410"/>
      <c r="BM97" s="1410"/>
    </row>
    <row r="98" ht="17.25" customHeight="1" spans="2:65">
      <c r="B98" s="1387" t="s">
        <v>68</v>
      </c>
      <c r="C98" s="1417" t="s">
        <v>712</v>
      </c>
      <c r="D98" s="1162" t="s">
        <v>76</v>
      </c>
      <c r="E98" s="1162" t="s">
        <v>76</v>
      </c>
      <c r="F98" s="1162" t="s">
        <v>730</v>
      </c>
      <c r="G98" s="1406" t="s">
        <v>731</v>
      </c>
      <c r="H98" s="1409" t="s">
        <v>732</v>
      </c>
      <c r="I98" s="1408" t="s">
        <v>733</v>
      </c>
      <c r="J98" s="1408" t="s">
        <v>734</v>
      </c>
      <c r="K98" s="1175" t="s">
        <v>735</v>
      </c>
      <c r="M98" s="1312"/>
      <c r="N98" s="1312"/>
      <c r="O98" s="1312"/>
      <c r="P98" s="1312" t="s">
        <v>736</v>
      </c>
      <c r="Q98" s="1162" t="s">
        <v>737</v>
      </c>
      <c r="S98" s="1241"/>
      <c r="T98" s="1241"/>
      <c r="U98" s="1241"/>
      <c r="V98" s="1241"/>
      <c r="X98" s="1423" t="s">
        <v>174</v>
      </c>
      <c r="Y98" s="1240"/>
      <c r="AA98" s="1330"/>
      <c r="AB98" s="1330"/>
      <c r="AC98" s="1330"/>
      <c r="AD98" s="1330"/>
      <c r="AE98" s="1363"/>
      <c r="AF98" s="1364"/>
      <c r="AG98" s="1364"/>
      <c r="AH98" s="1364"/>
      <c r="AI98" s="1364"/>
      <c r="AJ98" s="1364"/>
      <c r="AK98" s="1364"/>
      <c r="AL98" s="1364"/>
      <c r="AM98" s="1364"/>
      <c r="AN98" s="1364"/>
      <c r="AO98" s="1365"/>
      <c r="AP98" s="1365"/>
      <c r="AQ98" s="1364"/>
      <c r="AR98" s="1365"/>
      <c r="AS98" s="1365"/>
      <c r="AT98" s="1363"/>
      <c r="AU98" s="1330"/>
      <c r="AV98" s="1391"/>
      <c r="AW98" s="1205"/>
      <c r="AX98" s="1205"/>
      <c r="AY98" s="1205"/>
      <c r="AZ98" s="1205"/>
      <c r="BA98" s="1205"/>
      <c r="BB98" s="1394"/>
      <c r="BC98" s="1205"/>
      <c r="BD98" s="1205"/>
      <c r="BE98" s="1408"/>
      <c r="BF98" s="1410"/>
      <c r="BG98" s="1410"/>
      <c r="BH98" s="1410"/>
      <c r="BI98" s="1410"/>
      <c r="BJ98" s="1410"/>
      <c r="BK98" s="1410"/>
      <c r="BL98" s="1410"/>
      <c r="BM98" s="1410"/>
    </row>
    <row r="99" ht="17.25" customHeight="1" spans="2:65">
      <c r="B99" s="1176" t="s">
        <v>738</v>
      </c>
      <c r="C99" s="1417" t="s">
        <v>644</v>
      </c>
      <c r="D99" s="1162" t="s">
        <v>644</v>
      </c>
      <c r="E99" s="1162" t="s">
        <v>644</v>
      </c>
      <c r="F99" s="1162" t="s">
        <v>644</v>
      </c>
      <c r="G99" s="1162" t="s">
        <v>644</v>
      </c>
      <c r="H99" s="1162" t="s">
        <v>644</v>
      </c>
      <c r="I99" s="1162" t="s">
        <v>644</v>
      </c>
      <c r="J99" s="1162" t="s">
        <v>644</v>
      </c>
      <c r="K99" s="1240" t="s">
        <v>644</v>
      </c>
      <c r="M99" s="1312"/>
      <c r="N99" s="1312"/>
      <c r="O99" s="1312"/>
      <c r="P99" s="1312" t="s">
        <v>739</v>
      </c>
      <c r="Q99" s="1162" t="s">
        <v>740</v>
      </c>
      <c r="S99" s="1241"/>
      <c r="T99" s="1241"/>
      <c r="U99" s="1241"/>
      <c r="V99" s="1241"/>
      <c r="X99" s="1423" t="s">
        <v>176</v>
      </c>
      <c r="Y99" s="1240"/>
      <c r="AA99" s="1330"/>
      <c r="AB99" s="1330"/>
      <c r="AC99" s="1330"/>
      <c r="AD99" s="1330"/>
      <c r="AE99" s="1363"/>
      <c r="AF99" s="1364"/>
      <c r="AG99" s="1364"/>
      <c r="AH99" s="1364"/>
      <c r="AI99" s="1364"/>
      <c r="AJ99" s="1364"/>
      <c r="AK99" s="1364"/>
      <c r="AL99" s="1364"/>
      <c r="AM99" s="1364"/>
      <c r="AN99" s="1364"/>
      <c r="AO99" s="1365"/>
      <c r="AP99" s="1365"/>
      <c r="AQ99" s="1364"/>
      <c r="AR99" s="1365"/>
      <c r="AS99" s="1365"/>
      <c r="AT99" s="1363"/>
      <c r="AU99" s="1330"/>
      <c r="AV99" s="1391"/>
      <c r="AW99" s="1205"/>
      <c r="AX99" s="1205"/>
      <c r="AY99" s="1205"/>
      <c r="AZ99" s="1205"/>
      <c r="BA99" s="1205"/>
      <c r="BB99" s="1394"/>
      <c r="BC99" s="1205"/>
      <c r="BD99" s="1205"/>
      <c r="BE99" s="1408"/>
      <c r="BF99" s="1410"/>
      <c r="BG99" s="1410"/>
      <c r="BH99" s="1410"/>
      <c r="BI99" s="1410"/>
      <c r="BJ99" s="1410"/>
      <c r="BK99" s="1410"/>
      <c r="BL99" s="1410"/>
      <c r="BM99" s="1410"/>
    </row>
    <row r="100" ht="17.25" customHeight="1" spans="2:65">
      <c r="B100" s="1387" t="s">
        <v>741</v>
      </c>
      <c r="C100" s="1417" t="s">
        <v>76</v>
      </c>
      <c r="D100" s="1162" t="s">
        <v>742</v>
      </c>
      <c r="E100" s="1162" t="s">
        <v>76</v>
      </c>
      <c r="F100" s="1205" t="s">
        <v>743</v>
      </c>
      <c r="G100" s="1392" t="s">
        <v>744</v>
      </c>
      <c r="H100" s="1391" t="s">
        <v>745</v>
      </c>
      <c r="I100" s="1421" t="s">
        <v>746</v>
      </c>
      <c r="J100" s="1205" t="s">
        <v>747</v>
      </c>
      <c r="K100" s="1175" t="s">
        <v>748</v>
      </c>
      <c r="M100" s="1312"/>
      <c r="N100" s="1312"/>
      <c r="O100" s="1312"/>
      <c r="P100" s="1312" t="s">
        <v>749</v>
      </c>
      <c r="Q100" s="1162" t="s">
        <v>750</v>
      </c>
      <c r="S100" s="1241"/>
      <c r="T100" s="1241"/>
      <c r="U100" s="1241"/>
      <c r="V100" s="1241"/>
      <c r="X100" s="1423" t="s">
        <v>178</v>
      </c>
      <c r="Y100" s="1240"/>
      <c r="AA100" s="1330"/>
      <c r="AB100" s="1330"/>
      <c r="AC100" s="1330"/>
      <c r="AD100" s="1330"/>
      <c r="AE100" s="1363"/>
      <c r="AF100" s="1364"/>
      <c r="AG100" s="1364"/>
      <c r="AH100" s="1364"/>
      <c r="AI100" s="1364"/>
      <c r="AJ100" s="1364"/>
      <c r="AK100" s="1364"/>
      <c r="AL100" s="1364"/>
      <c r="AM100" s="1364"/>
      <c r="AN100" s="1364"/>
      <c r="AO100" s="1365"/>
      <c r="AP100" s="1365"/>
      <c r="AQ100" s="1364"/>
      <c r="AR100" s="1365"/>
      <c r="AS100" s="1365"/>
      <c r="AT100" s="1363"/>
      <c r="AU100" s="1330"/>
      <c r="AV100" s="1391"/>
      <c r="AW100" s="1205"/>
      <c r="AX100" s="1205"/>
      <c r="AY100" s="1205"/>
      <c r="AZ100" s="1205"/>
      <c r="BA100" s="1205"/>
      <c r="BB100" s="1394"/>
      <c r="BC100" s="1205"/>
      <c r="BD100" s="1205"/>
      <c r="BE100" s="1408"/>
      <c r="BF100" s="1440"/>
      <c r="BG100" s="1440"/>
      <c r="BH100" s="1440"/>
      <c r="BI100" s="1440"/>
      <c r="BJ100" s="1440"/>
      <c r="BK100" s="1440"/>
      <c r="BL100" s="1440"/>
      <c r="BM100" s="1440"/>
    </row>
    <row r="101" ht="17.25" customHeight="1" spans="1:65">
      <c r="A101" s="1418" t="s">
        <v>751</v>
      </c>
      <c r="B101" s="1418" t="s">
        <v>751</v>
      </c>
      <c r="C101" s="1417" t="s">
        <v>721</v>
      </c>
      <c r="D101" s="1391" t="s">
        <v>752</v>
      </c>
      <c r="E101" s="1162" t="s">
        <v>76</v>
      </c>
      <c r="F101" s="1205" t="s">
        <v>753</v>
      </c>
      <c r="G101" s="1392" t="s">
        <v>744</v>
      </c>
      <c r="H101" s="1391" t="s">
        <v>745</v>
      </c>
      <c r="I101" s="1421" t="s">
        <v>746</v>
      </c>
      <c r="J101" s="1205" t="s">
        <v>747</v>
      </c>
      <c r="K101" s="1175" t="s">
        <v>748</v>
      </c>
      <c r="M101" s="1205"/>
      <c r="P101" s="1162" t="s">
        <v>754</v>
      </c>
      <c r="Q101" s="1162" t="s">
        <v>755</v>
      </c>
      <c r="S101" s="1241"/>
      <c r="T101" s="1241"/>
      <c r="U101" s="1241"/>
      <c r="V101" s="1241"/>
      <c r="X101" s="1423" t="s">
        <v>165</v>
      </c>
      <c r="Y101" s="1240"/>
      <c r="AA101" s="1330"/>
      <c r="AB101" s="1330"/>
      <c r="AC101" s="1330"/>
      <c r="AD101" s="1330"/>
      <c r="AE101" s="1363"/>
      <c r="AF101" s="1364"/>
      <c r="AG101" s="1364"/>
      <c r="AH101" s="1364"/>
      <c r="AI101" s="1364"/>
      <c r="AJ101" s="1364"/>
      <c r="AK101" s="1364"/>
      <c r="AL101" s="1364"/>
      <c r="AM101" s="1364"/>
      <c r="AN101" s="1364"/>
      <c r="AO101" s="1365"/>
      <c r="AP101" s="1364"/>
      <c r="AQ101" s="1364"/>
      <c r="AR101" s="1365"/>
      <c r="AS101" s="1365"/>
      <c r="AT101" s="1363"/>
      <c r="AU101" s="1330"/>
      <c r="AV101" s="1391"/>
      <c r="AW101" s="1205"/>
      <c r="AX101" s="1205"/>
      <c r="AY101" s="1205"/>
      <c r="AZ101" s="1205"/>
      <c r="BA101" s="1205"/>
      <c r="BB101" s="1394"/>
      <c r="BC101" s="1205"/>
      <c r="BD101" s="1205"/>
      <c r="BE101" s="1408"/>
      <c r="BF101" s="1440"/>
      <c r="BG101" s="1440"/>
      <c r="BH101" s="1440"/>
      <c r="BI101" s="1440"/>
      <c r="BJ101" s="1440"/>
      <c r="BK101" s="1440"/>
      <c r="BL101" s="1440"/>
      <c r="BM101" s="1440"/>
    </row>
    <row r="102" ht="17.25" customHeight="1" spans="1:65">
      <c r="A102" s="1418" t="s">
        <v>756</v>
      </c>
      <c r="B102" s="1418" t="s">
        <v>756</v>
      </c>
      <c r="C102" s="1417" t="s">
        <v>721</v>
      </c>
      <c r="D102" s="1391" t="s">
        <v>752</v>
      </c>
      <c r="E102" s="1162" t="s">
        <v>76</v>
      </c>
      <c r="F102" s="1205" t="s">
        <v>757</v>
      </c>
      <c r="G102" s="1392" t="s">
        <v>744</v>
      </c>
      <c r="H102" s="1391" t="s">
        <v>745</v>
      </c>
      <c r="I102" s="1421" t="s">
        <v>746</v>
      </c>
      <c r="J102" s="1205" t="s">
        <v>747</v>
      </c>
      <c r="K102" s="1175" t="s">
        <v>748</v>
      </c>
      <c r="M102" s="1390"/>
      <c r="P102" s="1162" t="s">
        <v>758</v>
      </c>
      <c r="Q102" s="1162" t="s">
        <v>759</v>
      </c>
      <c r="X102" s="1423" t="s">
        <v>168</v>
      </c>
      <c r="Y102" s="1240"/>
      <c r="AA102" s="1330"/>
      <c r="AB102" s="1330"/>
      <c r="AC102" s="1330"/>
      <c r="AD102" s="1330"/>
      <c r="AE102" s="1363"/>
      <c r="AF102" s="1364"/>
      <c r="AG102" s="1364"/>
      <c r="AH102" s="1364"/>
      <c r="AI102" s="1364"/>
      <c r="AJ102" s="1364"/>
      <c r="AK102" s="1364"/>
      <c r="AL102" s="1364"/>
      <c r="AM102" s="1364"/>
      <c r="AN102" s="1364"/>
      <c r="AO102" s="1365"/>
      <c r="AP102" s="1365"/>
      <c r="AQ102" s="1364"/>
      <c r="AR102" s="1365"/>
      <c r="AS102" s="1365"/>
      <c r="AT102" s="1363"/>
      <c r="AU102" s="1330"/>
      <c r="AV102" s="1391"/>
      <c r="AW102" s="1205"/>
      <c r="AX102" s="1205"/>
      <c r="AY102" s="1205"/>
      <c r="AZ102" s="1205"/>
      <c r="BA102" s="1205"/>
      <c r="BB102" s="1394"/>
      <c r="BC102" s="1205"/>
      <c r="BD102" s="1205"/>
      <c r="BE102" s="1408"/>
      <c r="BF102" s="1440"/>
      <c r="BG102" s="1440"/>
      <c r="BH102" s="1440"/>
      <c r="BI102" s="1440"/>
      <c r="BJ102" s="1440"/>
      <c r="BK102" s="1440"/>
      <c r="BL102" s="1440"/>
      <c r="BM102" s="1440"/>
    </row>
    <row r="103" ht="17.25" customHeight="1" spans="1:65">
      <c r="A103" s="1176" t="s">
        <v>760</v>
      </c>
      <c r="B103" s="1176" t="s">
        <v>760</v>
      </c>
      <c r="C103" s="1417" t="s">
        <v>721</v>
      </c>
      <c r="D103" s="1391" t="s">
        <v>752</v>
      </c>
      <c r="E103" s="1162" t="s">
        <v>76</v>
      </c>
      <c r="F103" s="1205" t="s">
        <v>761</v>
      </c>
      <c r="G103" s="1392" t="s">
        <v>744</v>
      </c>
      <c r="H103" s="1391" t="s">
        <v>745</v>
      </c>
      <c r="I103" s="1421" t="s">
        <v>746</v>
      </c>
      <c r="J103" s="1205" t="s">
        <v>747</v>
      </c>
      <c r="K103" s="1175" t="s">
        <v>748</v>
      </c>
      <c r="P103" s="1162" t="s">
        <v>762</v>
      </c>
      <c r="Q103" s="1162" t="s">
        <v>763</v>
      </c>
      <c r="X103" s="1423" t="s">
        <v>173</v>
      </c>
      <c r="Y103" s="1240"/>
      <c r="AA103" s="1330"/>
      <c r="AB103" s="1330"/>
      <c r="AC103" s="1330"/>
      <c r="AD103" s="1330"/>
      <c r="AE103" s="1363"/>
      <c r="AF103" s="1364"/>
      <c r="AG103" s="1364"/>
      <c r="AH103" s="1364"/>
      <c r="AI103" s="1364"/>
      <c r="AJ103" s="1364"/>
      <c r="AK103" s="1364"/>
      <c r="AL103" s="1364"/>
      <c r="AM103" s="1364"/>
      <c r="AN103" s="1364"/>
      <c r="AO103" s="1365"/>
      <c r="AP103" s="1365"/>
      <c r="AQ103" s="1364"/>
      <c r="AR103" s="1365"/>
      <c r="AS103" s="1365"/>
      <c r="AT103" s="1363"/>
      <c r="AU103" s="1330"/>
      <c r="AV103" s="1391"/>
      <c r="AW103" s="1205"/>
      <c r="AX103" s="1205"/>
      <c r="AY103" s="1205"/>
      <c r="AZ103" s="1205"/>
      <c r="BA103" s="1205"/>
      <c r="BB103" s="1394"/>
      <c r="BC103" s="1205"/>
      <c r="BD103" s="1205"/>
      <c r="BE103" s="1408"/>
      <c r="BF103" s="1440"/>
      <c r="BG103" s="1440"/>
      <c r="BH103" s="1440"/>
      <c r="BI103" s="1440"/>
      <c r="BJ103" s="1440"/>
      <c r="BK103" s="1440"/>
      <c r="BL103" s="1440"/>
      <c r="BM103" s="1440"/>
    </row>
    <row r="104" ht="17.25" customHeight="1" spans="1:65">
      <c r="A104" s="1176" t="s">
        <v>764</v>
      </c>
      <c r="B104" s="1176" t="s">
        <v>764</v>
      </c>
      <c r="C104" s="1417" t="s">
        <v>721</v>
      </c>
      <c r="D104" s="1391" t="s">
        <v>752</v>
      </c>
      <c r="E104" s="1162" t="s">
        <v>76</v>
      </c>
      <c r="F104" s="1205" t="s">
        <v>765</v>
      </c>
      <c r="G104" s="1392" t="s">
        <v>744</v>
      </c>
      <c r="H104" s="1391" t="s">
        <v>745</v>
      </c>
      <c r="I104" s="1421" t="s">
        <v>746</v>
      </c>
      <c r="J104" s="1205" t="s">
        <v>747</v>
      </c>
      <c r="K104" s="1175" t="s">
        <v>748</v>
      </c>
      <c r="P104" s="1162" t="s">
        <v>766</v>
      </c>
      <c r="Q104" s="1162" t="s">
        <v>767</v>
      </c>
      <c r="X104" s="1423" t="s">
        <v>175</v>
      </c>
      <c r="Y104" s="1240"/>
      <c r="AA104" s="1330"/>
      <c r="AB104" s="1330"/>
      <c r="AC104" s="1330"/>
      <c r="AD104" s="1330"/>
      <c r="AE104" s="1363"/>
      <c r="AF104" s="1364"/>
      <c r="AG104" s="1364"/>
      <c r="AH104" s="1364"/>
      <c r="AI104" s="1364"/>
      <c r="AJ104" s="1364"/>
      <c r="AK104" s="1364"/>
      <c r="AL104" s="1364"/>
      <c r="AM104" s="1364"/>
      <c r="AN104" s="1364"/>
      <c r="AO104" s="1365"/>
      <c r="AP104" s="1365"/>
      <c r="AQ104" s="1364"/>
      <c r="AR104" s="1365"/>
      <c r="AS104" s="1365"/>
      <c r="AT104" s="1363"/>
      <c r="AU104" s="1330"/>
      <c r="AV104" s="1391"/>
      <c r="AW104" s="1205"/>
      <c r="AX104" s="1205"/>
      <c r="AY104" s="1205"/>
      <c r="AZ104" s="1205"/>
      <c r="BA104" s="1205"/>
      <c r="BB104" s="1394"/>
      <c r="BC104" s="1205"/>
      <c r="BD104" s="1205"/>
      <c r="BE104" s="1408"/>
      <c r="BF104" s="1440"/>
      <c r="BG104" s="1440"/>
      <c r="BH104" s="1440"/>
      <c r="BI104" s="1440"/>
      <c r="BJ104" s="1440"/>
      <c r="BK104" s="1440"/>
      <c r="BL104" s="1440"/>
      <c r="BM104" s="1440"/>
    </row>
    <row r="105" ht="17.25" customHeight="1" spans="1:65">
      <c r="A105" s="1176" t="s">
        <v>768</v>
      </c>
      <c r="B105" s="1176" t="s">
        <v>768</v>
      </c>
      <c r="C105" s="1417" t="s">
        <v>721</v>
      </c>
      <c r="D105" s="1391" t="s">
        <v>752</v>
      </c>
      <c r="E105" s="1162" t="s">
        <v>76</v>
      </c>
      <c r="F105" s="1204" t="s">
        <v>769</v>
      </c>
      <c r="G105" s="1392" t="s">
        <v>744</v>
      </c>
      <c r="H105" s="1391" t="s">
        <v>745</v>
      </c>
      <c r="I105" s="1421" t="s">
        <v>746</v>
      </c>
      <c r="J105" s="1205" t="s">
        <v>747</v>
      </c>
      <c r="K105" s="1175" t="s">
        <v>748</v>
      </c>
      <c r="P105" s="1162" t="s">
        <v>770</v>
      </c>
      <c r="Q105" s="1162" t="s">
        <v>771</v>
      </c>
      <c r="X105" s="1423" t="s">
        <v>177</v>
      </c>
      <c r="Y105" s="1240"/>
      <c r="AA105" s="1330"/>
      <c r="AB105" s="1330"/>
      <c r="AC105" s="1330"/>
      <c r="AD105" s="1330"/>
      <c r="AE105" s="1363"/>
      <c r="AF105" s="1364"/>
      <c r="AG105" s="1364"/>
      <c r="AH105" s="1364"/>
      <c r="AI105" s="1364"/>
      <c r="AJ105" s="1364"/>
      <c r="AK105" s="1364"/>
      <c r="AL105" s="1364"/>
      <c r="AM105" s="1364"/>
      <c r="AN105" s="1364"/>
      <c r="AO105" s="1365"/>
      <c r="AP105" s="1365"/>
      <c r="AQ105" s="1364"/>
      <c r="AR105" s="1365"/>
      <c r="AS105" s="1365"/>
      <c r="AT105" s="1363"/>
      <c r="AU105" s="1330"/>
      <c r="AV105" s="1391"/>
      <c r="AW105" s="1205"/>
      <c r="AX105" s="1205"/>
      <c r="AY105" s="1205"/>
      <c r="AZ105" s="1205"/>
      <c r="BA105" s="1205"/>
      <c r="BB105" s="1394"/>
      <c r="BC105" s="1205"/>
      <c r="BD105" s="1205"/>
      <c r="BE105" s="1408"/>
      <c r="BF105" s="1440"/>
      <c r="BG105" s="1440"/>
      <c r="BH105" s="1440"/>
      <c r="BI105" s="1440"/>
      <c r="BJ105" s="1440"/>
      <c r="BK105" s="1440"/>
      <c r="BL105" s="1440"/>
      <c r="BM105" s="1440"/>
    </row>
    <row r="106" ht="17.25" customHeight="1" spans="1:65">
      <c r="A106" s="1176" t="s">
        <v>772</v>
      </c>
      <c r="B106" s="1176" t="s">
        <v>772</v>
      </c>
      <c r="C106" s="1417" t="s">
        <v>721</v>
      </c>
      <c r="D106" s="1391" t="s">
        <v>752</v>
      </c>
      <c r="E106" s="1162" t="s">
        <v>76</v>
      </c>
      <c r="F106" s="1205" t="s">
        <v>773</v>
      </c>
      <c r="G106" s="1392" t="s">
        <v>744</v>
      </c>
      <c r="H106" s="1391" t="s">
        <v>745</v>
      </c>
      <c r="I106" s="1421" t="s">
        <v>746</v>
      </c>
      <c r="J106" s="1205" t="s">
        <v>747</v>
      </c>
      <c r="K106" s="1175" t="s">
        <v>748</v>
      </c>
      <c r="P106" s="1162" t="s">
        <v>774</v>
      </c>
      <c r="Q106" s="1162" t="s">
        <v>775</v>
      </c>
      <c r="X106" s="1423" t="s">
        <v>179</v>
      </c>
      <c r="Y106" s="1240"/>
      <c r="AA106" s="1330"/>
      <c r="AB106" s="1330"/>
      <c r="AC106" s="1330"/>
      <c r="AD106" s="1330"/>
      <c r="AE106" s="1363"/>
      <c r="AF106" s="1364"/>
      <c r="AG106" s="1364"/>
      <c r="AH106" s="1364"/>
      <c r="AI106" s="1364"/>
      <c r="AJ106" s="1364"/>
      <c r="AK106" s="1364"/>
      <c r="AL106" s="1364"/>
      <c r="AM106" s="1364"/>
      <c r="AN106" s="1364"/>
      <c r="AO106" s="1365"/>
      <c r="AP106" s="1365"/>
      <c r="AQ106" s="1364"/>
      <c r="AR106" s="1365"/>
      <c r="AS106" s="1365"/>
      <c r="AT106" s="1363"/>
      <c r="AU106" s="1330"/>
      <c r="AV106" s="1391"/>
      <c r="AW106" s="1205"/>
      <c r="AX106" s="1205"/>
      <c r="AY106" s="1205"/>
      <c r="AZ106" s="1205"/>
      <c r="BA106" s="1205"/>
      <c r="BB106" s="1394"/>
      <c r="BC106" s="1205"/>
      <c r="BD106" s="1205"/>
      <c r="BE106" s="1408"/>
      <c r="BF106" s="1440"/>
      <c r="BG106" s="1440"/>
      <c r="BH106" s="1440"/>
      <c r="BI106" s="1440"/>
      <c r="BJ106" s="1440"/>
      <c r="BK106" s="1440"/>
      <c r="BL106" s="1440"/>
      <c r="BM106" s="1440"/>
    </row>
    <row r="107" ht="17.25" customHeight="1" spans="1:65">
      <c r="A107" s="1176" t="s">
        <v>776</v>
      </c>
      <c r="B107" s="1176" t="s">
        <v>776</v>
      </c>
      <c r="C107" s="1417" t="s">
        <v>721</v>
      </c>
      <c r="D107" s="1391" t="s">
        <v>752</v>
      </c>
      <c r="E107" s="1162" t="s">
        <v>76</v>
      </c>
      <c r="F107" s="1162" t="s">
        <v>777</v>
      </c>
      <c r="G107" s="1392" t="s">
        <v>744</v>
      </c>
      <c r="H107" s="1391" t="s">
        <v>745</v>
      </c>
      <c r="I107" s="1421" t="s">
        <v>746</v>
      </c>
      <c r="J107" s="1205" t="s">
        <v>747</v>
      </c>
      <c r="K107" s="1175" t="s">
        <v>748</v>
      </c>
      <c r="P107" s="1162" t="s">
        <v>778</v>
      </c>
      <c r="Q107" s="1162" t="s">
        <v>779</v>
      </c>
      <c r="X107" s="1186"/>
      <c r="Y107" s="1243"/>
      <c r="AA107" s="1330"/>
      <c r="AB107" s="1330"/>
      <c r="AC107" s="1330"/>
      <c r="AD107" s="1330"/>
      <c r="AE107" s="1363"/>
      <c r="AF107" s="1364"/>
      <c r="AG107" s="1364"/>
      <c r="AH107" s="1364"/>
      <c r="AI107" s="1364"/>
      <c r="AJ107" s="1364"/>
      <c r="AK107" s="1364"/>
      <c r="AL107" s="1364"/>
      <c r="AM107" s="1364"/>
      <c r="AN107" s="1364"/>
      <c r="AO107" s="1365"/>
      <c r="AP107" s="1365"/>
      <c r="AQ107" s="1364"/>
      <c r="AR107" s="1365"/>
      <c r="AS107" s="1365"/>
      <c r="AT107" s="1363"/>
      <c r="AU107" s="1330"/>
      <c r="AV107" s="1391"/>
      <c r="AW107" s="1205"/>
      <c r="AX107" s="1205"/>
      <c r="AY107" s="1205"/>
      <c r="AZ107" s="1205"/>
      <c r="BA107" s="1205"/>
      <c r="BB107" s="1394"/>
      <c r="BC107" s="1205"/>
      <c r="BD107" s="1205"/>
      <c r="BE107" s="1408"/>
      <c r="BF107" s="1440"/>
      <c r="BG107" s="1440"/>
      <c r="BH107" s="1440"/>
      <c r="BI107" s="1440"/>
      <c r="BJ107" s="1440"/>
      <c r="BK107" s="1440"/>
      <c r="BL107" s="1440"/>
      <c r="BM107" s="1440"/>
    </row>
    <row r="108" ht="17.25" customHeight="1" spans="1:65">
      <c r="A108" s="1176" t="s">
        <v>780</v>
      </c>
      <c r="B108" s="1176" t="s">
        <v>780</v>
      </c>
      <c r="C108" s="1417" t="s">
        <v>721</v>
      </c>
      <c r="D108" s="1391" t="s">
        <v>752</v>
      </c>
      <c r="E108" s="1162" t="s">
        <v>76</v>
      </c>
      <c r="F108" s="1205" t="s">
        <v>781</v>
      </c>
      <c r="G108" s="1392" t="s">
        <v>744</v>
      </c>
      <c r="H108" s="1391" t="s">
        <v>745</v>
      </c>
      <c r="I108" s="1421" t="s">
        <v>746</v>
      </c>
      <c r="J108" s="1205" t="s">
        <v>747</v>
      </c>
      <c r="K108" s="1175" t="s">
        <v>748</v>
      </c>
      <c r="P108" s="1162" t="s">
        <v>782</v>
      </c>
      <c r="Q108" s="1162" t="s">
        <v>783</v>
      </c>
      <c r="AA108" s="1330"/>
      <c r="AB108" s="1330"/>
      <c r="AC108" s="1330"/>
      <c r="AD108" s="1330"/>
      <c r="AE108" s="1363"/>
      <c r="AF108" s="1364"/>
      <c r="AG108" s="1364"/>
      <c r="AH108" s="1364"/>
      <c r="AI108" s="1364"/>
      <c r="AJ108" s="1364"/>
      <c r="AK108" s="1364"/>
      <c r="AL108" s="1364"/>
      <c r="AM108" s="1364"/>
      <c r="AN108" s="1364"/>
      <c r="AO108" s="1365"/>
      <c r="AP108" s="1365"/>
      <c r="AQ108" s="1364"/>
      <c r="AR108" s="1365"/>
      <c r="AS108" s="1365"/>
      <c r="AT108" s="1363"/>
      <c r="AU108" s="1330"/>
      <c r="AV108" s="1391"/>
      <c r="AW108" s="1205"/>
      <c r="AX108" s="1205"/>
      <c r="AY108" s="1205"/>
      <c r="AZ108" s="1205"/>
      <c r="BA108" s="1205"/>
      <c r="BB108" s="1394"/>
      <c r="BC108" s="1205"/>
      <c r="BD108" s="1205"/>
      <c r="BE108" s="1408"/>
      <c r="BF108" s="1440"/>
      <c r="BG108" s="1440"/>
      <c r="BH108" s="1440"/>
      <c r="BI108" s="1440"/>
      <c r="BJ108" s="1440"/>
      <c r="BK108" s="1440"/>
      <c r="BL108" s="1440"/>
      <c r="BM108" s="1440"/>
    </row>
    <row r="109" ht="17.25" customHeight="1" spans="1:65">
      <c r="A109" s="1176" t="s">
        <v>784</v>
      </c>
      <c r="B109" s="1176" t="s">
        <v>784</v>
      </c>
      <c r="C109" s="1417" t="s">
        <v>721</v>
      </c>
      <c r="D109" s="1391" t="s">
        <v>752</v>
      </c>
      <c r="E109" s="1162" t="s">
        <v>76</v>
      </c>
      <c r="F109" s="1205" t="s">
        <v>785</v>
      </c>
      <c r="G109" s="1392" t="s">
        <v>744</v>
      </c>
      <c r="H109" s="1391" t="s">
        <v>745</v>
      </c>
      <c r="I109" s="1421" t="s">
        <v>746</v>
      </c>
      <c r="J109" s="1205" t="s">
        <v>747</v>
      </c>
      <c r="K109" s="1175" t="s">
        <v>748</v>
      </c>
      <c r="P109" s="1162" t="s">
        <v>786</v>
      </c>
      <c r="Q109" s="1162" t="s">
        <v>787</v>
      </c>
      <c r="AA109" s="1330"/>
      <c r="AB109" s="1330"/>
      <c r="AC109" s="1330"/>
      <c r="AD109" s="1330"/>
      <c r="AE109" s="1363"/>
      <c r="AF109" s="1364"/>
      <c r="AG109" s="1364"/>
      <c r="AH109" s="1364"/>
      <c r="AI109" s="1364"/>
      <c r="AJ109" s="1364"/>
      <c r="AK109" s="1364"/>
      <c r="AL109" s="1364"/>
      <c r="AM109" s="1364"/>
      <c r="AN109" s="1364"/>
      <c r="AO109" s="1365"/>
      <c r="AP109" s="1365"/>
      <c r="AQ109" s="1364"/>
      <c r="AR109" s="1365"/>
      <c r="AS109" s="1365"/>
      <c r="AT109" s="1363"/>
      <c r="AU109" s="1330"/>
      <c r="AV109" s="1391"/>
      <c r="AW109" s="1205"/>
      <c r="AX109" s="1205"/>
      <c r="AY109" s="1205"/>
      <c r="AZ109" s="1205"/>
      <c r="BA109" s="1205"/>
      <c r="BB109" s="1394"/>
      <c r="BC109" s="1205"/>
      <c r="BD109" s="1205"/>
      <c r="BE109" s="1408"/>
      <c r="BF109" s="1410"/>
      <c r="BG109" s="1410"/>
      <c r="BH109" s="1410"/>
      <c r="BI109" s="1410"/>
      <c r="BJ109" s="1410"/>
      <c r="BK109" s="1410"/>
      <c r="BL109" s="1410"/>
      <c r="BM109" s="1410"/>
    </row>
    <row r="110" ht="17.25" customHeight="1" spans="1:65">
      <c r="A110" s="1176" t="s">
        <v>788</v>
      </c>
      <c r="B110" s="1176" t="s">
        <v>788</v>
      </c>
      <c r="C110" s="1417" t="s">
        <v>721</v>
      </c>
      <c r="D110" s="1391" t="s">
        <v>752</v>
      </c>
      <c r="E110" s="1162" t="s">
        <v>76</v>
      </c>
      <c r="F110" s="1205" t="s">
        <v>789</v>
      </c>
      <c r="G110" s="1392" t="s">
        <v>744</v>
      </c>
      <c r="H110" s="1391" t="s">
        <v>745</v>
      </c>
      <c r="I110" s="1421" t="s">
        <v>746</v>
      </c>
      <c r="J110" s="1205" t="s">
        <v>747</v>
      </c>
      <c r="K110" s="1175" t="s">
        <v>748</v>
      </c>
      <c r="M110"/>
      <c r="N110"/>
      <c r="O110"/>
      <c r="P110" t="s">
        <v>790</v>
      </c>
      <c r="Q110" t="s">
        <v>791</v>
      </c>
      <c r="R110"/>
      <c r="S110"/>
      <c r="T110"/>
      <c r="U110"/>
      <c r="V110"/>
      <c r="W110"/>
      <c r="X110"/>
      <c r="Y110"/>
      <c r="Z110"/>
      <c r="AA110" s="1330"/>
      <c r="AB110" s="1330"/>
      <c r="AC110" s="1330"/>
      <c r="AD110" s="1330"/>
      <c r="AE110" s="1363"/>
      <c r="AF110" s="1364"/>
      <c r="AG110" s="1364"/>
      <c r="AH110" s="1364"/>
      <c r="AI110" s="1364"/>
      <c r="AJ110" s="1364"/>
      <c r="AK110" s="1364"/>
      <c r="AL110" s="1364"/>
      <c r="AM110" s="1364"/>
      <c r="AN110" s="1364"/>
      <c r="AO110" s="1365"/>
      <c r="AP110" s="1365"/>
      <c r="AQ110" s="1364"/>
      <c r="AR110" s="1365"/>
      <c r="AS110" s="1365"/>
      <c r="AT110" s="1363"/>
      <c r="AU110" s="1330"/>
      <c r="AV110" s="1391"/>
      <c r="AW110" s="1205"/>
      <c r="AX110" s="1205"/>
      <c r="AY110" s="1205"/>
      <c r="AZ110" s="1205"/>
      <c r="BA110" s="1205"/>
      <c r="BB110" s="1394"/>
      <c r="BC110" s="1205"/>
      <c r="BD110" s="1205"/>
      <c r="BE110" s="1408"/>
      <c r="BF110" s="1410"/>
      <c r="BG110" s="1410"/>
      <c r="BH110" s="1410"/>
      <c r="BI110" s="1410"/>
      <c r="BJ110" s="1410"/>
      <c r="BK110" s="1410"/>
      <c r="BL110" s="1410"/>
      <c r="BM110" s="1410"/>
    </row>
    <row r="111" ht="17.25" customHeight="1" spans="1:65">
      <c r="A111" s="1176" t="s">
        <v>792</v>
      </c>
      <c r="B111" s="1176" t="s">
        <v>792</v>
      </c>
      <c r="C111" s="1417" t="s">
        <v>721</v>
      </c>
      <c r="D111" s="1391" t="s">
        <v>752</v>
      </c>
      <c r="E111" s="1162" t="s">
        <v>76</v>
      </c>
      <c r="F111" s="1205" t="s">
        <v>793</v>
      </c>
      <c r="G111" s="1392" t="s">
        <v>744</v>
      </c>
      <c r="H111" s="1391" t="s">
        <v>745</v>
      </c>
      <c r="I111" s="1421" t="s">
        <v>746</v>
      </c>
      <c r="J111" s="1205" t="s">
        <v>747</v>
      </c>
      <c r="K111" s="1175" t="s">
        <v>748</v>
      </c>
      <c r="M111"/>
      <c r="N111"/>
      <c r="O111"/>
      <c r="P111" t="s">
        <v>794</v>
      </c>
      <c r="Q111" t="s">
        <v>795</v>
      </c>
      <c r="R111"/>
      <c r="S111"/>
      <c r="T111"/>
      <c r="U111"/>
      <c r="V111"/>
      <c r="W111"/>
      <c r="X111"/>
      <c r="Y111"/>
      <c r="Z111"/>
      <c r="AA111" s="1330"/>
      <c r="AB111" s="1330"/>
      <c r="AC111" s="1330"/>
      <c r="AD111" s="1330"/>
      <c r="AE111" s="1363"/>
      <c r="AF111" s="1364"/>
      <c r="AG111" s="1364"/>
      <c r="AH111" s="1364"/>
      <c r="AI111" s="1364"/>
      <c r="AJ111" s="1364"/>
      <c r="AK111" s="1364"/>
      <c r="AL111" s="1364"/>
      <c r="AM111" s="1364"/>
      <c r="AN111" s="1364"/>
      <c r="AO111" s="1365"/>
      <c r="AP111" s="1365"/>
      <c r="AQ111" s="1364"/>
      <c r="AR111" s="1365"/>
      <c r="AS111" s="1365"/>
      <c r="AT111" s="1363"/>
      <c r="AU111" s="1330"/>
      <c r="AV111" s="1435"/>
      <c r="AW111" s="1435"/>
      <c r="AX111" s="1408"/>
      <c r="AY111" s="1408"/>
      <c r="AZ111" s="1435"/>
      <c r="BA111" s="1435"/>
      <c r="BB111" s="1394"/>
      <c r="BC111" s="1408"/>
      <c r="BD111" s="1408"/>
      <c r="BE111" s="1408"/>
      <c r="BF111" s="1410"/>
      <c r="BG111" s="1410"/>
      <c r="BH111" s="1410"/>
      <c r="BI111" s="1410"/>
      <c r="BJ111" s="1410"/>
      <c r="BK111" s="1410"/>
      <c r="BL111" s="1410"/>
      <c r="BM111" s="1410"/>
    </row>
    <row r="112" ht="17.25" customHeight="1" spans="1:65">
      <c r="A112" s="1176" t="s">
        <v>796</v>
      </c>
      <c r="B112" s="1176" t="s">
        <v>796</v>
      </c>
      <c r="C112" s="1417" t="s">
        <v>721</v>
      </c>
      <c r="D112" s="1391" t="s">
        <v>752</v>
      </c>
      <c r="E112" s="1162" t="s">
        <v>76</v>
      </c>
      <c r="F112" s="1205" t="s">
        <v>797</v>
      </c>
      <c r="G112" s="1392" t="s">
        <v>744</v>
      </c>
      <c r="H112" s="1391" t="s">
        <v>745</v>
      </c>
      <c r="I112" s="1421" t="s">
        <v>746</v>
      </c>
      <c r="J112" s="1205" t="s">
        <v>747</v>
      </c>
      <c r="K112" s="1175" t="s">
        <v>748</v>
      </c>
      <c r="M112"/>
      <c r="N112"/>
      <c r="O112"/>
      <c r="P112" t="s">
        <v>798</v>
      </c>
      <c r="Q112" t="s">
        <v>799</v>
      </c>
      <c r="R112"/>
      <c r="S112"/>
      <c r="T112"/>
      <c r="U112"/>
      <c r="V112"/>
      <c r="W112"/>
      <c r="X112"/>
      <c r="Y112"/>
      <c r="Z112"/>
      <c r="AA112" s="1330"/>
      <c r="AB112" s="1330"/>
      <c r="AC112" s="1330"/>
      <c r="AD112" s="1330"/>
      <c r="AE112" s="1363"/>
      <c r="AF112" s="1364"/>
      <c r="AG112" s="1364"/>
      <c r="AH112" s="1364"/>
      <c r="AI112" s="1364"/>
      <c r="AJ112" s="1364"/>
      <c r="AK112" s="1364"/>
      <c r="AL112" s="1364"/>
      <c r="AM112" s="1364"/>
      <c r="AN112" s="1364"/>
      <c r="AO112" s="1365"/>
      <c r="AP112" s="1365"/>
      <c r="AQ112" s="1364"/>
      <c r="AR112" s="1365"/>
      <c r="AS112" s="1365"/>
      <c r="AT112" s="1363"/>
      <c r="AU112" s="1330"/>
      <c r="AV112" s="1435"/>
      <c r="AW112" s="1435"/>
      <c r="AX112" s="1408"/>
      <c r="AY112" s="1408"/>
      <c r="AZ112" s="1435"/>
      <c r="BA112" s="1435"/>
      <c r="BB112" s="1394"/>
      <c r="BC112" s="1408"/>
      <c r="BD112" s="1408"/>
      <c r="BE112" s="1408"/>
      <c r="BF112" s="1410"/>
      <c r="BG112" s="1410"/>
      <c r="BH112" s="1410"/>
      <c r="BI112" s="1410"/>
      <c r="BJ112" s="1410"/>
      <c r="BK112" s="1410"/>
      <c r="BL112" s="1410"/>
      <c r="BM112" s="1410"/>
    </row>
    <row r="113" ht="17.25" customHeight="1" spans="1:65">
      <c r="A113" s="1176" t="s">
        <v>800</v>
      </c>
      <c r="B113" s="1176" t="s">
        <v>800</v>
      </c>
      <c r="C113" s="1417" t="s">
        <v>721</v>
      </c>
      <c r="D113" s="1391" t="s">
        <v>752</v>
      </c>
      <c r="E113" s="1162" t="s">
        <v>76</v>
      </c>
      <c r="F113" s="1205" t="s">
        <v>801</v>
      </c>
      <c r="G113" s="1392" t="s">
        <v>744</v>
      </c>
      <c r="H113" s="1391" t="s">
        <v>745</v>
      </c>
      <c r="I113" s="1421" t="s">
        <v>746</v>
      </c>
      <c r="J113" s="1205" t="s">
        <v>747</v>
      </c>
      <c r="K113" s="1175" t="s">
        <v>748</v>
      </c>
      <c r="M113"/>
      <c r="N113"/>
      <c r="O113"/>
      <c r="P113" t="s">
        <v>802</v>
      </c>
      <c r="Q113" t="s">
        <v>803</v>
      </c>
      <c r="R113"/>
      <c r="S113"/>
      <c r="T113"/>
      <c r="U113"/>
      <c r="V113"/>
      <c r="W113"/>
      <c r="X113"/>
      <c r="Y113"/>
      <c r="Z113"/>
      <c r="AA113" s="1330"/>
      <c r="AB113" s="1330"/>
      <c r="AC113" s="1330"/>
      <c r="AD113" s="1330"/>
      <c r="AE113" s="1363"/>
      <c r="AF113" s="1364"/>
      <c r="AG113" s="1364"/>
      <c r="AH113" s="1364"/>
      <c r="AI113" s="1364"/>
      <c r="AJ113" s="1364"/>
      <c r="AK113" s="1364"/>
      <c r="AL113" s="1364"/>
      <c r="AM113" s="1364"/>
      <c r="AN113" s="1364"/>
      <c r="AO113" s="1365"/>
      <c r="AP113" s="1365"/>
      <c r="AQ113" s="1364"/>
      <c r="AR113" s="1365"/>
      <c r="AS113" s="1365"/>
      <c r="AT113" s="1363"/>
      <c r="AU113" s="1330"/>
      <c r="AV113" s="1410"/>
      <c r="AW113" s="1410"/>
      <c r="AX113" s="1437"/>
      <c r="AY113" s="1437"/>
      <c r="AZ113" s="1410"/>
      <c r="BA113" s="1410"/>
      <c r="BB113" s="1394"/>
      <c r="BC113" s="1437"/>
      <c r="BD113" s="1437"/>
      <c r="BE113" s="1437"/>
      <c r="BF113" s="1410"/>
      <c r="BG113" s="1410"/>
      <c r="BH113" s="1410"/>
      <c r="BI113" s="1410"/>
      <c r="BJ113" s="1410"/>
      <c r="BK113" s="1410"/>
      <c r="BL113" s="1410"/>
      <c r="BM113" s="1410"/>
    </row>
    <row r="114" ht="17.25" customHeight="1" spans="1:65">
      <c r="A114" s="1176" t="s">
        <v>804</v>
      </c>
      <c r="B114" s="1176" t="s">
        <v>804</v>
      </c>
      <c r="C114" s="1417" t="s">
        <v>721</v>
      </c>
      <c r="D114" s="1391" t="s">
        <v>752</v>
      </c>
      <c r="E114" s="1162" t="s">
        <v>76</v>
      </c>
      <c r="F114" s="1205" t="s">
        <v>805</v>
      </c>
      <c r="G114" s="1392" t="s">
        <v>744</v>
      </c>
      <c r="H114" s="1391" t="s">
        <v>745</v>
      </c>
      <c r="I114" s="1421" t="s">
        <v>746</v>
      </c>
      <c r="J114" s="1205" t="s">
        <v>747</v>
      </c>
      <c r="K114" s="1175" t="s">
        <v>748</v>
      </c>
      <c r="M114"/>
      <c r="N114"/>
      <c r="O114"/>
      <c r="P114" t="s">
        <v>806</v>
      </c>
      <c r="Q114" t="s">
        <v>807</v>
      </c>
      <c r="R114"/>
      <c r="S114"/>
      <c r="T114"/>
      <c r="U114"/>
      <c r="V114"/>
      <c r="W114"/>
      <c r="X114"/>
      <c r="Y114"/>
      <c r="Z114"/>
      <c r="AA114" s="1330"/>
      <c r="AB114" s="1330"/>
      <c r="AC114" s="1330"/>
      <c r="AD114" s="1330"/>
      <c r="AE114" s="1363"/>
      <c r="AF114" s="1364"/>
      <c r="AG114" s="1364"/>
      <c r="AH114" s="1364"/>
      <c r="AI114" s="1364"/>
      <c r="AJ114" s="1364"/>
      <c r="AK114" s="1364"/>
      <c r="AL114" s="1364"/>
      <c r="AM114" s="1364"/>
      <c r="AN114" s="1364"/>
      <c r="AO114" s="1365"/>
      <c r="AP114" s="1365"/>
      <c r="AQ114" s="1364"/>
      <c r="AR114" s="1365"/>
      <c r="AS114" s="1365"/>
      <c r="AT114" s="1363"/>
      <c r="AU114" s="1330"/>
      <c r="AV114" s="1410"/>
      <c r="AW114" s="1410"/>
      <c r="AX114" s="1437"/>
      <c r="AY114" s="1437"/>
      <c r="AZ114" s="1410"/>
      <c r="BA114" s="1410"/>
      <c r="BB114" s="1394"/>
      <c r="BC114" s="1437"/>
      <c r="BD114" s="1437"/>
      <c r="BE114" s="1437"/>
      <c r="BF114" s="1410"/>
      <c r="BG114" s="1410"/>
      <c r="BH114" s="1410"/>
      <c r="BI114" s="1410"/>
      <c r="BJ114" s="1410"/>
      <c r="BK114" s="1410"/>
      <c r="BL114" s="1410"/>
      <c r="BM114" s="1410"/>
    </row>
    <row r="115" ht="17.25" customHeight="1" spans="1:65">
      <c r="A115" s="1176" t="s">
        <v>808</v>
      </c>
      <c r="B115" s="1176" t="s">
        <v>808</v>
      </c>
      <c r="C115" s="1417" t="s">
        <v>721</v>
      </c>
      <c r="D115" s="1391" t="s">
        <v>752</v>
      </c>
      <c r="E115" s="1162" t="s">
        <v>76</v>
      </c>
      <c r="F115" s="1205" t="s">
        <v>809</v>
      </c>
      <c r="G115" s="1392" t="s">
        <v>744</v>
      </c>
      <c r="H115" s="1391" t="s">
        <v>745</v>
      </c>
      <c r="I115" s="1422" t="s">
        <v>746</v>
      </c>
      <c r="J115" s="1205" t="s">
        <v>747</v>
      </c>
      <c r="K115" s="1175" t="s">
        <v>748</v>
      </c>
      <c r="M115"/>
      <c r="N115"/>
      <c r="O115"/>
      <c r="P115" t="s">
        <v>810</v>
      </c>
      <c r="Q115" t="s">
        <v>811</v>
      </c>
      <c r="R115"/>
      <c r="S115"/>
      <c r="T115"/>
      <c r="U115"/>
      <c r="V115"/>
      <c r="W115"/>
      <c r="X115"/>
      <c r="Y115"/>
      <c r="Z115"/>
      <c r="AA115" s="1330"/>
      <c r="AB115" s="1330"/>
      <c r="AC115" s="1330"/>
      <c r="AD115" s="1330"/>
      <c r="AE115" s="1363"/>
      <c r="AF115" s="1364"/>
      <c r="AG115" s="1364"/>
      <c r="AH115" s="1364"/>
      <c r="AI115" s="1364"/>
      <c r="AJ115" s="1364"/>
      <c r="AK115" s="1364"/>
      <c r="AL115" s="1364"/>
      <c r="AM115" s="1364"/>
      <c r="AN115" s="1364"/>
      <c r="AO115" s="1365"/>
      <c r="AP115" s="1365"/>
      <c r="AQ115" s="1364"/>
      <c r="AR115" s="1365"/>
      <c r="AS115" s="1365"/>
      <c r="AT115" s="1363"/>
      <c r="AU115" s="1330"/>
      <c r="AV115" s="1410"/>
      <c r="AW115" s="1410"/>
      <c r="AX115" s="1437"/>
      <c r="AY115" s="1437"/>
      <c r="AZ115" s="1410"/>
      <c r="BA115" s="1410"/>
      <c r="BB115" s="1394"/>
      <c r="BC115" s="1437"/>
      <c r="BD115" s="1437"/>
      <c r="BE115" s="1437"/>
      <c r="BF115" s="1410"/>
      <c r="BG115" s="1410"/>
      <c r="BH115" s="1410"/>
      <c r="BI115" s="1410"/>
      <c r="BJ115" s="1410"/>
      <c r="BK115" s="1410"/>
      <c r="BL115" s="1410"/>
      <c r="BM115" s="1410"/>
    </row>
    <row r="116" ht="17.25" customHeight="1" spans="1:65">
      <c r="A116" s="1176" t="s">
        <v>812</v>
      </c>
      <c r="B116" s="1176" t="s">
        <v>812</v>
      </c>
      <c r="C116" s="1417" t="s">
        <v>721</v>
      </c>
      <c r="D116" s="1391" t="s">
        <v>752</v>
      </c>
      <c r="E116" s="1162" t="s">
        <v>76</v>
      </c>
      <c r="F116" s="1205" t="s">
        <v>813</v>
      </c>
      <c r="G116" s="1392" t="s">
        <v>744</v>
      </c>
      <c r="H116" s="1391" t="s">
        <v>745</v>
      </c>
      <c r="I116" s="1421" t="s">
        <v>746</v>
      </c>
      <c r="J116" s="1205" t="s">
        <v>747</v>
      </c>
      <c r="K116" s="1175" t="s">
        <v>748</v>
      </c>
      <c r="M116"/>
      <c r="N116"/>
      <c r="O116"/>
      <c r="P116" t="s">
        <v>814</v>
      </c>
      <c r="Q116" t="s">
        <v>815</v>
      </c>
      <c r="R116"/>
      <c r="S116"/>
      <c r="T116"/>
      <c r="U116"/>
      <c r="V116"/>
      <c r="W116"/>
      <c r="X116"/>
      <c r="Y116"/>
      <c r="Z116"/>
      <c r="AA116" s="1330"/>
      <c r="AB116" s="1330"/>
      <c r="AC116" s="1330"/>
      <c r="AD116" s="1330"/>
      <c r="AE116" s="1363"/>
      <c r="AF116" s="1364"/>
      <c r="AG116" s="1364"/>
      <c r="AH116" s="1364"/>
      <c r="AI116" s="1364"/>
      <c r="AJ116" s="1364"/>
      <c r="AK116" s="1364"/>
      <c r="AL116" s="1364"/>
      <c r="AM116" s="1364"/>
      <c r="AN116" s="1364"/>
      <c r="AO116" s="1365"/>
      <c r="AP116" s="1365"/>
      <c r="AQ116" s="1364"/>
      <c r="AR116" s="1365"/>
      <c r="AS116" s="1365"/>
      <c r="AT116" s="1363"/>
      <c r="AU116" s="1330"/>
      <c r="AV116" s="1410"/>
      <c r="AW116" s="1410"/>
      <c r="AX116" s="1437"/>
      <c r="AY116" s="1437"/>
      <c r="AZ116" s="1410"/>
      <c r="BA116" s="1410"/>
      <c r="BB116" s="1394"/>
      <c r="BC116" s="1437"/>
      <c r="BD116" s="1437"/>
      <c r="BE116" s="1437"/>
      <c r="BF116" s="1410"/>
      <c r="BG116" s="1410"/>
      <c r="BH116" s="1410"/>
      <c r="BI116" s="1410"/>
      <c r="BJ116" s="1410"/>
      <c r="BK116" s="1410"/>
      <c r="BL116" s="1410"/>
      <c r="BM116" s="1410"/>
    </row>
    <row r="117" ht="17.25" customHeight="1" spans="1:65">
      <c r="A117" s="1176" t="s">
        <v>816</v>
      </c>
      <c r="B117" s="1176" t="s">
        <v>816</v>
      </c>
      <c r="C117" s="1417" t="s">
        <v>721</v>
      </c>
      <c r="D117" s="1391" t="s">
        <v>752</v>
      </c>
      <c r="E117" s="1162" t="s">
        <v>76</v>
      </c>
      <c r="F117" s="1205" t="s">
        <v>817</v>
      </c>
      <c r="G117" s="1392" t="s">
        <v>744</v>
      </c>
      <c r="H117" s="1391" t="s">
        <v>745</v>
      </c>
      <c r="I117" s="1421" t="s">
        <v>746</v>
      </c>
      <c r="J117" s="1205" t="s">
        <v>747</v>
      </c>
      <c r="K117" s="1175" t="s">
        <v>748</v>
      </c>
      <c r="M117"/>
      <c r="N117"/>
      <c r="O117"/>
      <c r="P117" t="s">
        <v>818</v>
      </c>
      <c r="Q117" t="s">
        <v>819</v>
      </c>
      <c r="R117"/>
      <c r="S117"/>
      <c r="T117"/>
      <c r="U117"/>
      <c r="V117"/>
      <c r="W117"/>
      <c r="X117"/>
      <c r="Y117"/>
      <c r="Z117"/>
      <c r="AA117" s="1330"/>
      <c r="AB117" s="1330"/>
      <c r="AC117" s="1330"/>
      <c r="AD117" s="1330"/>
      <c r="AE117" s="1363"/>
      <c r="AF117" s="1364"/>
      <c r="AG117" s="1364"/>
      <c r="AH117" s="1364"/>
      <c r="AI117" s="1364"/>
      <c r="AJ117" s="1364"/>
      <c r="AK117" s="1364"/>
      <c r="AL117" s="1364"/>
      <c r="AM117" s="1364"/>
      <c r="AN117" s="1364"/>
      <c r="AO117" s="1365"/>
      <c r="AP117" s="1365"/>
      <c r="AQ117" s="1364"/>
      <c r="AR117" s="1365"/>
      <c r="AS117" s="1365"/>
      <c r="AT117" s="1363"/>
      <c r="AU117" s="1330"/>
      <c r="AV117" s="1391"/>
      <c r="AW117" s="1205"/>
      <c r="AX117" s="1205"/>
      <c r="AY117" s="1205"/>
      <c r="AZ117" s="1205"/>
      <c r="BA117" s="1205"/>
      <c r="BB117" s="1394"/>
      <c r="BC117" s="1205"/>
      <c r="BD117" s="1205"/>
      <c r="BE117" s="1205"/>
      <c r="BF117" s="1205"/>
      <c r="BG117" s="1205"/>
      <c r="BH117" s="1205"/>
      <c r="BI117" s="1205"/>
      <c r="BJ117" s="1205"/>
      <c r="BK117" s="1205"/>
      <c r="BL117" s="1205"/>
      <c r="BM117" s="1205"/>
    </row>
    <row r="118" ht="17.25" customHeight="1" spans="1:65">
      <c r="A118" s="1176" t="s">
        <v>820</v>
      </c>
      <c r="B118" s="1176" t="s">
        <v>820</v>
      </c>
      <c r="C118" s="1417" t="s">
        <v>721</v>
      </c>
      <c r="D118" s="1391" t="s">
        <v>752</v>
      </c>
      <c r="E118" s="1162" t="s">
        <v>76</v>
      </c>
      <c r="F118" s="1205" t="s">
        <v>821</v>
      </c>
      <c r="G118" s="1392" t="s">
        <v>744</v>
      </c>
      <c r="H118" s="1391" t="s">
        <v>745</v>
      </c>
      <c r="I118" s="1421" t="s">
        <v>746</v>
      </c>
      <c r="J118" s="1205" t="s">
        <v>747</v>
      </c>
      <c r="K118" s="1175" t="s">
        <v>748</v>
      </c>
      <c r="M118"/>
      <c r="N118"/>
      <c r="O118"/>
      <c r="P118" t="s">
        <v>822</v>
      </c>
      <c r="Q118" t="s">
        <v>823</v>
      </c>
      <c r="R118"/>
      <c r="S118"/>
      <c r="T118"/>
      <c r="U118"/>
      <c r="V118"/>
      <c r="W118"/>
      <c r="X118"/>
      <c r="Y118"/>
      <c r="Z118"/>
      <c r="AA118" s="1330"/>
      <c r="AB118" s="1330"/>
      <c r="AC118" s="1330"/>
      <c r="AD118" s="1330"/>
      <c r="AE118" s="1363"/>
      <c r="AF118" s="1364"/>
      <c r="AG118" s="1364"/>
      <c r="AH118" s="1364"/>
      <c r="AI118" s="1364"/>
      <c r="AJ118" s="1364"/>
      <c r="AK118" s="1364"/>
      <c r="AL118" s="1364"/>
      <c r="AM118" s="1364"/>
      <c r="AN118" s="1364"/>
      <c r="AO118" s="1365"/>
      <c r="AP118" s="1365"/>
      <c r="AQ118" s="1364"/>
      <c r="AR118" s="1365"/>
      <c r="AS118" s="1365"/>
      <c r="AT118" s="1363"/>
      <c r="AU118" s="1330"/>
      <c r="AV118" s="1391"/>
      <c r="AW118" s="1205"/>
      <c r="AX118" s="1205"/>
      <c r="AY118" s="1205"/>
      <c r="AZ118" s="1205"/>
      <c r="BA118" s="1205"/>
      <c r="BB118" s="1394"/>
      <c r="BC118" s="1205"/>
      <c r="BD118" s="1205"/>
      <c r="BE118" s="1205"/>
      <c r="BF118" s="1205"/>
      <c r="BG118" s="1205"/>
      <c r="BH118" s="1205"/>
      <c r="BI118" s="1205"/>
      <c r="BJ118" s="1205"/>
      <c r="BK118" s="1205"/>
      <c r="BL118" s="1205"/>
      <c r="BM118" s="1205"/>
    </row>
    <row r="119" ht="17.25" customHeight="1" spans="1:65">
      <c r="A119" s="1176" t="s">
        <v>166</v>
      </c>
      <c r="B119" s="1176" t="s">
        <v>166</v>
      </c>
      <c r="C119" s="1417" t="s">
        <v>721</v>
      </c>
      <c r="D119" s="1391" t="s">
        <v>752</v>
      </c>
      <c r="E119" s="1162" t="s">
        <v>76</v>
      </c>
      <c r="F119" s="1205" t="s">
        <v>824</v>
      </c>
      <c r="G119" s="1392" t="s">
        <v>744</v>
      </c>
      <c r="H119" s="1391" t="s">
        <v>745</v>
      </c>
      <c r="I119" s="1421" t="s">
        <v>746</v>
      </c>
      <c r="J119" s="1205" t="s">
        <v>747</v>
      </c>
      <c r="K119" s="1175" t="s">
        <v>748</v>
      </c>
      <c r="M119"/>
      <c r="N119"/>
      <c r="O119"/>
      <c r="P119" t="s">
        <v>825</v>
      </c>
      <c r="Q119" t="s">
        <v>826</v>
      </c>
      <c r="R119"/>
      <c r="S119"/>
      <c r="T119"/>
      <c r="U119"/>
      <c r="V119"/>
      <c r="W119"/>
      <c r="X119"/>
      <c r="Y119"/>
      <c r="Z119"/>
      <c r="AA119" s="1330"/>
      <c r="AB119" s="1330"/>
      <c r="AC119" s="1330"/>
      <c r="AD119" s="1330"/>
      <c r="AE119" s="1363"/>
      <c r="AF119" s="1364"/>
      <c r="AG119" s="1364"/>
      <c r="AH119" s="1364"/>
      <c r="AI119" s="1364"/>
      <c r="AJ119" s="1364"/>
      <c r="AK119" s="1364"/>
      <c r="AL119" s="1364"/>
      <c r="AM119" s="1364"/>
      <c r="AN119" s="1364"/>
      <c r="AO119" s="1365"/>
      <c r="AP119" s="1365"/>
      <c r="AQ119" s="1364"/>
      <c r="AR119" s="1365"/>
      <c r="AS119" s="1365"/>
      <c r="AT119" s="1363"/>
      <c r="AU119" s="1330"/>
      <c r="AV119" s="1391"/>
      <c r="AW119" s="1205"/>
      <c r="AX119" s="1205"/>
      <c r="AY119" s="1205"/>
      <c r="AZ119" s="1205"/>
      <c r="BA119" s="1205"/>
      <c r="BB119" s="1394"/>
      <c r="BC119" s="1205"/>
      <c r="BD119" s="1205"/>
      <c r="BE119" s="1205"/>
      <c r="BF119" s="1205"/>
      <c r="BG119" s="1205"/>
      <c r="BH119" s="1205"/>
      <c r="BI119" s="1205"/>
      <c r="BJ119" s="1205"/>
      <c r="BK119" s="1205"/>
      <c r="BL119" s="1205"/>
      <c r="BM119" s="1205"/>
    </row>
    <row r="120" ht="17.25" customHeight="1" spans="1:65">
      <c r="A120" s="1176" t="s">
        <v>827</v>
      </c>
      <c r="B120" s="1176" t="s">
        <v>827</v>
      </c>
      <c r="C120" s="1417" t="s">
        <v>721</v>
      </c>
      <c r="D120" s="1391" t="s">
        <v>752</v>
      </c>
      <c r="E120" s="1162" t="s">
        <v>76</v>
      </c>
      <c r="F120" s="1205" t="s">
        <v>828</v>
      </c>
      <c r="G120" s="1392" t="s">
        <v>744</v>
      </c>
      <c r="H120" s="1391" t="s">
        <v>745</v>
      </c>
      <c r="I120" s="1421" t="s">
        <v>746</v>
      </c>
      <c r="J120" s="1205" t="s">
        <v>747</v>
      </c>
      <c r="K120" s="1175" t="s">
        <v>748</v>
      </c>
      <c r="M120"/>
      <c r="N120"/>
      <c r="O120"/>
      <c r="P120" t="s">
        <v>829</v>
      </c>
      <c r="Q120" t="s">
        <v>830</v>
      </c>
      <c r="R120"/>
      <c r="S120"/>
      <c r="T120"/>
      <c r="U120"/>
      <c r="V120"/>
      <c r="W120"/>
      <c r="X120"/>
      <c r="Y120"/>
      <c r="Z120"/>
      <c r="AA120" s="1330"/>
      <c r="AB120" s="1330"/>
      <c r="AC120" s="1330"/>
      <c r="AD120" s="1330"/>
      <c r="AE120" s="1363"/>
      <c r="AF120" s="1364"/>
      <c r="AG120" s="1364"/>
      <c r="AH120" s="1364"/>
      <c r="AI120" s="1364"/>
      <c r="AJ120" s="1364"/>
      <c r="AK120" s="1364"/>
      <c r="AL120" s="1364"/>
      <c r="AM120" s="1364"/>
      <c r="AN120" s="1364"/>
      <c r="AO120" s="1365"/>
      <c r="AP120" s="1365"/>
      <c r="AQ120" s="1364"/>
      <c r="AR120" s="1365"/>
      <c r="AS120" s="1365"/>
      <c r="AT120" s="1363"/>
      <c r="AU120" s="1330"/>
      <c r="AV120" s="1391"/>
      <c r="AW120" s="1205"/>
      <c r="AX120" s="1205"/>
      <c r="AY120" s="1205"/>
      <c r="AZ120" s="1205"/>
      <c r="BA120" s="1205"/>
      <c r="BB120" s="1394"/>
      <c r="BC120" s="1205"/>
      <c r="BD120" s="1205"/>
      <c r="BE120" s="1205"/>
      <c r="BF120" s="1205"/>
      <c r="BG120" s="1205"/>
      <c r="BH120" s="1205"/>
      <c r="BI120" s="1205"/>
      <c r="BJ120" s="1205"/>
      <c r="BK120" s="1205"/>
      <c r="BL120" s="1205"/>
      <c r="BM120" s="1205"/>
    </row>
    <row r="121" ht="17.25" customHeight="1" spans="1:65">
      <c r="A121" s="1176" t="s">
        <v>831</v>
      </c>
      <c r="B121" s="1176" t="s">
        <v>831</v>
      </c>
      <c r="C121" s="1417" t="s">
        <v>721</v>
      </c>
      <c r="D121" s="1391" t="s">
        <v>752</v>
      </c>
      <c r="E121" s="1162" t="s">
        <v>76</v>
      </c>
      <c r="F121" s="1205" t="s">
        <v>832</v>
      </c>
      <c r="G121" s="1392" t="s">
        <v>744</v>
      </c>
      <c r="H121" s="1391" t="s">
        <v>745</v>
      </c>
      <c r="I121" s="1421" t="s">
        <v>746</v>
      </c>
      <c r="J121" s="1205" t="s">
        <v>747</v>
      </c>
      <c r="K121" s="1175" t="s">
        <v>748</v>
      </c>
      <c r="M121"/>
      <c r="N121"/>
      <c r="O121"/>
      <c r="P121" t="s">
        <v>833</v>
      </c>
      <c r="Q121" t="s">
        <v>834</v>
      </c>
      <c r="R121"/>
      <c r="S121"/>
      <c r="T121"/>
      <c r="U121"/>
      <c r="V121"/>
      <c r="W121"/>
      <c r="X121"/>
      <c r="Y121"/>
      <c r="Z121"/>
      <c r="AA121" s="1330"/>
      <c r="AB121" s="1330"/>
      <c r="AC121" s="1330"/>
      <c r="AD121" s="1330"/>
      <c r="AE121" s="1363"/>
      <c r="AF121" s="1364"/>
      <c r="AG121" s="1364"/>
      <c r="AH121" s="1364"/>
      <c r="AI121" s="1364"/>
      <c r="AJ121" s="1364"/>
      <c r="AK121" s="1364"/>
      <c r="AL121" s="1364"/>
      <c r="AM121" s="1364"/>
      <c r="AN121" s="1364"/>
      <c r="AO121" s="1365"/>
      <c r="AP121" s="1365"/>
      <c r="AQ121" s="1364"/>
      <c r="AR121" s="1365"/>
      <c r="AS121" s="1365"/>
      <c r="AT121" s="1363"/>
      <c r="AU121" s="1330"/>
      <c r="AV121" s="1391"/>
      <c r="AW121" s="1205"/>
      <c r="AX121" s="1205"/>
      <c r="AY121" s="1205"/>
      <c r="AZ121" s="1205"/>
      <c r="BA121" s="1205"/>
      <c r="BB121" s="1394"/>
      <c r="BC121" s="1205"/>
      <c r="BD121" s="1205"/>
      <c r="BE121" s="1205"/>
      <c r="BF121" s="1205"/>
      <c r="BG121" s="1205"/>
      <c r="BH121" s="1205"/>
      <c r="BI121" s="1205"/>
      <c r="BJ121" s="1205"/>
      <c r="BK121" s="1205"/>
      <c r="BL121" s="1205"/>
      <c r="BM121" s="1205"/>
    </row>
    <row r="122" ht="17.25" customHeight="1" spans="1:54">
      <c r="A122" s="1176" t="s">
        <v>835</v>
      </c>
      <c r="B122" s="1176" t="s">
        <v>835</v>
      </c>
      <c r="C122" s="1417" t="s">
        <v>721</v>
      </c>
      <c r="D122" s="1391" t="s">
        <v>752</v>
      </c>
      <c r="E122" s="1162" t="s">
        <v>76</v>
      </c>
      <c r="F122" s="1205" t="s">
        <v>836</v>
      </c>
      <c r="G122" s="1392" t="s">
        <v>744</v>
      </c>
      <c r="H122" s="1391" t="s">
        <v>745</v>
      </c>
      <c r="I122" s="1421" t="s">
        <v>746</v>
      </c>
      <c r="J122" s="1205" t="s">
        <v>747</v>
      </c>
      <c r="K122" s="1175" t="s">
        <v>748</v>
      </c>
      <c r="M122"/>
      <c r="N122"/>
      <c r="O122"/>
      <c r="P122" t="s">
        <v>837</v>
      </c>
      <c r="Q122" t="s">
        <v>838</v>
      </c>
      <c r="R122"/>
      <c r="S122"/>
      <c r="T122"/>
      <c r="U122"/>
      <c r="V122"/>
      <c r="W122"/>
      <c r="X122"/>
      <c r="Y122"/>
      <c r="Z122"/>
      <c r="AA122" s="1330"/>
      <c r="AB122" s="1330"/>
      <c r="AC122" s="1330"/>
      <c r="AD122" s="1330"/>
      <c r="AE122" s="1363"/>
      <c r="AF122" s="1364"/>
      <c r="AG122" s="1364"/>
      <c r="AH122" s="1364"/>
      <c r="AI122" s="1364"/>
      <c r="AJ122" s="1364"/>
      <c r="AK122" s="1364"/>
      <c r="AL122" s="1364"/>
      <c r="AM122" s="1364"/>
      <c r="AN122" s="1364"/>
      <c r="AO122" s="1365"/>
      <c r="AP122" s="1365"/>
      <c r="AQ122" s="1364"/>
      <c r="AR122" s="1365"/>
      <c r="AS122" s="1365"/>
      <c r="AT122" s="1363"/>
      <c r="AU122" s="1330"/>
      <c r="AV122" s="1330"/>
      <c r="BB122" s="1394"/>
    </row>
    <row r="123" ht="17.25" customHeight="1" spans="1:54">
      <c r="A123" s="1176" t="s">
        <v>839</v>
      </c>
      <c r="B123" s="1176" t="s">
        <v>839</v>
      </c>
      <c r="C123" s="1417" t="s">
        <v>721</v>
      </c>
      <c r="D123" s="1391" t="s">
        <v>752</v>
      </c>
      <c r="E123" s="1162" t="s">
        <v>76</v>
      </c>
      <c r="F123" s="1205" t="s">
        <v>840</v>
      </c>
      <c r="G123" s="1392" t="s">
        <v>744</v>
      </c>
      <c r="H123" s="1391" t="s">
        <v>745</v>
      </c>
      <c r="I123" s="1421" t="s">
        <v>746</v>
      </c>
      <c r="J123" s="1205" t="s">
        <v>747</v>
      </c>
      <c r="K123" s="1175" t="s">
        <v>748</v>
      </c>
      <c r="M123"/>
      <c r="N123"/>
      <c r="O123"/>
      <c r="P123" t="s">
        <v>841</v>
      </c>
      <c r="Q123" t="s">
        <v>842</v>
      </c>
      <c r="R123"/>
      <c r="S123"/>
      <c r="T123"/>
      <c r="U123"/>
      <c r="V123"/>
      <c r="W123"/>
      <c r="X123"/>
      <c r="Y123"/>
      <c r="Z123"/>
      <c r="AA123" s="1330"/>
      <c r="AB123" s="1330"/>
      <c r="AC123" s="1330"/>
      <c r="AD123" s="1330"/>
      <c r="AE123" s="1363"/>
      <c r="AF123" s="1364"/>
      <c r="AG123" s="1364"/>
      <c r="AH123" s="1364"/>
      <c r="AI123" s="1364"/>
      <c r="AJ123" s="1364"/>
      <c r="AK123" s="1364"/>
      <c r="AL123" s="1364"/>
      <c r="AM123" s="1364"/>
      <c r="AN123" s="1364"/>
      <c r="AO123" s="1365"/>
      <c r="AP123" s="1365"/>
      <c r="AQ123" s="1364"/>
      <c r="AR123" s="1365"/>
      <c r="AS123" s="1365"/>
      <c r="AT123" s="1363"/>
      <c r="AU123" s="1330"/>
      <c r="AV123" s="1330"/>
      <c r="BB123" s="1394"/>
    </row>
    <row r="124" ht="17.25" customHeight="1" spans="1:54">
      <c r="A124" s="1176" t="s">
        <v>843</v>
      </c>
      <c r="B124" s="1176" t="s">
        <v>843</v>
      </c>
      <c r="C124" s="1417" t="s">
        <v>721</v>
      </c>
      <c r="D124" s="1391" t="s">
        <v>752</v>
      </c>
      <c r="E124" s="1162" t="s">
        <v>76</v>
      </c>
      <c r="F124" s="1205" t="s">
        <v>844</v>
      </c>
      <c r="G124" s="1392" t="s">
        <v>744</v>
      </c>
      <c r="H124" s="1391" t="s">
        <v>745</v>
      </c>
      <c r="I124" s="1421" t="s">
        <v>746</v>
      </c>
      <c r="J124" s="1205" t="s">
        <v>747</v>
      </c>
      <c r="K124" s="1175" t="s">
        <v>748</v>
      </c>
      <c r="M124"/>
      <c r="N124"/>
      <c r="O124"/>
      <c r="P124" t="s">
        <v>845</v>
      </c>
      <c r="Q124" t="s">
        <v>846</v>
      </c>
      <c r="R124"/>
      <c r="S124"/>
      <c r="T124"/>
      <c r="U124"/>
      <c r="V124"/>
      <c r="W124"/>
      <c r="X124"/>
      <c r="Y124"/>
      <c r="Z124"/>
      <c r="AA124" s="1330"/>
      <c r="AB124" s="1330"/>
      <c r="AC124" s="1330"/>
      <c r="AD124" s="1330"/>
      <c r="AE124" s="1363"/>
      <c r="AF124" s="1364"/>
      <c r="AG124" s="1364"/>
      <c r="AH124" s="1364"/>
      <c r="AI124" s="1364"/>
      <c r="AJ124" s="1364"/>
      <c r="AK124" s="1364"/>
      <c r="AL124" s="1364"/>
      <c r="AM124" s="1364"/>
      <c r="AN124" s="1364"/>
      <c r="AO124" s="1365"/>
      <c r="AP124" s="1365"/>
      <c r="AQ124" s="1364"/>
      <c r="AR124" s="1365"/>
      <c r="AS124" s="1365"/>
      <c r="AT124" s="1363"/>
      <c r="AU124" s="1330"/>
      <c r="AV124" s="1330"/>
      <c r="BB124" s="1394"/>
    </row>
    <row r="125" ht="17.25" customHeight="1" spans="1:54">
      <c r="A125" s="1176" t="s">
        <v>847</v>
      </c>
      <c r="B125" s="1176" t="s">
        <v>847</v>
      </c>
      <c r="C125" s="1417" t="s">
        <v>721</v>
      </c>
      <c r="D125" s="1391" t="s">
        <v>752</v>
      </c>
      <c r="E125" s="1162" t="s">
        <v>76</v>
      </c>
      <c r="F125" s="1204" t="s">
        <v>848</v>
      </c>
      <c r="G125" s="1392" t="s">
        <v>744</v>
      </c>
      <c r="H125" s="1391" t="s">
        <v>745</v>
      </c>
      <c r="I125" s="1421" t="s">
        <v>746</v>
      </c>
      <c r="J125" s="1205" t="s">
        <v>747</v>
      </c>
      <c r="K125" s="1175" t="s">
        <v>748</v>
      </c>
      <c r="M125"/>
      <c r="N125"/>
      <c r="O125"/>
      <c r="P125" t="s">
        <v>849</v>
      </c>
      <c r="Q125" t="s">
        <v>850</v>
      </c>
      <c r="R125"/>
      <c r="S125"/>
      <c r="T125"/>
      <c r="U125"/>
      <c r="V125"/>
      <c r="W125"/>
      <c r="X125"/>
      <c r="Y125"/>
      <c r="Z125"/>
      <c r="AA125" s="1330"/>
      <c r="AB125" s="1330"/>
      <c r="AC125" s="1330"/>
      <c r="AD125" s="1330"/>
      <c r="AE125" s="1363"/>
      <c r="AF125" s="1364"/>
      <c r="AG125" s="1364"/>
      <c r="AH125" s="1364"/>
      <c r="AI125" s="1364"/>
      <c r="AJ125" s="1364"/>
      <c r="AK125" s="1364"/>
      <c r="AL125" s="1364"/>
      <c r="AM125" s="1364"/>
      <c r="AN125" s="1364"/>
      <c r="AO125" s="1365"/>
      <c r="AP125" s="1365"/>
      <c r="AQ125" s="1364"/>
      <c r="AR125" s="1365"/>
      <c r="AS125" s="1365"/>
      <c r="AT125" s="1363"/>
      <c r="AU125" s="1330"/>
      <c r="AV125" s="1330"/>
      <c r="BB125" s="1394"/>
    </row>
    <row r="126" ht="17.25" customHeight="1" spans="1:54">
      <c r="A126" s="1176" t="s">
        <v>851</v>
      </c>
      <c r="B126" s="1176" t="s">
        <v>851</v>
      </c>
      <c r="C126" s="1417" t="s">
        <v>721</v>
      </c>
      <c r="D126" s="1391" t="s">
        <v>752</v>
      </c>
      <c r="E126" s="1162" t="s">
        <v>76</v>
      </c>
      <c r="F126" s="1204" t="s">
        <v>852</v>
      </c>
      <c r="G126" s="1392" t="s">
        <v>744</v>
      </c>
      <c r="H126" s="1391" t="s">
        <v>745</v>
      </c>
      <c r="I126" s="1421" t="s">
        <v>746</v>
      </c>
      <c r="J126" s="1205" t="s">
        <v>747</v>
      </c>
      <c r="K126" s="1175" t="s">
        <v>748</v>
      </c>
      <c r="M126"/>
      <c r="N126"/>
      <c r="O126"/>
      <c r="P126" t="s">
        <v>853</v>
      </c>
      <c r="Q126" t="s">
        <v>854</v>
      </c>
      <c r="R126"/>
      <c r="S126"/>
      <c r="T126"/>
      <c r="U126"/>
      <c r="V126"/>
      <c r="W126"/>
      <c r="X126"/>
      <c r="Y126"/>
      <c r="Z126"/>
      <c r="AA126" s="1330"/>
      <c r="AB126" s="1330"/>
      <c r="AC126" s="1330"/>
      <c r="AD126" s="1330"/>
      <c r="AE126" s="1363"/>
      <c r="AF126" s="1364"/>
      <c r="AG126" s="1364"/>
      <c r="AH126" s="1364"/>
      <c r="AI126" s="1364"/>
      <c r="AJ126" s="1364"/>
      <c r="AK126" s="1364"/>
      <c r="AL126" s="1364"/>
      <c r="AM126" s="1364"/>
      <c r="AN126" s="1364"/>
      <c r="AO126" s="1365"/>
      <c r="AP126" s="1365"/>
      <c r="AQ126" s="1364"/>
      <c r="AR126" s="1365"/>
      <c r="AS126" s="1365"/>
      <c r="AT126" s="1363"/>
      <c r="AU126" s="1330"/>
      <c r="AV126" s="1330"/>
      <c r="BB126" s="1394"/>
    </row>
    <row r="127" ht="17.25" customHeight="1" spans="1:54">
      <c r="A127" s="1176" t="s">
        <v>855</v>
      </c>
      <c r="B127" s="1176" t="s">
        <v>855</v>
      </c>
      <c r="C127" s="1417" t="s">
        <v>721</v>
      </c>
      <c r="D127" s="1391" t="s">
        <v>752</v>
      </c>
      <c r="E127" s="1162" t="s">
        <v>76</v>
      </c>
      <c r="F127" s="1205" t="s">
        <v>856</v>
      </c>
      <c r="G127" s="1392" t="s">
        <v>744</v>
      </c>
      <c r="H127" s="1391" t="s">
        <v>745</v>
      </c>
      <c r="I127" s="1421" t="s">
        <v>746</v>
      </c>
      <c r="J127" s="1205" t="s">
        <v>747</v>
      </c>
      <c r="K127" s="1175" t="s">
        <v>748</v>
      </c>
      <c r="M127"/>
      <c r="N127"/>
      <c r="O127"/>
      <c r="P127" t="s">
        <v>857</v>
      </c>
      <c r="Q127" t="s">
        <v>858</v>
      </c>
      <c r="R127"/>
      <c r="S127"/>
      <c r="T127"/>
      <c r="U127"/>
      <c r="V127"/>
      <c r="W127"/>
      <c r="X127"/>
      <c r="Y127"/>
      <c r="Z127"/>
      <c r="AA127" s="1330"/>
      <c r="AB127" s="1330"/>
      <c r="AC127" s="1330"/>
      <c r="AD127" s="1330"/>
      <c r="AE127" s="1363"/>
      <c r="AF127" s="1364"/>
      <c r="AG127" s="1364"/>
      <c r="AH127" s="1364"/>
      <c r="AI127" s="1364"/>
      <c r="AJ127" s="1364"/>
      <c r="AK127" s="1364"/>
      <c r="AL127" s="1364"/>
      <c r="AM127" s="1364"/>
      <c r="AN127" s="1364"/>
      <c r="AO127" s="1365"/>
      <c r="AP127" s="1365"/>
      <c r="AQ127" s="1364"/>
      <c r="AR127" s="1365"/>
      <c r="AS127" s="1365"/>
      <c r="AT127" s="1363"/>
      <c r="AU127" s="1330"/>
      <c r="AV127" s="1330"/>
      <c r="BB127" s="1394"/>
    </row>
    <row r="128" ht="17.25" customHeight="1" spans="1:54">
      <c r="A128" s="1176" t="s">
        <v>859</v>
      </c>
      <c r="B128" s="1176" t="s">
        <v>859</v>
      </c>
      <c r="C128" s="1417" t="s">
        <v>721</v>
      </c>
      <c r="D128" s="1391" t="s">
        <v>752</v>
      </c>
      <c r="E128" s="1162" t="s">
        <v>76</v>
      </c>
      <c r="F128" s="1204" t="s">
        <v>860</v>
      </c>
      <c r="G128" s="1392" t="s">
        <v>744</v>
      </c>
      <c r="H128" s="1391" t="s">
        <v>745</v>
      </c>
      <c r="I128" s="1421" t="s">
        <v>746</v>
      </c>
      <c r="J128" s="1205" t="s">
        <v>747</v>
      </c>
      <c r="K128" s="1175" t="s">
        <v>748</v>
      </c>
      <c r="M128"/>
      <c r="N128"/>
      <c r="O128"/>
      <c r="P128" t="s">
        <v>861</v>
      </c>
      <c r="Q128" t="s">
        <v>862</v>
      </c>
      <c r="R128"/>
      <c r="S128"/>
      <c r="T128"/>
      <c r="U128"/>
      <c r="V128"/>
      <c r="W128"/>
      <c r="X128"/>
      <c r="Y128"/>
      <c r="Z128"/>
      <c r="AA128" s="1330"/>
      <c r="AB128" s="1330"/>
      <c r="AC128" s="1330"/>
      <c r="AD128" s="1330"/>
      <c r="AE128" s="1363"/>
      <c r="AF128" s="1364"/>
      <c r="AG128" s="1364"/>
      <c r="AH128" s="1364"/>
      <c r="AI128" s="1364"/>
      <c r="AJ128" s="1364"/>
      <c r="AK128" s="1364"/>
      <c r="AL128" s="1364"/>
      <c r="AM128" s="1364"/>
      <c r="AN128" s="1364"/>
      <c r="AO128" s="1365"/>
      <c r="AP128" s="1365"/>
      <c r="AQ128" s="1364"/>
      <c r="AR128" s="1365"/>
      <c r="AS128" s="1365"/>
      <c r="AT128" s="1363"/>
      <c r="AU128" s="1330"/>
      <c r="AV128" s="1330"/>
      <c r="BB128" s="1394"/>
    </row>
    <row r="129" ht="17.25" customHeight="1" spans="1:54">
      <c r="A129" s="1162" t="str">
        <f>Q232</f>
        <v>自定义</v>
      </c>
      <c r="B129" s="1176" t="s">
        <v>738</v>
      </c>
      <c r="C129" s="1417" t="s">
        <v>644</v>
      </c>
      <c r="D129" s="1162" t="s">
        <v>644</v>
      </c>
      <c r="E129" s="1162" t="s">
        <v>644</v>
      </c>
      <c r="F129" s="1162" t="s">
        <v>644</v>
      </c>
      <c r="G129" s="1162" t="s">
        <v>644</v>
      </c>
      <c r="H129" s="1162" t="s">
        <v>644</v>
      </c>
      <c r="I129" s="1162" t="s">
        <v>644</v>
      </c>
      <c r="J129" s="1162" t="s">
        <v>644</v>
      </c>
      <c r="K129" s="1240" t="s">
        <v>644</v>
      </c>
      <c r="M129"/>
      <c r="N129"/>
      <c r="O129"/>
      <c r="P129" t="s">
        <v>863</v>
      </c>
      <c r="Q129" t="s">
        <v>864</v>
      </c>
      <c r="R129"/>
      <c r="S129"/>
      <c r="T129"/>
      <c r="U129"/>
      <c r="V129"/>
      <c r="W129"/>
      <c r="X129"/>
      <c r="Y129"/>
      <c r="Z129"/>
      <c r="AA129" s="1330"/>
      <c r="AB129" s="1330"/>
      <c r="AC129" s="1330"/>
      <c r="AD129" s="1330"/>
      <c r="AE129" s="1363"/>
      <c r="AF129" s="1364"/>
      <c r="AG129" s="1364"/>
      <c r="AH129" s="1364"/>
      <c r="AI129" s="1364"/>
      <c r="AJ129" s="1364"/>
      <c r="AK129" s="1364"/>
      <c r="AL129" s="1364"/>
      <c r="AM129" s="1364"/>
      <c r="AN129" s="1364"/>
      <c r="AO129" s="1365"/>
      <c r="AP129" s="1365"/>
      <c r="AQ129" s="1364"/>
      <c r="AR129" s="1365"/>
      <c r="AS129" s="1365"/>
      <c r="AT129" s="1363"/>
      <c r="AU129" s="1330"/>
      <c r="AV129" s="1330"/>
      <c r="BB129" s="1394"/>
    </row>
    <row r="130" ht="17.25" customHeight="1" spans="2:54">
      <c r="B130" s="1176" t="s">
        <v>79</v>
      </c>
      <c r="C130" s="1417" t="s">
        <v>865</v>
      </c>
      <c r="D130" s="1162" t="s">
        <v>866</v>
      </c>
      <c r="E130" s="1162" t="s">
        <v>867</v>
      </c>
      <c r="F130" s="1394" t="s">
        <v>868</v>
      </c>
      <c r="G130" s="1162" t="s">
        <v>869</v>
      </c>
      <c r="H130" s="1162" t="s">
        <v>870</v>
      </c>
      <c r="I130" s="1162" t="s">
        <v>871</v>
      </c>
      <c r="J130" s="1162" t="s">
        <v>872</v>
      </c>
      <c r="K130" s="1240" t="s">
        <v>873</v>
      </c>
      <c r="M130"/>
      <c r="N130"/>
      <c r="O130"/>
      <c r="P130" t="s">
        <v>874</v>
      </c>
      <c r="Q130" t="s">
        <v>875</v>
      </c>
      <c r="R130"/>
      <c r="S130"/>
      <c r="T130"/>
      <c r="U130"/>
      <c r="V130"/>
      <c r="W130"/>
      <c r="X130"/>
      <c r="Y130"/>
      <c r="Z130"/>
      <c r="AA130" s="1330"/>
      <c r="AB130" s="1330"/>
      <c r="AC130" s="1330"/>
      <c r="AD130" s="1330"/>
      <c r="AE130" s="1363"/>
      <c r="AF130" s="1364"/>
      <c r="AG130" s="1445"/>
      <c r="AH130" s="1445"/>
      <c r="AI130" s="1364"/>
      <c r="AJ130" s="1364"/>
      <c r="AK130" s="1364"/>
      <c r="AL130" s="1364"/>
      <c r="AM130" s="1364"/>
      <c r="AN130" s="1364"/>
      <c r="AO130" s="1365"/>
      <c r="AP130" s="1365"/>
      <c r="AQ130" s="1364"/>
      <c r="AR130" s="1365"/>
      <c r="AS130" s="1365"/>
      <c r="AT130" s="1363"/>
      <c r="AU130" s="1330"/>
      <c r="AV130" s="1330"/>
      <c r="BB130" s="1394"/>
    </row>
    <row r="131" ht="17.25" customHeight="1" spans="2:54">
      <c r="B131" s="1176" t="s">
        <v>82</v>
      </c>
      <c r="C131" s="1417" t="s">
        <v>876</v>
      </c>
      <c r="D131" s="1162" t="s">
        <v>76</v>
      </c>
      <c r="E131" s="1162" t="s">
        <v>877</v>
      </c>
      <c r="F131" s="1162" t="s">
        <v>878</v>
      </c>
      <c r="G131" s="1162" t="s">
        <v>879</v>
      </c>
      <c r="H131" s="1162" t="s">
        <v>880</v>
      </c>
      <c r="I131" s="1162" t="s">
        <v>881</v>
      </c>
      <c r="J131" s="1162" t="s">
        <v>882</v>
      </c>
      <c r="K131" s="1240" t="s">
        <v>883</v>
      </c>
      <c r="M131"/>
      <c r="N131"/>
      <c r="O131"/>
      <c r="P131" t="s">
        <v>884</v>
      </c>
      <c r="Q131" t="s">
        <v>885</v>
      </c>
      <c r="R131"/>
      <c r="S131"/>
      <c r="T131"/>
      <c r="U131"/>
      <c r="V131"/>
      <c r="W131"/>
      <c r="X131"/>
      <c r="Y131"/>
      <c r="Z131"/>
      <c r="AA131" s="1330"/>
      <c r="AB131" s="1330"/>
      <c r="AC131" s="1330"/>
      <c r="AD131" s="1330"/>
      <c r="AE131" s="1363"/>
      <c r="AF131" s="1364"/>
      <c r="AG131" s="1445"/>
      <c r="AH131" s="1445"/>
      <c r="AI131" s="1364"/>
      <c r="AJ131" s="1364"/>
      <c r="AK131" s="1364"/>
      <c r="AL131" s="1364"/>
      <c r="AM131" s="1364"/>
      <c r="AN131" s="1364"/>
      <c r="AO131" s="1364"/>
      <c r="AP131" s="1365"/>
      <c r="AQ131" s="1364"/>
      <c r="AR131" s="1365"/>
      <c r="AS131" s="1365"/>
      <c r="AT131" s="1363"/>
      <c r="AU131" s="1330"/>
      <c r="AV131" s="1330"/>
      <c r="BB131" s="1394"/>
    </row>
    <row r="132" ht="17.25" customHeight="1" spans="2:54">
      <c r="B132" s="1176" t="s">
        <v>886</v>
      </c>
      <c r="C132" s="1417" t="s">
        <v>721</v>
      </c>
      <c r="D132" s="1162" t="s">
        <v>887</v>
      </c>
      <c r="E132" s="1162" t="s">
        <v>76</v>
      </c>
      <c r="F132" s="1162" t="s">
        <v>888</v>
      </c>
      <c r="G132" s="1162" t="s">
        <v>889</v>
      </c>
      <c r="H132" s="1162" t="s">
        <v>890</v>
      </c>
      <c r="I132" s="1162" t="s">
        <v>891</v>
      </c>
      <c r="J132" s="1162" t="s">
        <v>892</v>
      </c>
      <c r="K132" s="1240" t="s">
        <v>893</v>
      </c>
      <c r="M132"/>
      <c r="N132"/>
      <c r="O132"/>
      <c r="P132" t="s">
        <v>894</v>
      </c>
      <c r="Q132" t="s">
        <v>895</v>
      </c>
      <c r="R132"/>
      <c r="S132"/>
      <c r="T132"/>
      <c r="U132"/>
      <c r="V132"/>
      <c r="W132"/>
      <c r="X132"/>
      <c r="Y132"/>
      <c r="Z132"/>
      <c r="AA132" s="1330"/>
      <c r="AB132" s="1330"/>
      <c r="AC132" s="1330"/>
      <c r="AD132" s="1330"/>
      <c r="AE132" s="1363"/>
      <c r="AF132" s="1364"/>
      <c r="AG132" s="1445"/>
      <c r="AH132" s="1445"/>
      <c r="AI132" s="1364"/>
      <c r="AJ132" s="1364"/>
      <c r="AK132" s="1364"/>
      <c r="AL132" s="1364"/>
      <c r="AM132" s="1364"/>
      <c r="AN132" s="1364"/>
      <c r="AO132" s="1365"/>
      <c r="AP132" s="1365"/>
      <c r="AQ132" s="1365"/>
      <c r="AR132" s="1365"/>
      <c r="AS132" s="1365"/>
      <c r="AT132" s="1363"/>
      <c r="AU132" s="1330"/>
      <c r="AV132" s="1330"/>
      <c r="BB132" s="1394"/>
    </row>
    <row r="133" ht="17.25" customHeight="1" spans="2:54">
      <c r="B133" s="1176" t="s">
        <v>93</v>
      </c>
      <c r="C133" s="1417" t="s">
        <v>896</v>
      </c>
      <c r="D133" s="1162" t="s">
        <v>76</v>
      </c>
      <c r="E133" s="1162" t="s">
        <v>76</v>
      </c>
      <c r="F133" s="1162" t="s">
        <v>897</v>
      </c>
      <c r="G133" s="1162" t="s">
        <v>898</v>
      </c>
      <c r="H133" s="1162" t="s">
        <v>899</v>
      </c>
      <c r="I133" s="1162" t="s">
        <v>900</v>
      </c>
      <c r="J133" s="1162" t="s">
        <v>901</v>
      </c>
      <c r="K133" s="1240" t="s">
        <v>902</v>
      </c>
      <c r="M133"/>
      <c r="N133"/>
      <c r="O133"/>
      <c r="P133" t="s">
        <v>903</v>
      </c>
      <c r="Q133" t="s">
        <v>904</v>
      </c>
      <c r="R133"/>
      <c r="S133"/>
      <c r="T133"/>
      <c r="U133"/>
      <c r="V133"/>
      <c r="W133"/>
      <c r="X133"/>
      <c r="Y133"/>
      <c r="Z133"/>
      <c r="AA133" s="1330"/>
      <c r="AB133" s="1330"/>
      <c r="AC133" s="1330"/>
      <c r="AD133" s="1330"/>
      <c r="AE133" s="1363"/>
      <c r="AF133" s="1364"/>
      <c r="AG133" s="1445"/>
      <c r="AH133" s="1445"/>
      <c r="AI133" s="1364"/>
      <c r="AJ133" s="1364"/>
      <c r="AK133" s="1364"/>
      <c r="AL133" s="1364"/>
      <c r="AM133" s="1364"/>
      <c r="AN133" s="1364"/>
      <c r="AO133" s="1365"/>
      <c r="AP133" s="1365"/>
      <c r="AQ133" s="1365"/>
      <c r="AR133" s="1365"/>
      <c r="AS133" s="1365"/>
      <c r="AT133" s="1363"/>
      <c r="AU133" s="1330"/>
      <c r="AV133" s="1330"/>
      <c r="BB133" s="1394"/>
    </row>
    <row r="134" ht="17.25" customHeight="1" spans="2:54">
      <c r="B134" s="1176" t="s">
        <v>96</v>
      </c>
      <c r="C134" s="1417" t="s">
        <v>896</v>
      </c>
      <c r="D134" s="1162" t="s">
        <v>76</v>
      </c>
      <c r="E134" s="1162" t="s">
        <v>76</v>
      </c>
      <c r="F134" s="1162" t="s">
        <v>905</v>
      </c>
      <c r="G134" s="1162" t="s">
        <v>906</v>
      </c>
      <c r="H134" s="1162" t="s">
        <v>907</v>
      </c>
      <c r="I134" s="1162" t="s">
        <v>908</v>
      </c>
      <c r="J134" s="1162" t="s">
        <v>909</v>
      </c>
      <c r="K134" s="1240" t="s">
        <v>910</v>
      </c>
      <c r="M134"/>
      <c r="N134"/>
      <c r="O134"/>
      <c r="P134" t="s">
        <v>911</v>
      </c>
      <c r="Q134" t="s">
        <v>912</v>
      </c>
      <c r="R134"/>
      <c r="S134"/>
      <c r="T134"/>
      <c r="U134"/>
      <c r="V134"/>
      <c r="W134"/>
      <c r="X134"/>
      <c r="Y134"/>
      <c r="Z134"/>
      <c r="AA134" s="1330"/>
      <c r="AB134" s="1330"/>
      <c r="AC134" s="1330"/>
      <c r="AD134" s="1330"/>
      <c r="AE134" s="1363"/>
      <c r="AF134" s="1364"/>
      <c r="AG134" s="1364"/>
      <c r="AH134" s="1364"/>
      <c r="AI134" s="1364"/>
      <c r="AJ134" s="1364"/>
      <c r="AK134" s="1364"/>
      <c r="AL134" s="1364"/>
      <c r="AM134" s="1364"/>
      <c r="AN134" s="1364"/>
      <c r="AO134" s="1365"/>
      <c r="AP134" s="1365"/>
      <c r="AQ134" s="1365"/>
      <c r="AR134" s="1365"/>
      <c r="AS134" s="1365"/>
      <c r="AT134" s="1363"/>
      <c r="AU134" s="1330"/>
      <c r="AV134" s="1330"/>
      <c r="BB134" s="1394"/>
    </row>
    <row r="135" ht="17.25" customHeight="1" spans="2:54">
      <c r="B135" s="1176" t="s">
        <v>103</v>
      </c>
      <c r="C135" s="1417" t="s">
        <v>721</v>
      </c>
      <c r="D135" s="1162" t="s">
        <v>76</v>
      </c>
      <c r="E135" s="1162" t="s">
        <v>76</v>
      </c>
      <c r="F135" s="1394" t="s">
        <v>913</v>
      </c>
      <c r="G135" s="1162" t="s">
        <v>914</v>
      </c>
      <c r="H135" s="1162" t="s">
        <v>915</v>
      </c>
      <c r="I135" s="1162" t="s">
        <v>916</v>
      </c>
      <c r="J135" s="1162" t="s">
        <v>917</v>
      </c>
      <c r="K135" s="1240" t="s">
        <v>918</v>
      </c>
      <c r="M135"/>
      <c r="N135"/>
      <c r="O135"/>
      <c r="P135" t="s">
        <v>919</v>
      </c>
      <c r="Q135" t="s">
        <v>920</v>
      </c>
      <c r="R135"/>
      <c r="S135"/>
      <c r="T135"/>
      <c r="U135"/>
      <c r="V135"/>
      <c r="W135"/>
      <c r="X135"/>
      <c r="Y135"/>
      <c r="Z135"/>
      <c r="AA135" s="1330"/>
      <c r="AB135" s="1330"/>
      <c r="AC135" s="1330"/>
      <c r="AD135" s="1330"/>
      <c r="AE135" s="1363"/>
      <c r="AF135" s="1364"/>
      <c r="AG135" s="1364"/>
      <c r="AH135" s="1364"/>
      <c r="AI135" s="1364"/>
      <c r="AJ135" s="1364"/>
      <c r="AK135" s="1364"/>
      <c r="AL135" s="1364"/>
      <c r="AM135" s="1364"/>
      <c r="AN135" s="1364"/>
      <c r="AO135" s="1365"/>
      <c r="AP135" s="1365"/>
      <c r="AQ135" s="1365"/>
      <c r="AR135" s="1365"/>
      <c r="AS135" s="1365"/>
      <c r="AT135" s="1363"/>
      <c r="AU135" s="1330"/>
      <c r="AV135" s="1330"/>
      <c r="BB135" s="1394"/>
    </row>
    <row r="136" ht="17.25" customHeight="1" spans="2:54">
      <c r="B136" s="1176" t="s">
        <v>105</v>
      </c>
      <c r="C136" s="1417" t="s">
        <v>921</v>
      </c>
      <c r="D136" s="1162" t="s">
        <v>76</v>
      </c>
      <c r="E136" s="1162" t="s">
        <v>922</v>
      </c>
      <c r="F136" s="1162" t="s">
        <v>923</v>
      </c>
      <c r="G136" s="1162" t="s">
        <v>76</v>
      </c>
      <c r="H136" s="1162" t="s">
        <v>76</v>
      </c>
      <c r="I136" s="1162" t="s">
        <v>924</v>
      </c>
      <c r="J136" s="1162" t="s">
        <v>76</v>
      </c>
      <c r="K136" s="1240" t="s">
        <v>76</v>
      </c>
      <c r="M136"/>
      <c r="N136"/>
      <c r="O136"/>
      <c r="P136" t="s">
        <v>925</v>
      </c>
      <c r="Q136" t="s">
        <v>926</v>
      </c>
      <c r="R136"/>
      <c r="S136"/>
      <c r="T136"/>
      <c r="U136"/>
      <c r="V136"/>
      <c r="W136"/>
      <c r="X136"/>
      <c r="Y136"/>
      <c r="Z136"/>
      <c r="AA136" s="1330"/>
      <c r="AB136" s="1330"/>
      <c r="AC136" s="1330"/>
      <c r="AD136" s="1330"/>
      <c r="AE136" s="1363"/>
      <c r="AF136" s="1364"/>
      <c r="AG136" s="1364"/>
      <c r="AH136" s="1364"/>
      <c r="AI136" s="1364"/>
      <c r="AJ136" s="1364"/>
      <c r="AK136" s="1364"/>
      <c r="AL136" s="1364"/>
      <c r="AM136" s="1364"/>
      <c r="AN136" s="1364"/>
      <c r="AO136" s="1365"/>
      <c r="AP136" s="1365"/>
      <c r="AQ136" s="1365"/>
      <c r="AR136" s="1365"/>
      <c r="AS136" s="1365"/>
      <c r="AT136" s="1363"/>
      <c r="AU136" s="1330"/>
      <c r="AV136" s="1330"/>
      <c r="BB136" s="1394"/>
    </row>
    <row r="137" ht="17.25" customHeight="1" spans="2:54">
      <c r="B137" s="1176" t="s">
        <v>109</v>
      </c>
      <c r="C137" s="1417" t="s">
        <v>876</v>
      </c>
      <c r="D137" s="1162" t="s">
        <v>927</v>
      </c>
      <c r="E137" s="1162" t="s">
        <v>76</v>
      </c>
      <c r="F137" s="1162" t="s">
        <v>928</v>
      </c>
      <c r="G137" s="1162" t="s">
        <v>929</v>
      </c>
      <c r="H137" s="1162" t="s">
        <v>930</v>
      </c>
      <c r="I137" s="1162" t="s">
        <v>931</v>
      </c>
      <c r="J137" s="1162" t="s">
        <v>932</v>
      </c>
      <c r="K137" s="1240" t="s">
        <v>933</v>
      </c>
      <c r="M137"/>
      <c r="N137"/>
      <c r="O137"/>
      <c r="P137" t="s">
        <v>934</v>
      </c>
      <c r="Q137" t="s">
        <v>935</v>
      </c>
      <c r="R137"/>
      <c r="S137"/>
      <c r="T137"/>
      <c r="U137"/>
      <c r="V137"/>
      <c r="W137"/>
      <c r="X137"/>
      <c r="Y137"/>
      <c r="Z137"/>
      <c r="AA137" s="1330"/>
      <c r="AB137" s="1330"/>
      <c r="AC137" s="1330"/>
      <c r="AD137" s="1330"/>
      <c r="AE137" s="1363"/>
      <c r="AF137" s="1364"/>
      <c r="AG137" s="1364"/>
      <c r="AH137" s="1364"/>
      <c r="AI137" s="1364"/>
      <c r="AJ137" s="1364"/>
      <c r="AK137" s="1364"/>
      <c r="AL137" s="1364"/>
      <c r="AM137" s="1364"/>
      <c r="AN137" s="1364"/>
      <c r="AO137" s="1365"/>
      <c r="AP137" s="1365"/>
      <c r="AQ137" s="1365"/>
      <c r="AR137" s="1365"/>
      <c r="AS137" s="1365"/>
      <c r="AT137" s="1363"/>
      <c r="AU137" s="1330"/>
      <c r="AV137" s="1330"/>
      <c r="BB137" s="1394"/>
    </row>
    <row r="138" ht="17.25" customHeight="1" spans="2:54">
      <c r="B138" s="1176" t="s">
        <v>111</v>
      </c>
      <c r="C138" s="1417" t="s">
        <v>936</v>
      </c>
      <c r="D138" s="1162" t="s">
        <v>76</v>
      </c>
      <c r="E138" s="1162" t="s">
        <v>76</v>
      </c>
      <c r="F138" s="1162" t="s">
        <v>937</v>
      </c>
      <c r="G138" s="1162" t="s">
        <v>938</v>
      </c>
      <c r="H138" s="1162" t="s">
        <v>939</v>
      </c>
      <c r="I138" s="1162" t="s">
        <v>940</v>
      </c>
      <c r="J138" s="1162" t="s">
        <v>941</v>
      </c>
      <c r="K138" s="1240" t="s">
        <v>942</v>
      </c>
      <c r="M138"/>
      <c r="N138"/>
      <c r="O138"/>
      <c r="P138" t="s">
        <v>943</v>
      </c>
      <c r="Q138" t="s">
        <v>944</v>
      </c>
      <c r="R138"/>
      <c r="S138"/>
      <c r="T138"/>
      <c r="U138"/>
      <c r="V138"/>
      <c r="W138"/>
      <c r="X138"/>
      <c r="Y138"/>
      <c r="Z138"/>
      <c r="AA138" s="1330"/>
      <c r="AB138" s="1330"/>
      <c r="AC138" s="1330"/>
      <c r="AD138" s="1330"/>
      <c r="AE138" s="1363"/>
      <c r="AF138" s="1364"/>
      <c r="AG138" s="1364"/>
      <c r="AH138" s="1364"/>
      <c r="AI138" s="1364"/>
      <c r="AJ138" s="1364"/>
      <c r="AK138" s="1364"/>
      <c r="AL138" s="1364"/>
      <c r="AM138" s="1364"/>
      <c r="AN138" s="1364"/>
      <c r="AO138" s="1365"/>
      <c r="AP138" s="1365"/>
      <c r="AQ138" s="1365"/>
      <c r="AR138" s="1365"/>
      <c r="AS138" s="1365"/>
      <c r="AT138" s="1363"/>
      <c r="AU138" s="1330"/>
      <c r="AV138" s="1330"/>
      <c r="BB138" s="1394"/>
    </row>
    <row r="139" ht="17.25" customHeight="1" spans="2:54">
      <c r="B139" s="1176" t="s">
        <v>114</v>
      </c>
      <c r="C139" s="1417" t="s">
        <v>712</v>
      </c>
      <c r="D139" s="1162" t="s">
        <v>887</v>
      </c>
      <c r="E139" s="1162" t="s">
        <v>945</v>
      </c>
      <c r="F139" s="1162" t="s">
        <v>946</v>
      </c>
      <c r="G139" s="1162" t="s">
        <v>947</v>
      </c>
      <c r="H139" s="1162" t="s">
        <v>948</v>
      </c>
      <c r="I139" s="1162" t="s">
        <v>949</v>
      </c>
      <c r="J139" s="1162" t="s">
        <v>950</v>
      </c>
      <c r="K139" s="1240" t="s">
        <v>951</v>
      </c>
      <c r="M139"/>
      <c r="N139"/>
      <c r="O139"/>
      <c r="P139" t="s">
        <v>952</v>
      </c>
      <c r="Q139" t="s">
        <v>953</v>
      </c>
      <c r="R139"/>
      <c r="S139"/>
      <c r="T139"/>
      <c r="U139"/>
      <c r="V139"/>
      <c r="W139"/>
      <c r="X139"/>
      <c r="Y139"/>
      <c r="Z139"/>
      <c r="AA139" s="1330"/>
      <c r="AB139" s="1330"/>
      <c r="AC139" s="1330"/>
      <c r="AD139" s="1330"/>
      <c r="AE139" s="1363"/>
      <c r="AF139" s="1364"/>
      <c r="AG139" s="1364"/>
      <c r="AH139" s="1364"/>
      <c r="AI139" s="1364"/>
      <c r="AJ139" s="1364"/>
      <c r="AK139" s="1364"/>
      <c r="AL139" s="1364"/>
      <c r="AM139" s="1364"/>
      <c r="AN139" s="1364"/>
      <c r="AO139" s="1365"/>
      <c r="AP139" s="1365"/>
      <c r="AQ139" s="1365"/>
      <c r="AR139" s="1365"/>
      <c r="AS139" s="1365"/>
      <c r="AT139" s="1363"/>
      <c r="AU139" s="1330"/>
      <c r="AV139" s="1330"/>
      <c r="BB139" s="1394"/>
    </row>
    <row r="140" ht="17.25" customHeight="1" spans="2:54">
      <c r="B140" s="1176" t="s">
        <v>116</v>
      </c>
      <c r="C140" s="1417" t="s">
        <v>721</v>
      </c>
      <c r="D140" s="1162" t="s">
        <v>866</v>
      </c>
      <c r="E140" s="1162" t="s">
        <v>867</v>
      </c>
      <c r="F140" s="1162" t="s">
        <v>954</v>
      </c>
      <c r="G140" s="1162" t="s">
        <v>869</v>
      </c>
      <c r="H140" s="1162" t="s">
        <v>870</v>
      </c>
      <c r="I140" s="1162" t="s">
        <v>955</v>
      </c>
      <c r="J140" s="1162" t="s">
        <v>956</v>
      </c>
      <c r="K140" s="1240" t="s">
        <v>957</v>
      </c>
      <c r="M140"/>
      <c r="N140"/>
      <c r="O140"/>
      <c r="P140" t="s">
        <v>958</v>
      </c>
      <c r="Q140" t="s">
        <v>959</v>
      </c>
      <c r="R140"/>
      <c r="S140"/>
      <c r="T140"/>
      <c r="U140"/>
      <c r="V140"/>
      <c r="W140"/>
      <c r="X140"/>
      <c r="Y140"/>
      <c r="Z140"/>
      <c r="AA140" s="1330"/>
      <c r="AB140" s="1330"/>
      <c r="AC140" s="1330"/>
      <c r="AD140" s="1330"/>
      <c r="AE140" s="1363"/>
      <c r="AF140" s="1364"/>
      <c r="AG140" s="1364"/>
      <c r="AH140" s="1364"/>
      <c r="AI140" s="1364"/>
      <c r="AJ140" s="1364"/>
      <c r="AK140" s="1364"/>
      <c r="AL140" s="1364"/>
      <c r="AM140" s="1364"/>
      <c r="AN140" s="1364"/>
      <c r="AO140" s="1365"/>
      <c r="AP140" s="1365"/>
      <c r="AQ140" s="1365"/>
      <c r="AR140" s="1365"/>
      <c r="AS140" s="1365"/>
      <c r="AT140" s="1363"/>
      <c r="AU140" s="1330"/>
      <c r="AV140" s="1330"/>
      <c r="BB140" s="1394"/>
    </row>
    <row r="141" ht="17.25" customHeight="1" spans="2:54">
      <c r="B141" s="1176" t="s">
        <v>738</v>
      </c>
      <c r="C141" s="1417" t="s">
        <v>644</v>
      </c>
      <c r="D141" s="1162" t="s">
        <v>644</v>
      </c>
      <c r="E141" s="1162" t="s">
        <v>644</v>
      </c>
      <c r="F141" s="1162" t="s">
        <v>644</v>
      </c>
      <c r="G141" s="1162" t="s">
        <v>644</v>
      </c>
      <c r="H141" s="1162" t="s">
        <v>644</v>
      </c>
      <c r="I141" s="1162" t="s">
        <v>644</v>
      </c>
      <c r="J141" s="1162" t="s">
        <v>644</v>
      </c>
      <c r="K141" s="1240" t="s">
        <v>644</v>
      </c>
      <c r="M141"/>
      <c r="N141"/>
      <c r="O141"/>
      <c r="P141" t="s">
        <v>960</v>
      </c>
      <c r="Q141" t="s">
        <v>961</v>
      </c>
      <c r="R141"/>
      <c r="S141"/>
      <c r="T141"/>
      <c r="U141"/>
      <c r="V141"/>
      <c r="W141"/>
      <c r="X141"/>
      <c r="Y141"/>
      <c r="Z141"/>
      <c r="AA141" s="1330"/>
      <c r="AB141" s="1330"/>
      <c r="AC141" s="1330"/>
      <c r="AD141" s="1330"/>
      <c r="AE141" s="1363"/>
      <c r="AF141" s="1364"/>
      <c r="AG141" s="1364"/>
      <c r="AH141" s="1364"/>
      <c r="AI141" s="1364"/>
      <c r="AJ141" s="1364"/>
      <c r="AK141" s="1364"/>
      <c r="AL141" s="1364"/>
      <c r="AM141" s="1364"/>
      <c r="AN141" s="1364"/>
      <c r="AO141" s="1365"/>
      <c r="AP141" s="1365"/>
      <c r="AQ141" s="1365"/>
      <c r="AR141" s="1365"/>
      <c r="AS141" s="1365"/>
      <c r="AT141" s="1363"/>
      <c r="AU141" s="1330"/>
      <c r="AV141" s="1330"/>
      <c r="BB141" s="1394"/>
    </row>
    <row r="142" ht="17.25" customHeight="1" spans="2:54">
      <c r="B142" s="1176" t="s">
        <v>195</v>
      </c>
      <c r="C142" s="1417" t="s">
        <v>76</v>
      </c>
      <c r="D142" s="1162" t="s">
        <v>962</v>
      </c>
      <c r="E142" s="1162" t="s">
        <v>76</v>
      </c>
      <c r="F142" s="1162" t="s">
        <v>963</v>
      </c>
      <c r="G142" s="1162" t="s">
        <v>76</v>
      </c>
      <c r="H142" s="1162" t="s">
        <v>76</v>
      </c>
      <c r="I142" s="1162" t="s">
        <v>964</v>
      </c>
      <c r="J142" s="1162" t="s">
        <v>76</v>
      </c>
      <c r="K142" s="1240" t="s">
        <v>76</v>
      </c>
      <c r="M142"/>
      <c r="N142"/>
      <c r="O142"/>
      <c r="P142" t="s">
        <v>965</v>
      </c>
      <c r="Q142" t="s">
        <v>966</v>
      </c>
      <c r="R142"/>
      <c r="S142"/>
      <c r="T142"/>
      <c r="U142"/>
      <c r="V142"/>
      <c r="W142"/>
      <c r="X142"/>
      <c r="Y142"/>
      <c r="Z142"/>
      <c r="AA142" s="1330"/>
      <c r="AB142" s="1330"/>
      <c r="AC142" s="1330"/>
      <c r="AD142" s="1330"/>
      <c r="AE142" s="1363"/>
      <c r="AF142" s="1364"/>
      <c r="AG142" s="1364"/>
      <c r="AH142" s="1364"/>
      <c r="AI142" s="1364"/>
      <c r="AJ142" s="1364"/>
      <c r="AK142" s="1364"/>
      <c r="AL142" s="1364"/>
      <c r="AM142" s="1364"/>
      <c r="AN142" s="1364"/>
      <c r="AO142" s="1364"/>
      <c r="AP142" s="1365"/>
      <c r="AQ142" s="1365"/>
      <c r="AR142" s="1365"/>
      <c r="AS142" s="1365"/>
      <c r="AT142" s="1363"/>
      <c r="AU142" s="1330"/>
      <c r="AV142" s="1330"/>
      <c r="BB142" s="1394"/>
    </row>
    <row r="143" ht="17.25" customHeight="1" spans="1:54">
      <c r="A143" s="1176" t="s">
        <v>655</v>
      </c>
      <c r="B143" s="1176" t="s">
        <v>655</v>
      </c>
      <c r="C143" s="1417" t="s">
        <v>721</v>
      </c>
      <c r="D143" s="1162" t="s">
        <v>967</v>
      </c>
      <c r="E143" s="1162" t="s">
        <v>76</v>
      </c>
      <c r="F143" s="1162" t="s">
        <v>968</v>
      </c>
      <c r="G143" s="1162" t="s">
        <v>76</v>
      </c>
      <c r="H143" s="1162" t="s">
        <v>76</v>
      </c>
      <c r="I143" s="1162" t="s">
        <v>964</v>
      </c>
      <c r="J143" s="1162" t="s">
        <v>76</v>
      </c>
      <c r="K143" s="1240" t="s">
        <v>76</v>
      </c>
      <c r="M143"/>
      <c r="N143"/>
      <c r="O143"/>
      <c r="P143" t="s">
        <v>969</v>
      </c>
      <c r="Q143" t="s">
        <v>970</v>
      </c>
      <c r="R143"/>
      <c r="S143"/>
      <c r="T143"/>
      <c r="U143"/>
      <c r="V143"/>
      <c r="W143"/>
      <c r="X143"/>
      <c r="Y143"/>
      <c r="Z143"/>
      <c r="AA143" s="1330"/>
      <c r="AB143" s="1330"/>
      <c r="AC143" s="1330"/>
      <c r="AD143" s="1330"/>
      <c r="AE143" s="1363"/>
      <c r="AF143" s="1364"/>
      <c r="AG143" s="1364"/>
      <c r="AH143" s="1364"/>
      <c r="AI143" s="1364"/>
      <c r="AJ143" s="1364"/>
      <c r="AK143" s="1364"/>
      <c r="AL143" s="1364"/>
      <c r="AM143" s="1364"/>
      <c r="AN143" s="1364"/>
      <c r="AO143" s="1365"/>
      <c r="AP143" s="1365"/>
      <c r="AQ143" s="1365"/>
      <c r="AR143" s="1365"/>
      <c r="AS143" s="1365"/>
      <c r="AT143" s="1363"/>
      <c r="AU143" s="1330"/>
      <c r="AV143" s="1330"/>
      <c r="BB143" s="1394"/>
    </row>
    <row r="144" ht="17.25" customHeight="1" spans="1:54">
      <c r="A144" s="1176" t="s">
        <v>656</v>
      </c>
      <c r="B144" s="1176" t="s">
        <v>656</v>
      </c>
      <c r="C144" s="1417" t="s">
        <v>936</v>
      </c>
      <c r="D144" s="1162" t="s">
        <v>967</v>
      </c>
      <c r="E144" s="1162" t="s">
        <v>76</v>
      </c>
      <c r="F144" s="1162" t="s">
        <v>971</v>
      </c>
      <c r="G144" s="1162" t="s">
        <v>76</v>
      </c>
      <c r="H144" s="1162" t="s">
        <v>76</v>
      </c>
      <c r="I144" s="1162" t="s">
        <v>964</v>
      </c>
      <c r="J144" s="1162" t="s">
        <v>76</v>
      </c>
      <c r="K144" s="1240" t="s">
        <v>76</v>
      </c>
      <c r="M144"/>
      <c r="N144"/>
      <c r="O144"/>
      <c r="P144" t="s">
        <v>972</v>
      </c>
      <c r="Q144" t="s">
        <v>973</v>
      </c>
      <c r="R144"/>
      <c r="S144"/>
      <c r="T144"/>
      <c r="U144"/>
      <c r="V144"/>
      <c r="W144"/>
      <c r="X144"/>
      <c r="Y144"/>
      <c r="Z144"/>
      <c r="AA144" s="1330"/>
      <c r="AB144" s="1330"/>
      <c r="AC144" s="1330"/>
      <c r="AD144" s="1330"/>
      <c r="AE144" s="1363"/>
      <c r="AF144" s="1364"/>
      <c r="AG144" s="1364"/>
      <c r="AH144" s="1364"/>
      <c r="AI144" s="1364"/>
      <c r="AJ144" s="1364"/>
      <c r="AK144" s="1364"/>
      <c r="AL144" s="1364"/>
      <c r="AM144" s="1364"/>
      <c r="AN144" s="1364"/>
      <c r="AO144" s="1365"/>
      <c r="AP144" s="1365"/>
      <c r="AQ144" s="1364"/>
      <c r="AR144" s="1365"/>
      <c r="AS144" s="1365"/>
      <c r="AT144" s="1363"/>
      <c r="AU144" s="1330"/>
      <c r="AV144" s="1330"/>
      <c r="BB144" s="1394"/>
    </row>
    <row r="145" ht="17.25" customHeight="1" spans="1:54">
      <c r="A145" s="1176" t="s">
        <v>659</v>
      </c>
      <c r="B145" s="1176" t="s">
        <v>120</v>
      </c>
      <c r="C145" s="1417" t="s">
        <v>974</v>
      </c>
      <c r="D145" s="1162" t="s">
        <v>967</v>
      </c>
      <c r="E145" s="1162" t="s">
        <v>76</v>
      </c>
      <c r="F145" s="1162" t="s">
        <v>975</v>
      </c>
      <c r="G145" s="1162" t="s">
        <v>76</v>
      </c>
      <c r="H145" s="1162" t="s">
        <v>76</v>
      </c>
      <c r="I145" s="1162" t="s">
        <v>964</v>
      </c>
      <c r="J145" s="1162" t="s">
        <v>76</v>
      </c>
      <c r="K145" s="1240" t="s">
        <v>76</v>
      </c>
      <c r="M145"/>
      <c r="N145"/>
      <c r="O145"/>
      <c r="P145" t="s">
        <v>976</v>
      </c>
      <c r="Q145" t="s">
        <v>977</v>
      </c>
      <c r="R145"/>
      <c r="S145"/>
      <c r="T145"/>
      <c r="U145"/>
      <c r="V145"/>
      <c r="W145"/>
      <c r="X145"/>
      <c r="Y145"/>
      <c r="Z145"/>
      <c r="AA145" s="1330"/>
      <c r="AB145" s="1330"/>
      <c r="AC145" s="1330"/>
      <c r="AD145" s="1330"/>
      <c r="AE145" s="1363"/>
      <c r="AF145" s="1364"/>
      <c r="AG145" s="1364"/>
      <c r="AH145" s="1364"/>
      <c r="AI145" s="1364"/>
      <c r="AJ145" s="1364"/>
      <c r="AK145" s="1364"/>
      <c r="AL145" s="1364"/>
      <c r="AM145" s="1364"/>
      <c r="AN145" s="1364"/>
      <c r="AO145" s="1365"/>
      <c r="AP145" s="1365"/>
      <c r="AQ145" s="1364"/>
      <c r="AR145" s="1365"/>
      <c r="AS145" s="1365"/>
      <c r="AT145" s="1363"/>
      <c r="AU145" s="1330"/>
      <c r="AV145" s="1330"/>
      <c r="BB145" s="1394"/>
    </row>
    <row r="146" ht="17.25" customHeight="1" spans="1:54">
      <c r="A146" s="1176" t="s">
        <v>660</v>
      </c>
      <c r="B146" s="1176" t="s">
        <v>659</v>
      </c>
      <c r="C146" s="1417" t="s">
        <v>865</v>
      </c>
      <c r="D146" s="1162" t="s">
        <v>967</v>
      </c>
      <c r="E146" s="1162" t="s">
        <v>76</v>
      </c>
      <c r="F146" s="1162" t="s">
        <v>978</v>
      </c>
      <c r="G146" s="1162" t="s">
        <v>76</v>
      </c>
      <c r="H146" s="1162" t="s">
        <v>76</v>
      </c>
      <c r="I146" s="1162" t="s">
        <v>964</v>
      </c>
      <c r="J146" s="1162" t="s">
        <v>76</v>
      </c>
      <c r="K146" s="1240" t="s">
        <v>76</v>
      </c>
      <c r="M146"/>
      <c r="N146"/>
      <c r="O146"/>
      <c r="P146" t="s">
        <v>979</v>
      </c>
      <c r="Q146" t="s">
        <v>980</v>
      </c>
      <c r="R146"/>
      <c r="S146"/>
      <c r="T146"/>
      <c r="U146"/>
      <c r="V146"/>
      <c r="W146"/>
      <c r="X146"/>
      <c r="Y146"/>
      <c r="Z146"/>
      <c r="AA146" s="1330"/>
      <c r="AB146" s="1330"/>
      <c r="AC146" s="1330"/>
      <c r="AD146" s="1330"/>
      <c r="AE146" s="1363"/>
      <c r="AF146" s="1364"/>
      <c r="AG146" s="1364"/>
      <c r="AH146" s="1364"/>
      <c r="AI146" s="1364"/>
      <c r="AJ146" s="1364"/>
      <c r="AK146" s="1364"/>
      <c r="AL146" s="1364"/>
      <c r="AM146" s="1364"/>
      <c r="AN146" s="1364"/>
      <c r="AO146" s="1365"/>
      <c r="AP146" s="1365"/>
      <c r="AQ146" s="1364"/>
      <c r="AR146" s="1365"/>
      <c r="AS146" s="1365"/>
      <c r="AT146" s="1363"/>
      <c r="AU146" s="1330"/>
      <c r="AV146" s="1330"/>
      <c r="BB146" s="1394"/>
    </row>
    <row r="147" ht="17.25" customHeight="1" spans="1:48">
      <c r="A147" s="1176" t="s">
        <v>658</v>
      </c>
      <c r="B147" s="1176" t="s">
        <v>660</v>
      </c>
      <c r="C147" s="1417" t="s">
        <v>876</v>
      </c>
      <c r="D147" s="1162" t="s">
        <v>967</v>
      </c>
      <c r="E147" s="1162" t="s">
        <v>76</v>
      </c>
      <c r="F147" s="1162" t="s">
        <v>981</v>
      </c>
      <c r="G147" s="1162" t="s">
        <v>76</v>
      </c>
      <c r="H147" s="1162" t="s">
        <v>76</v>
      </c>
      <c r="I147" s="1162" t="s">
        <v>964</v>
      </c>
      <c r="J147" s="1162" t="s">
        <v>76</v>
      </c>
      <c r="K147" s="1240" t="s">
        <v>76</v>
      </c>
      <c r="M147"/>
      <c r="N147"/>
      <c r="O147"/>
      <c r="P147" t="s">
        <v>982</v>
      </c>
      <c r="Q147" t="s">
        <v>983</v>
      </c>
      <c r="R147"/>
      <c r="S147"/>
      <c r="T147"/>
      <c r="U147"/>
      <c r="V147"/>
      <c r="W147"/>
      <c r="X147"/>
      <c r="Y147"/>
      <c r="Z147"/>
      <c r="AA147" s="1330"/>
      <c r="AB147" s="1330"/>
      <c r="AC147" s="1330"/>
      <c r="AD147" s="1330"/>
      <c r="AE147" s="1363"/>
      <c r="AF147" s="1364"/>
      <c r="AG147" s="1364"/>
      <c r="AH147" s="1364"/>
      <c r="AI147" s="1364"/>
      <c r="AJ147" s="1364"/>
      <c r="AK147" s="1364"/>
      <c r="AL147" s="1364"/>
      <c r="AM147" s="1364"/>
      <c r="AN147" s="1364"/>
      <c r="AO147" s="1365"/>
      <c r="AP147" s="1365"/>
      <c r="AQ147" s="1364"/>
      <c r="AR147" s="1365"/>
      <c r="AS147" s="1365"/>
      <c r="AT147" s="1363"/>
      <c r="AU147" s="1330"/>
      <c r="AV147" s="1330"/>
    </row>
    <row r="148" ht="17.25" customHeight="1" spans="1:48">
      <c r="A148" s="1176" t="s">
        <v>657</v>
      </c>
      <c r="B148" s="1176" t="s">
        <v>658</v>
      </c>
      <c r="C148" s="1417" t="s">
        <v>865</v>
      </c>
      <c r="D148" s="1162" t="s">
        <v>967</v>
      </c>
      <c r="E148" s="1162" t="s">
        <v>76</v>
      </c>
      <c r="F148" s="1162" t="s">
        <v>984</v>
      </c>
      <c r="G148" s="1162" t="s">
        <v>76</v>
      </c>
      <c r="H148" s="1162" t="s">
        <v>76</v>
      </c>
      <c r="I148" s="1162" t="s">
        <v>964</v>
      </c>
      <c r="J148" s="1162" t="s">
        <v>76</v>
      </c>
      <c r="K148" s="1240" t="s">
        <v>76</v>
      </c>
      <c r="M148"/>
      <c r="N148"/>
      <c r="O148"/>
      <c r="P148" t="s">
        <v>985</v>
      </c>
      <c r="Q148" t="s">
        <v>986</v>
      </c>
      <c r="R148"/>
      <c r="S148"/>
      <c r="T148"/>
      <c r="U148"/>
      <c r="V148"/>
      <c r="W148"/>
      <c r="X148"/>
      <c r="Y148"/>
      <c r="Z148"/>
      <c r="AA148" s="1330"/>
      <c r="AB148" s="1330"/>
      <c r="AC148" s="1330"/>
      <c r="AD148" s="1330"/>
      <c r="AE148" s="1363"/>
      <c r="AF148" s="1364"/>
      <c r="AG148" s="1364"/>
      <c r="AH148" s="1364"/>
      <c r="AI148" s="1364"/>
      <c r="AJ148" s="1364"/>
      <c r="AK148" s="1364"/>
      <c r="AL148" s="1364"/>
      <c r="AM148" s="1364"/>
      <c r="AN148" s="1364"/>
      <c r="AO148" s="1365"/>
      <c r="AP148" s="1365"/>
      <c r="AQ148" s="1364"/>
      <c r="AR148" s="1365"/>
      <c r="AS148" s="1365"/>
      <c r="AT148" s="1363"/>
      <c r="AU148" s="1330"/>
      <c r="AV148" s="1330"/>
    </row>
    <row r="149" ht="17.25" customHeight="1" spans="1:71">
      <c r="A149" s="1176" t="s">
        <v>661</v>
      </c>
      <c r="B149" s="1176" t="s">
        <v>657</v>
      </c>
      <c r="C149" s="1417" t="s">
        <v>936</v>
      </c>
      <c r="D149" s="1162" t="s">
        <v>967</v>
      </c>
      <c r="E149" s="1162" t="s">
        <v>76</v>
      </c>
      <c r="F149" s="1162" t="s">
        <v>987</v>
      </c>
      <c r="G149" s="1162" t="s">
        <v>76</v>
      </c>
      <c r="H149" s="1162" t="s">
        <v>76</v>
      </c>
      <c r="I149" s="1162" t="s">
        <v>964</v>
      </c>
      <c r="J149" s="1162" t="s">
        <v>76</v>
      </c>
      <c r="K149" s="1240" t="s">
        <v>76</v>
      </c>
      <c r="M149"/>
      <c r="N149"/>
      <c r="O149"/>
      <c r="P149" t="s">
        <v>988</v>
      </c>
      <c r="Q149" t="s">
        <v>989</v>
      </c>
      <c r="R149"/>
      <c r="S149"/>
      <c r="T149"/>
      <c r="U149"/>
      <c r="V149"/>
      <c r="W149"/>
      <c r="X149"/>
      <c r="Y149"/>
      <c r="Z149"/>
      <c r="AA149" s="1330"/>
      <c r="AB149" s="1330"/>
      <c r="AC149" s="1330"/>
      <c r="AD149" s="1330"/>
      <c r="AE149" s="1363"/>
      <c r="AF149" s="1364"/>
      <c r="AG149" s="1364"/>
      <c r="AH149" s="1364"/>
      <c r="AI149" s="1364"/>
      <c r="AJ149" s="1364"/>
      <c r="AK149" s="1364"/>
      <c r="AL149" s="1364"/>
      <c r="AM149" s="1364"/>
      <c r="AN149" s="1364"/>
      <c r="AO149" s="1364"/>
      <c r="AP149" s="1365"/>
      <c r="AQ149" s="1364"/>
      <c r="AR149" s="1365"/>
      <c r="AS149" s="1365"/>
      <c r="AT149" s="1363"/>
      <c r="AU149" s="1330"/>
      <c r="AV149" s="1330"/>
      <c r="BC149" s="1205"/>
      <c r="BD149" s="1205"/>
      <c r="BE149" s="1205"/>
      <c r="BF149" s="1205"/>
      <c r="BG149" s="1205"/>
      <c r="BH149" s="1205"/>
      <c r="BI149" s="1205"/>
      <c r="BJ149" s="1205"/>
      <c r="BK149" s="1205"/>
      <c r="BL149" s="1205"/>
      <c r="BM149" s="1205"/>
      <c r="BN149" s="1205"/>
      <c r="BO149" s="1205"/>
      <c r="BP149" s="1205"/>
      <c r="BQ149" s="1205"/>
      <c r="BR149" s="1205"/>
      <c r="BS149" s="1205"/>
    </row>
    <row r="150" ht="17.25" customHeight="1" spans="2:71">
      <c r="B150" s="1176" t="s">
        <v>661</v>
      </c>
      <c r="C150" s="1417" t="s">
        <v>876</v>
      </c>
      <c r="D150" s="1162" t="s">
        <v>967</v>
      </c>
      <c r="E150" s="1162" t="s">
        <v>76</v>
      </c>
      <c r="F150" s="1162" t="s">
        <v>990</v>
      </c>
      <c r="G150" s="1162" t="s">
        <v>76</v>
      </c>
      <c r="H150" s="1162" t="s">
        <v>76</v>
      </c>
      <c r="I150" s="1162" t="s">
        <v>964</v>
      </c>
      <c r="J150" s="1162" t="s">
        <v>76</v>
      </c>
      <c r="K150" s="1240" t="s">
        <v>76</v>
      </c>
      <c r="M150"/>
      <c r="N150"/>
      <c r="O150"/>
      <c r="P150" t="s">
        <v>991</v>
      </c>
      <c r="Q150" t="s">
        <v>992</v>
      </c>
      <c r="R150"/>
      <c r="S150"/>
      <c r="T150"/>
      <c r="U150"/>
      <c r="V150"/>
      <c r="W150"/>
      <c r="X150"/>
      <c r="Y150"/>
      <c r="Z150"/>
      <c r="AA150" s="1330"/>
      <c r="AB150" s="1330"/>
      <c r="AC150" s="1330"/>
      <c r="AD150" s="1330"/>
      <c r="AE150" s="1363"/>
      <c r="AF150" s="1364"/>
      <c r="AG150" s="1364"/>
      <c r="AH150" s="1364"/>
      <c r="AI150" s="1364"/>
      <c r="AJ150" s="1364"/>
      <c r="AK150" s="1364"/>
      <c r="AL150" s="1364"/>
      <c r="AM150" s="1364"/>
      <c r="AN150" s="1364"/>
      <c r="AO150" s="1365"/>
      <c r="AP150" s="1365"/>
      <c r="AQ150" s="1364"/>
      <c r="AR150" s="1365"/>
      <c r="AS150" s="1365"/>
      <c r="AT150" s="1363"/>
      <c r="AU150" s="1330"/>
      <c r="AV150" s="1330"/>
      <c r="BC150" s="1205"/>
      <c r="BD150" s="1205"/>
      <c r="BE150" s="1205"/>
      <c r="BF150" s="1205"/>
      <c r="BG150" s="1205"/>
      <c r="BH150" s="1205"/>
      <c r="BI150" s="1205"/>
      <c r="BJ150" s="1205"/>
      <c r="BK150" s="1205"/>
      <c r="BL150" s="1205"/>
      <c r="BM150" s="1205"/>
      <c r="BN150" s="1205"/>
      <c r="BO150" s="1205"/>
      <c r="BP150" s="1205"/>
      <c r="BQ150" s="1205"/>
      <c r="BR150" s="1205"/>
      <c r="BS150" s="1205"/>
    </row>
    <row r="151" ht="17.25" customHeight="1" spans="2:71">
      <c r="B151" s="1176" t="s">
        <v>738</v>
      </c>
      <c r="C151" s="1417" t="s">
        <v>644</v>
      </c>
      <c r="D151" s="1162" t="s">
        <v>644</v>
      </c>
      <c r="E151" s="1162" t="s">
        <v>644</v>
      </c>
      <c r="F151" s="1162" t="s">
        <v>644</v>
      </c>
      <c r="G151" s="1162" t="s">
        <v>644</v>
      </c>
      <c r="H151" s="1162" t="s">
        <v>644</v>
      </c>
      <c r="I151" s="1162" t="s">
        <v>644</v>
      </c>
      <c r="J151" s="1162" t="s">
        <v>644</v>
      </c>
      <c r="K151" s="1240" t="s">
        <v>644</v>
      </c>
      <c r="M151"/>
      <c r="N151"/>
      <c r="O151"/>
      <c r="P151" t="s">
        <v>991</v>
      </c>
      <c r="Q151" t="s">
        <v>993</v>
      </c>
      <c r="R151"/>
      <c r="S151"/>
      <c r="T151"/>
      <c r="U151"/>
      <c r="V151"/>
      <c r="W151"/>
      <c r="X151"/>
      <c r="Y151"/>
      <c r="Z151"/>
      <c r="AA151" s="1330"/>
      <c r="AB151" s="1330"/>
      <c r="AC151" s="1330"/>
      <c r="AD151" s="1330"/>
      <c r="AE151" s="1363"/>
      <c r="AF151" s="1364"/>
      <c r="AG151" s="1364"/>
      <c r="AH151" s="1364"/>
      <c r="AI151" s="1364"/>
      <c r="AJ151" s="1364"/>
      <c r="AK151" s="1364"/>
      <c r="AL151" s="1364"/>
      <c r="AM151" s="1364"/>
      <c r="AN151" s="1364"/>
      <c r="AO151" s="1365"/>
      <c r="AP151" s="1365"/>
      <c r="AQ151" s="1364"/>
      <c r="AR151" s="1365"/>
      <c r="AS151" s="1365"/>
      <c r="AT151" s="1363"/>
      <c r="AU151" s="1330"/>
      <c r="AV151" s="1330"/>
      <c r="BC151" s="1205"/>
      <c r="BD151" s="1205"/>
      <c r="BE151" s="1205"/>
      <c r="BF151" s="1205"/>
      <c r="BG151" s="1205"/>
      <c r="BH151" s="1205"/>
      <c r="BI151" s="1205"/>
      <c r="BJ151" s="1205"/>
      <c r="BK151" s="1205"/>
      <c r="BL151" s="1205"/>
      <c r="BM151" s="1205"/>
      <c r="BN151" s="1205"/>
      <c r="BO151" s="1205"/>
      <c r="BP151" s="1205"/>
      <c r="BQ151" s="1205"/>
      <c r="BR151" s="1205"/>
      <c r="BS151" s="1205"/>
    </row>
    <row r="152" ht="17.25" customHeight="1" spans="2:71">
      <c r="B152" s="1309" t="s">
        <v>994</v>
      </c>
      <c r="C152" s="1417" t="s">
        <v>76</v>
      </c>
      <c r="D152" s="1162" t="s">
        <v>962</v>
      </c>
      <c r="E152" s="1162" t="s">
        <v>995</v>
      </c>
      <c r="F152" s="1162" t="s">
        <v>996</v>
      </c>
      <c r="G152" s="1162" t="s">
        <v>76</v>
      </c>
      <c r="H152" s="1162" t="s">
        <v>76</v>
      </c>
      <c r="I152" s="1162" t="s">
        <v>964</v>
      </c>
      <c r="J152" s="1162" t="s">
        <v>76</v>
      </c>
      <c r="K152" s="1240" t="s">
        <v>76</v>
      </c>
      <c r="M152"/>
      <c r="N152"/>
      <c r="O152"/>
      <c r="P152" t="s">
        <v>991</v>
      </c>
      <c r="Q152" t="s">
        <v>997</v>
      </c>
      <c r="R152"/>
      <c r="S152"/>
      <c r="T152"/>
      <c r="U152"/>
      <c r="V152"/>
      <c r="W152"/>
      <c r="X152"/>
      <c r="Y152"/>
      <c r="Z152"/>
      <c r="AA152" s="1330"/>
      <c r="AB152" s="1330"/>
      <c r="AC152" s="1330"/>
      <c r="AD152" s="1330"/>
      <c r="AE152" s="1363"/>
      <c r="AF152" s="1364"/>
      <c r="AG152" s="1364"/>
      <c r="AH152" s="1364"/>
      <c r="AI152" s="1364"/>
      <c r="AJ152" s="1364"/>
      <c r="AK152" s="1364"/>
      <c r="AL152" s="1364"/>
      <c r="AM152" s="1364"/>
      <c r="AN152" s="1364"/>
      <c r="AO152" s="1364"/>
      <c r="AP152" s="1364"/>
      <c r="AQ152" s="1364"/>
      <c r="AR152" s="1365"/>
      <c r="AS152" s="1365"/>
      <c r="AT152" s="1363"/>
      <c r="AU152" s="1330"/>
      <c r="AV152" s="1330"/>
      <c r="BC152" s="1205"/>
      <c r="BD152" s="1205"/>
      <c r="BE152" s="1205"/>
      <c r="BF152" s="1205"/>
      <c r="BG152" s="1205"/>
      <c r="BH152" s="1205"/>
      <c r="BI152" s="1205"/>
      <c r="BJ152" s="1205"/>
      <c r="BK152" s="1205"/>
      <c r="BL152" s="1205"/>
      <c r="BM152" s="1205"/>
      <c r="BN152" s="1205"/>
      <c r="BO152" s="1205"/>
      <c r="BP152" s="1205"/>
      <c r="BQ152" s="1205"/>
      <c r="BR152" s="1205"/>
      <c r="BS152" s="1205"/>
    </row>
    <row r="153" ht="17.25" customHeight="1" spans="1:71">
      <c r="A153" s="1176" t="s">
        <v>470</v>
      </c>
      <c r="B153" s="1176" t="s">
        <v>470</v>
      </c>
      <c r="C153" s="1417" t="s">
        <v>974</v>
      </c>
      <c r="D153" s="1162" t="s">
        <v>998</v>
      </c>
      <c r="E153" s="1162" t="s">
        <v>995</v>
      </c>
      <c r="F153" s="1162" t="s">
        <v>999</v>
      </c>
      <c r="G153" s="1162" t="s">
        <v>76</v>
      </c>
      <c r="H153" s="1162" t="s">
        <v>76</v>
      </c>
      <c r="I153" s="1162" t="s">
        <v>964</v>
      </c>
      <c r="J153" s="1162" t="s">
        <v>76</v>
      </c>
      <c r="K153" s="1240" t="s">
        <v>76</v>
      </c>
      <c r="M153"/>
      <c r="N153"/>
      <c r="O153"/>
      <c r="P153" t="s">
        <v>1000</v>
      </c>
      <c r="Q153" t="s">
        <v>1001</v>
      </c>
      <c r="R153"/>
      <c r="S153"/>
      <c r="T153"/>
      <c r="U153"/>
      <c r="V153"/>
      <c r="W153"/>
      <c r="X153"/>
      <c r="Y153"/>
      <c r="Z153"/>
      <c r="AA153" s="1330"/>
      <c r="AB153" s="1330"/>
      <c r="AC153" s="1330"/>
      <c r="AD153" s="1330"/>
      <c r="AE153" s="1363"/>
      <c r="AF153" s="1364"/>
      <c r="AG153" s="1364"/>
      <c r="AH153" s="1364"/>
      <c r="AI153" s="1364"/>
      <c r="AJ153" s="1364"/>
      <c r="AK153" s="1364"/>
      <c r="AL153" s="1364"/>
      <c r="AM153" s="1364"/>
      <c r="AN153" s="1364"/>
      <c r="AO153" s="1365"/>
      <c r="AP153" s="1365"/>
      <c r="AQ153" s="1364"/>
      <c r="AR153" s="1365"/>
      <c r="AS153" s="1365"/>
      <c r="AT153" s="1363"/>
      <c r="AU153" s="1330"/>
      <c r="AV153" s="1330"/>
      <c r="BC153" s="1205"/>
      <c r="BD153" s="1205"/>
      <c r="BE153" s="1205"/>
      <c r="BF153" s="1205"/>
      <c r="BG153" s="1205"/>
      <c r="BH153" s="1205"/>
      <c r="BI153" s="1205"/>
      <c r="BJ153" s="1205"/>
      <c r="BK153" s="1205"/>
      <c r="BL153" s="1205"/>
      <c r="BM153" s="1205"/>
      <c r="BN153" s="1205"/>
      <c r="BO153" s="1205"/>
      <c r="BP153" s="1205"/>
      <c r="BQ153" s="1205"/>
      <c r="BR153" s="1205"/>
      <c r="BS153" s="1205"/>
    </row>
    <row r="154" ht="17.25" customHeight="1" spans="1:71">
      <c r="A154" s="1176" t="s">
        <v>637</v>
      </c>
      <c r="B154" s="1176" t="s">
        <v>637</v>
      </c>
      <c r="C154" s="1417" t="s">
        <v>865</v>
      </c>
      <c r="D154" s="1162" t="s">
        <v>998</v>
      </c>
      <c r="E154" s="1162" t="s">
        <v>995</v>
      </c>
      <c r="F154" s="1162" t="s">
        <v>1002</v>
      </c>
      <c r="G154" s="1162" t="s">
        <v>76</v>
      </c>
      <c r="H154" s="1162" t="s">
        <v>76</v>
      </c>
      <c r="I154" s="1162" t="s">
        <v>964</v>
      </c>
      <c r="J154" s="1162" t="s">
        <v>76</v>
      </c>
      <c r="K154" s="1240" t="s">
        <v>76</v>
      </c>
      <c r="M154"/>
      <c r="N154"/>
      <c r="O154"/>
      <c r="P154" t="s">
        <v>1000</v>
      </c>
      <c r="Q154" t="s">
        <v>1003</v>
      </c>
      <c r="R154"/>
      <c r="S154"/>
      <c r="T154"/>
      <c r="U154"/>
      <c r="V154"/>
      <c r="W154"/>
      <c r="X154"/>
      <c r="Y154"/>
      <c r="Z154"/>
      <c r="AA154" s="1330"/>
      <c r="AB154" s="1330"/>
      <c r="AC154" s="1330"/>
      <c r="AD154" s="1330"/>
      <c r="AE154" s="1363"/>
      <c r="AF154" s="1364"/>
      <c r="AG154" s="1364"/>
      <c r="AH154" s="1364"/>
      <c r="AI154" s="1364"/>
      <c r="AJ154" s="1364"/>
      <c r="AK154" s="1364"/>
      <c r="AL154" s="1364"/>
      <c r="AM154" s="1364"/>
      <c r="AN154" s="1364"/>
      <c r="AO154" s="1365"/>
      <c r="AP154" s="1365"/>
      <c r="AQ154" s="1364"/>
      <c r="AR154" s="1365"/>
      <c r="AS154" s="1365"/>
      <c r="AT154" s="1363"/>
      <c r="AU154" s="1330"/>
      <c r="AV154" s="1330"/>
      <c r="BC154" s="1205"/>
      <c r="BD154" s="1205"/>
      <c r="BE154" s="1205"/>
      <c r="BF154" s="1205"/>
      <c r="BG154" s="1205"/>
      <c r="BH154" s="1205"/>
      <c r="BI154" s="1205"/>
      <c r="BJ154" s="1205"/>
      <c r="BK154" s="1205"/>
      <c r="BL154" s="1205"/>
      <c r="BM154" s="1205"/>
      <c r="BN154" s="1205"/>
      <c r="BO154" s="1205"/>
      <c r="BP154" s="1205"/>
      <c r="BQ154" s="1205"/>
      <c r="BR154" s="1205"/>
      <c r="BS154" s="1205"/>
    </row>
    <row r="155" ht="17.25" customHeight="1" spans="1:71">
      <c r="A155" s="1176" t="s">
        <v>642</v>
      </c>
      <c r="B155" s="1176" t="s">
        <v>642</v>
      </c>
      <c r="C155" s="1417" t="s">
        <v>865</v>
      </c>
      <c r="D155" s="1162" t="s">
        <v>998</v>
      </c>
      <c r="E155" s="1162" t="s">
        <v>995</v>
      </c>
      <c r="F155" s="1162" t="s">
        <v>1004</v>
      </c>
      <c r="G155" s="1162" t="s">
        <v>76</v>
      </c>
      <c r="H155" s="1162" t="s">
        <v>76</v>
      </c>
      <c r="I155" s="1162" t="s">
        <v>964</v>
      </c>
      <c r="J155" s="1162" t="s">
        <v>76</v>
      </c>
      <c r="K155" s="1240" t="s">
        <v>76</v>
      </c>
      <c r="M155"/>
      <c r="N155"/>
      <c r="O155"/>
      <c r="P155" t="s">
        <v>1000</v>
      </c>
      <c r="Q155" t="s">
        <v>1005</v>
      </c>
      <c r="R155"/>
      <c r="S155"/>
      <c r="T155"/>
      <c r="U155"/>
      <c r="V155"/>
      <c r="W155"/>
      <c r="X155"/>
      <c r="Y155"/>
      <c r="Z155"/>
      <c r="AA155" s="1330"/>
      <c r="AB155" s="1330"/>
      <c r="AC155" s="1330"/>
      <c r="AD155" s="1330"/>
      <c r="AE155" s="1363"/>
      <c r="AF155" s="1364"/>
      <c r="AG155" s="1364"/>
      <c r="AH155" s="1364"/>
      <c r="AI155" s="1364"/>
      <c r="AJ155" s="1364"/>
      <c r="AK155" s="1364"/>
      <c r="AL155" s="1364"/>
      <c r="AM155" s="1364"/>
      <c r="AN155" s="1364"/>
      <c r="AO155" s="1365"/>
      <c r="AP155" s="1365"/>
      <c r="AQ155" s="1364"/>
      <c r="AR155" s="1364"/>
      <c r="AS155" s="1365"/>
      <c r="AT155" s="1363"/>
      <c r="AU155" s="1330"/>
      <c r="AV155" s="1330"/>
      <c r="BC155" s="1205"/>
      <c r="BD155" s="1205"/>
      <c r="BE155" s="1205"/>
      <c r="BF155" s="1205"/>
      <c r="BG155" s="1205"/>
      <c r="BH155" s="1205"/>
      <c r="BI155" s="1205"/>
      <c r="BJ155" s="1205"/>
      <c r="BK155" s="1205"/>
      <c r="BL155" s="1205"/>
      <c r="BM155" s="1205"/>
      <c r="BN155" s="1205"/>
      <c r="BO155" s="1205"/>
      <c r="BP155" s="1205"/>
      <c r="BQ155" s="1205"/>
      <c r="BR155" s="1205"/>
      <c r="BS155" s="1205"/>
    </row>
    <row r="156" ht="17.25" customHeight="1" spans="1:71">
      <c r="A156" s="1176" t="s">
        <v>645</v>
      </c>
      <c r="B156" s="1176" t="s">
        <v>645</v>
      </c>
      <c r="C156" s="1417" t="s">
        <v>936</v>
      </c>
      <c r="D156" s="1162" t="s">
        <v>998</v>
      </c>
      <c r="E156" s="1162" t="s">
        <v>995</v>
      </c>
      <c r="F156" s="1162" t="s">
        <v>1006</v>
      </c>
      <c r="G156" s="1162" t="s">
        <v>76</v>
      </c>
      <c r="H156" s="1162" t="s">
        <v>76</v>
      </c>
      <c r="I156" s="1162" t="s">
        <v>964</v>
      </c>
      <c r="J156" s="1162" t="s">
        <v>76</v>
      </c>
      <c r="K156" s="1240" t="s">
        <v>76</v>
      </c>
      <c r="M156"/>
      <c r="N156"/>
      <c r="O156"/>
      <c r="P156" t="s">
        <v>1007</v>
      </c>
      <c r="Q156" t="s">
        <v>1008</v>
      </c>
      <c r="R156"/>
      <c r="S156"/>
      <c r="T156"/>
      <c r="U156"/>
      <c r="V156"/>
      <c r="W156"/>
      <c r="X156"/>
      <c r="Y156"/>
      <c r="Z156"/>
      <c r="AA156" s="1330"/>
      <c r="AB156" s="1330"/>
      <c r="AC156" s="1330"/>
      <c r="AD156" s="1330"/>
      <c r="AE156" s="1363"/>
      <c r="AF156" s="1444"/>
      <c r="AG156" s="1444"/>
      <c r="AH156" s="1444"/>
      <c r="AI156" s="1444"/>
      <c r="AJ156" s="1365"/>
      <c r="AK156" s="1444"/>
      <c r="AL156" s="1364"/>
      <c r="AM156" s="1364"/>
      <c r="AN156" s="1364"/>
      <c r="AO156" s="1447"/>
      <c r="AP156" s="1365"/>
      <c r="AQ156" s="1444"/>
      <c r="AR156" s="1364"/>
      <c r="AS156" s="1365"/>
      <c r="AT156" s="1363"/>
      <c r="AU156" s="1330"/>
      <c r="AV156" s="1330"/>
      <c r="BC156" s="1205"/>
      <c r="BD156" s="1451"/>
      <c r="BE156" s="1451"/>
      <c r="BF156" s="1451"/>
      <c r="BG156" s="1451"/>
      <c r="BH156" s="1451"/>
      <c r="BI156" s="1451"/>
      <c r="BJ156" s="1205"/>
      <c r="BK156" s="1205"/>
      <c r="BL156" s="1205"/>
      <c r="BM156" s="1205"/>
      <c r="BN156" s="1205"/>
      <c r="BO156" s="1205"/>
      <c r="BP156" s="1205"/>
      <c r="BQ156" s="1205"/>
      <c r="BR156" s="1205"/>
      <c r="BS156" s="1205"/>
    </row>
    <row r="157" ht="17.25" customHeight="1" spans="1:71">
      <c r="A157" s="1176" t="s">
        <v>646</v>
      </c>
      <c r="B157" s="1176" t="s">
        <v>646</v>
      </c>
      <c r="C157" s="1417" t="s">
        <v>936</v>
      </c>
      <c r="D157" s="1162" t="s">
        <v>998</v>
      </c>
      <c r="E157" s="1162" t="s">
        <v>995</v>
      </c>
      <c r="F157" s="1162" t="s">
        <v>1009</v>
      </c>
      <c r="G157" s="1162" t="s">
        <v>76</v>
      </c>
      <c r="H157" s="1162" t="s">
        <v>76</v>
      </c>
      <c r="I157" s="1162" t="s">
        <v>964</v>
      </c>
      <c r="J157" s="1162" t="s">
        <v>76</v>
      </c>
      <c r="K157" s="1240" t="s">
        <v>76</v>
      </c>
      <c r="M157"/>
      <c r="N157"/>
      <c r="O157"/>
      <c r="P157" t="s">
        <v>1007</v>
      </c>
      <c r="Q157" t="s">
        <v>1010</v>
      </c>
      <c r="R157"/>
      <c r="S157"/>
      <c r="T157"/>
      <c r="U157"/>
      <c r="V157"/>
      <c r="W157"/>
      <c r="X157"/>
      <c r="Y157"/>
      <c r="Z157"/>
      <c r="AA157" s="1330"/>
      <c r="AB157" s="1330"/>
      <c r="AC157" s="1330"/>
      <c r="AD157" s="1330"/>
      <c r="AE157" s="1363"/>
      <c r="AF157" s="1365"/>
      <c r="AG157" s="1365"/>
      <c r="AH157" s="1365"/>
      <c r="AI157" s="1365"/>
      <c r="AJ157" s="1365"/>
      <c r="AK157" s="1365"/>
      <c r="AL157" s="1364"/>
      <c r="AM157" s="1364"/>
      <c r="AN157" s="1364"/>
      <c r="AO157" s="1364"/>
      <c r="AP157" s="1365"/>
      <c r="AQ157" s="1365"/>
      <c r="AR157" s="1364"/>
      <c r="AS157" s="1365"/>
      <c r="AT157" s="1363"/>
      <c r="AU157" s="1330"/>
      <c r="AV157" s="1330"/>
      <c r="BB157" s="1452"/>
      <c r="BC157" s="1453"/>
      <c r="BD157" s="1453"/>
      <c r="BE157" s="1453"/>
      <c r="BF157" s="1453"/>
      <c r="BG157" s="1453"/>
      <c r="BH157" s="1453"/>
      <c r="BI157" s="1453"/>
      <c r="BJ157" s="1205"/>
      <c r="BK157" s="1456"/>
      <c r="BL157" s="1456"/>
      <c r="BM157" s="1456"/>
      <c r="BN157" s="1456"/>
      <c r="BO157" s="1456"/>
      <c r="BP157" s="1456"/>
      <c r="BQ157" s="1456"/>
      <c r="BR157" s="1456"/>
      <c r="BS157" s="1205"/>
    </row>
    <row r="158" ht="17.25" customHeight="1" spans="1:71">
      <c r="A158" s="1176" t="s">
        <v>647</v>
      </c>
      <c r="B158" s="1176" t="s">
        <v>133</v>
      </c>
      <c r="C158" s="1417" t="s">
        <v>876</v>
      </c>
      <c r="D158" s="1162" t="s">
        <v>998</v>
      </c>
      <c r="E158" s="1162" t="s">
        <v>995</v>
      </c>
      <c r="F158" s="1162" t="s">
        <v>1011</v>
      </c>
      <c r="G158" s="1162" t="s">
        <v>76</v>
      </c>
      <c r="H158" s="1162" t="s">
        <v>76</v>
      </c>
      <c r="I158" s="1162" t="s">
        <v>964</v>
      </c>
      <c r="J158" s="1162" t="s">
        <v>76</v>
      </c>
      <c r="K158" s="1240" t="s">
        <v>76</v>
      </c>
      <c r="M158"/>
      <c r="N158"/>
      <c r="O158"/>
      <c r="P158" t="s">
        <v>1007</v>
      </c>
      <c r="Q158" t="s">
        <v>1012</v>
      </c>
      <c r="R158"/>
      <c r="S158"/>
      <c r="T158"/>
      <c r="U158"/>
      <c r="V158"/>
      <c r="W158"/>
      <c r="X158"/>
      <c r="Y158"/>
      <c r="Z158"/>
      <c r="AA158" s="1330"/>
      <c r="AB158" s="1330"/>
      <c r="AC158" s="1330"/>
      <c r="AD158" s="1330"/>
      <c r="AE158" s="1363"/>
      <c r="AF158" s="1365"/>
      <c r="AG158" s="1365"/>
      <c r="AH158" s="1365"/>
      <c r="AI158" s="1365"/>
      <c r="AJ158" s="1365"/>
      <c r="AK158" s="1365"/>
      <c r="AL158" s="1364"/>
      <c r="AM158" s="1364"/>
      <c r="AN158" s="1364"/>
      <c r="AO158" s="1364"/>
      <c r="AP158" s="1365"/>
      <c r="AQ158" s="1365"/>
      <c r="AR158" s="1364"/>
      <c r="AS158" s="1365"/>
      <c r="AT158" s="1363"/>
      <c r="AU158" s="1330"/>
      <c r="AV158" s="1330"/>
      <c r="BB158" s="1452"/>
      <c r="BC158" s="1453"/>
      <c r="BD158" s="1453"/>
      <c r="BE158" s="1453"/>
      <c r="BF158" s="1453"/>
      <c r="BG158" s="1453"/>
      <c r="BH158" s="1453"/>
      <c r="BI158" s="1453"/>
      <c r="BJ158" s="1456"/>
      <c r="BK158" s="1456"/>
      <c r="BL158" s="1456"/>
      <c r="BM158" s="1456"/>
      <c r="BN158" s="1456"/>
      <c r="BO158" s="1456"/>
      <c r="BP158" s="1456"/>
      <c r="BQ158" s="1456"/>
      <c r="BR158" s="1456"/>
      <c r="BS158" s="1205"/>
    </row>
    <row r="159" ht="17.25" customHeight="1" spans="2:71">
      <c r="B159" s="1176" t="s">
        <v>647</v>
      </c>
      <c r="C159" s="1417" t="s">
        <v>936</v>
      </c>
      <c r="D159" s="1162" t="s">
        <v>998</v>
      </c>
      <c r="E159" s="1162" t="s">
        <v>995</v>
      </c>
      <c r="F159" s="1162" t="s">
        <v>1013</v>
      </c>
      <c r="G159" s="1162" t="s">
        <v>76</v>
      </c>
      <c r="H159" s="1162" t="s">
        <v>76</v>
      </c>
      <c r="I159" s="1162" t="s">
        <v>964</v>
      </c>
      <c r="J159" s="1162" t="s">
        <v>76</v>
      </c>
      <c r="K159" s="1240" t="s">
        <v>76</v>
      </c>
      <c r="M159"/>
      <c r="N159"/>
      <c r="O159"/>
      <c r="P159" t="s">
        <v>1014</v>
      </c>
      <c r="Q159" t="s">
        <v>1015</v>
      </c>
      <c r="R159"/>
      <c r="S159"/>
      <c r="T159"/>
      <c r="U159"/>
      <c r="V159"/>
      <c r="W159"/>
      <c r="X159"/>
      <c r="Y159"/>
      <c r="Z159"/>
      <c r="AA159" s="1330"/>
      <c r="AB159" s="1330"/>
      <c r="AC159" s="1330"/>
      <c r="AD159" s="1330"/>
      <c r="AE159" s="1363"/>
      <c r="AF159" s="1365"/>
      <c r="AG159" s="1365"/>
      <c r="AH159" s="1365"/>
      <c r="AI159" s="1365"/>
      <c r="AJ159" s="1365"/>
      <c r="AK159" s="1365"/>
      <c r="AL159" s="1364"/>
      <c r="AM159" s="1364"/>
      <c r="AN159" s="1364"/>
      <c r="AO159" s="1364"/>
      <c r="AP159" s="1364"/>
      <c r="AQ159" s="1365"/>
      <c r="AR159" s="1364"/>
      <c r="AS159" s="1365"/>
      <c r="AT159" s="1363"/>
      <c r="AU159" s="1330"/>
      <c r="AV159" s="1330"/>
      <c r="BB159" s="1452"/>
      <c r="BC159" s="1453"/>
      <c r="BD159" s="1453"/>
      <c r="BE159" s="1453"/>
      <c r="BF159" s="1453"/>
      <c r="BG159" s="1453"/>
      <c r="BH159" s="1453"/>
      <c r="BI159" s="1453"/>
      <c r="BJ159" s="1456"/>
      <c r="BK159" s="1456"/>
      <c r="BL159" s="1456"/>
      <c r="BM159" s="1456"/>
      <c r="BN159" s="1456"/>
      <c r="BO159" s="1456"/>
      <c r="BP159" s="1456"/>
      <c r="BQ159" s="1456"/>
      <c r="BR159" s="1456"/>
      <c r="BS159" s="1205"/>
    </row>
    <row r="160" ht="17.25" customHeight="1" spans="2:71">
      <c r="B160" s="1176" t="s">
        <v>738</v>
      </c>
      <c r="C160" s="1417" t="s">
        <v>644</v>
      </c>
      <c r="D160" s="1162" t="s">
        <v>644</v>
      </c>
      <c r="E160" s="1162" t="s">
        <v>644</v>
      </c>
      <c r="F160" s="1162" t="s">
        <v>644</v>
      </c>
      <c r="G160" s="1162" t="s">
        <v>644</v>
      </c>
      <c r="H160" s="1162" t="s">
        <v>644</v>
      </c>
      <c r="I160" s="1162" t="s">
        <v>644</v>
      </c>
      <c r="J160" s="1162" t="s">
        <v>644</v>
      </c>
      <c r="K160" s="1240" t="s">
        <v>644</v>
      </c>
      <c r="M160"/>
      <c r="N160"/>
      <c r="O160"/>
      <c r="P160" t="s">
        <v>1014</v>
      </c>
      <c r="Q160" t="s">
        <v>1016</v>
      </c>
      <c r="R160"/>
      <c r="S160"/>
      <c r="T160"/>
      <c r="U160"/>
      <c r="V160"/>
      <c r="W160"/>
      <c r="X160"/>
      <c r="Y160"/>
      <c r="Z160"/>
      <c r="AA160" s="1330"/>
      <c r="AB160" s="1330"/>
      <c r="AC160" s="1330"/>
      <c r="AD160" s="1330"/>
      <c r="AE160" s="1363"/>
      <c r="AF160" s="1365"/>
      <c r="AG160" s="1365"/>
      <c r="AH160" s="1365"/>
      <c r="AI160" s="1365"/>
      <c r="AJ160" s="1365"/>
      <c r="AK160" s="1365"/>
      <c r="AL160" s="1364"/>
      <c r="AM160" s="1364"/>
      <c r="AN160" s="1364"/>
      <c r="AO160" s="1364"/>
      <c r="AP160" s="1364"/>
      <c r="AQ160" s="1365"/>
      <c r="AR160" s="1364"/>
      <c r="AS160" s="1365"/>
      <c r="AT160" s="1363"/>
      <c r="AU160" s="1330"/>
      <c r="AV160" s="1330"/>
      <c r="BB160" s="1452"/>
      <c r="BC160" s="1453"/>
      <c r="BD160" s="1453"/>
      <c r="BE160" s="1453"/>
      <c r="BF160" s="1453"/>
      <c r="BG160" s="1453"/>
      <c r="BH160" s="1453"/>
      <c r="BI160" s="1453"/>
      <c r="BJ160" s="1456"/>
      <c r="BK160" s="1456"/>
      <c r="BL160" s="1456"/>
      <c r="BM160" s="1456"/>
      <c r="BN160" s="1456"/>
      <c r="BO160" s="1456"/>
      <c r="BP160" s="1456"/>
      <c r="BQ160" s="1456"/>
      <c r="BR160" s="1456"/>
      <c r="BS160" s="1205"/>
    </row>
    <row r="161" ht="17.25" customHeight="1" spans="2:71">
      <c r="B161" s="1309" t="s">
        <v>143</v>
      </c>
      <c r="C161" s="1417" t="s">
        <v>1017</v>
      </c>
      <c r="D161" s="1162" t="s">
        <v>76</v>
      </c>
      <c r="E161" s="1162" t="s">
        <v>1018</v>
      </c>
      <c r="F161" s="1162" t="s">
        <v>1019</v>
      </c>
      <c r="G161" s="1162" t="s">
        <v>76</v>
      </c>
      <c r="H161" s="1162" t="s">
        <v>76</v>
      </c>
      <c r="I161" s="1162" t="s">
        <v>1020</v>
      </c>
      <c r="J161" s="1162" t="s">
        <v>1021</v>
      </c>
      <c r="K161" s="1240" t="s">
        <v>1022</v>
      </c>
      <c r="M161"/>
      <c r="N161"/>
      <c r="O161"/>
      <c r="P161" t="s">
        <v>1014</v>
      </c>
      <c r="Q161" t="s">
        <v>1023</v>
      </c>
      <c r="R161"/>
      <c r="S161"/>
      <c r="T161"/>
      <c r="U161"/>
      <c r="V161"/>
      <c r="W161"/>
      <c r="X161"/>
      <c r="Y161"/>
      <c r="Z161"/>
      <c r="AA161" s="1330"/>
      <c r="AB161" s="1330"/>
      <c r="AC161" s="1330"/>
      <c r="AD161" s="1330"/>
      <c r="AE161" s="1363"/>
      <c r="AF161" s="1365"/>
      <c r="AG161" s="1365"/>
      <c r="AH161" s="1365"/>
      <c r="AI161" s="1365"/>
      <c r="AJ161" s="1365"/>
      <c r="AK161" s="1365"/>
      <c r="AL161" s="1364"/>
      <c r="AM161" s="1364"/>
      <c r="AN161" s="1364"/>
      <c r="AO161" s="1364"/>
      <c r="AP161" s="1364"/>
      <c r="AQ161" s="1365"/>
      <c r="AR161" s="1364"/>
      <c r="AS161" s="1365"/>
      <c r="AT161" s="1363"/>
      <c r="AU161" s="1330"/>
      <c r="AV161" s="1330"/>
      <c r="BB161" s="1452"/>
      <c r="BC161" s="1453"/>
      <c r="BD161" s="1453"/>
      <c r="BE161" s="1453"/>
      <c r="BF161" s="1453"/>
      <c r="BG161" s="1453"/>
      <c r="BH161" s="1453"/>
      <c r="BI161" s="1453"/>
      <c r="BJ161" s="1456"/>
      <c r="BK161" s="1456"/>
      <c r="BL161" s="1456"/>
      <c r="BM161" s="1456"/>
      <c r="BN161" s="1456"/>
      <c r="BO161" s="1456"/>
      <c r="BP161" s="1456"/>
      <c r="BQ161" s="1456"/>
      <c r="BR161" s="1456"/>
      <c r="BS161" s="1205"/>
    </row>
    <row r="162" ht="17.25" customHeight="1" spans="2:71">
      <c r="B162" s="1309" t="s">
        <v>145</v>
      </c>
      <c r="C162" s="1417" t="s">
        <v>721</v>
      </c>
      <c r="D162" s="1162" t="s">
        <v>76</v>
      </c>
      <c r="E162" s="1162" t="s">
        <v>76</v>
      </c>
      <c r="F162" s="1162" t="s">
        <v>1024</v>
      </c>
      <c r="G162" s="1162" t="s">
        <v>1025</v>
      </c>
      <c r="H162" s="1162" t="s">
        <v>1026</v>
      </c>
      <c r="I162" s="1162" t="s">
        <v>1027</v>
      </c>
      <c r="J162" s="1162" t="s">
        <v>1028</v>
      </c>
      <c r="K162" s="1240" t="s">
        <v>1029</v>
      </c>
      <c r="M162"/>
      <c r="N162"/>
      <c r="O162"/>
      <c r="P162" t="s">
        <v>1030</v>
      </c>
      <c r="Q162" t="s">
        <v>1031</v>
      </c>
      <c r="R162"/>
      <c r="S162"/>
      <c r="T162"/>
      <c r="U162"/>
      <c r="V162"/>
      <c r="W162"/>
      <c r="X162"/>
      <c r="Y162"/>
      <c r="Z162"/>
      <c r="AA162" s="1330"/>
      <c r="AB162" s="1330"/>
      <c r="AC162" s="1330"/>
      <c r="AD162" s="1330"/>
      <c r="AE162" s="1363"/>
      <c r="AF162" s="1365"/>
      <c r="AG162" s="1365"/>
      <c r="AH162" s="1365"/>
      <c r="AI162" s="1365"/>
      <c r="AJ162" s="1365"/>
      <c r="AK162" s="1365"/>
      <c r="AL162" s="1364"/>
      <c r="AM162" s="1364"/>
      <c r="AN162" s="1364"/>
      <c r="AO162" s="1364"/>
      <c r="AP162" s="1364"/>
      <c r="AQ162" s="1365"/>
      <c r="AR162" s="1364"/>
      <c r="AS162" s="1365"/>
      <c r="AT162" s="1363"/>
      <c r="AU162" s="1330"/>
      <c r="AV162" s="1330"/>
      <c r="BB162" s="1452"/>
      <c r="BC162" s="1453"/>
      <c r="BD162" s="1453"/>
      <c r="BE162" s="1453"/>
      <c r="BF162" s="1453"/>
      <c r="BG162" s="1453"/>
      <c r="BH162" s="1453"/>
      <c r="BI162" s="1453"/>
      <c r="BJ162" s="1456"/>
      <c r="BK162" s="1456"/>
      <c r="BL162" s="1456"/>
      <c r="BM162" s="1456"/>
      <c r="BN162" s="1456"/>
      <c r="BO162" s="1456"/>
      <c r="BP162" s="1456"/>
      <c r="BQ162" s="1456"/>
      <c r="BR162" s="1456"/>
      <c r="BS162" s="1205"/>
    </row>
    <row r="163" ht="17.25" customHeight="1" spans="2:71">
      <c r="B163" s="1309" t="s">
        <v>147</v>
      </c>
      <c r="C163" s="1417" t="s">
        <v>865</v>
      </c>
      <c r="D163" s="1162" t="s">
        <v>866</v>
      </c>
      <c r="E163" s="1162" t="s">
        <v>867</v>
      </c>
      <c r="F163" s="1162" t="s">
        <v>1032</v>
      </c>
      <c r="G163" s="1162" t="s">
        <v>869</v>
      </c>
      <c r="H163" s="1162" t="s">
        <v>870</v>
      </c>
      <c r="I163" s="1394" t="s">
        <v>1033</v>
      </c>
      <c r="J163" s="1162" t="s">
        <v>1034</v>
      </c>
      <c r="K163" s="1240" t="s">
        <v>1035</v>
      </c>
      <c r="M163"/>
      <c r="N163"/>
      <c r="O163"/>
      <c r="P163" t="s">
        <v>1030</v>
      </c>
      <c r="Q163" t="s">
        <v>1036</v>
      </c>
      <c r="R163"/>
      <c r="S163"/>
      <c r="T163"/>
      <c r="U163"/>
      <c r="V163"/>
      <c r="W163"/>
      <c r="X163"/>
      <c r="Y163"/>
      <c r="Z163"/>
      <c r="AA163" s="1330"/>
      <c r="AB163" s="1330"/>
      <c r="AC163" s="1330"/>
      <c r="AD163" s="1330"/>
      <c r="AE163" s="1363"/>
      <c r="AF163" s="1365"/>
      <c r="AG163" s="1365"/>
      <c r="AH163" s="1365"/>
      <c r="AI163" s="1365"/>
      <c r="AJ163" s="1365"/>
      <c r="AK163" s="1365"/>
      <c r="AL163" s="1364"/>
      <c r="AM163" s="1364"/>
      <c r="AN163" s="1364"/>
      <c r="AO163" s="1364"/>
      <c r="AP163" s="1364"/>
      <c r="AQ163" s="1365"/>
      <c r="AR163" s="1364"/>
      <c r="AS163" s="1365"/>
      <c r="AT163" s="1363"/>
      <c r="AU163" s="1448"/>
      <c r="AV163" s="1449"/>
      <c r="AW163" s="1454"/>
      <c r="AX163" s="1454"/>
      <c r="AY163" s="1454"/>
      <c r="AZ163" s="1454"/>
      <c r="BA163" s="1454"/>
      <c r="BB163" s="1455"/>
      <c r="BC163" s="1453"/>
      <c r="BD163" s="1453"/>
      <c r="BE163" s="1453"/>
      <c r="BF163" s="1453"/>
      <c r="BG163" s="1453"/>
      <c r="BH163" s="1453"/>
      <c r="BI163" s="1453"/>
      <c r="BJ163" s="1456"/>
      <c r="BK163" s="1456"/>
      <c r="BL163" s="1456"/>
      <c r="BM163" s="1456"/>
      <c r="BN163" s="1456"/>
      <c r="BO163" s="1456"/>
      <c r="BP163" s="1456"/>
      <c r="BQ163" s="1456"/>
      <c r="BR163" s="1456"/>
      <c r="BS163" s="1205"/>
    </row>
    <row r="164" ht="15.6" customHeight="1" spans="2:71">
      <c r="B164" s="1309" t="s">
        <v>150</v>
      </c>
      <c r="C164" s="1417" t="s">
        <v>876</v>
      </c>
      <c r="D164" s="1162" t="s">
        <v>76</v>
      </c>
      <c r="E164" s="1162" t="s">
        <v>76</v>
      </c>
      <c r="F164" s="1162" t="s">
        <v>1037</v>
      </c>
      <c r="G164" s="1162" t="s">
        <v>1038</v>
      </c>
      <c r="H164" s="1162" t="s">
        <v>1039</v>
      </c>
      <c r="I164" s="1162" t="s">
        <v>1040</v>
      </c>
      <c r="J164" s="1162" t="s">
        <v>1041</v>
      </c>
      <c r="K164" s="1240" t="s">
        <v>1042</v>
      </c>
      <c r="M164"/>
      <c r="N164"/>
      <c r="O164"/>
      <c r="P164" t="s">
        <v>1030</v>
      </c>
      <c r="Q164" t="s">
        <v>1043</v>
      </c>
      <c r="R164"/>
      <c r="S164"/>
      <c r="T164"/>
      <c r="U164"/>
      <c r="V164"/>
      <c r="W164"/>
      <c r="X164"/>
      <c r="Y164"/>
      <c r="Z164"/>
      <c r="AA164" s="1330"/>
      <c r="AB164" s="1330"/>
      <c r="AC164" s="1330"/>
      <c r="AD164" s="1330"/>
      <c r="AE164" s="1365"/>
      <c r="AF164" s="1365"/>
      <c r="AG164" s="1365"/>
      <c r="AH164" s="1365"/>
      <c r="AI164" s="1365"/>
      <c r="AJ164" s="1365"/>
      <c r="AK164" s="1365"/>
      <c r="AL164" s="1364"/>
      <c r="AM164" s="1446"/>
      <c r="AN164" s="1365"/>
      <c r="AO164" s="1450"/>
      <c r="AP164" s="1364"/>
      <c r="AQ164" s="1365"/>
      <c r="AR164" s="1364"/>
      <c r="AS164" s="1365"/>
      <c r="AT164" s="1365"/>
      <c r="AU164" s="1330"/>
      <c r="AV164"/>
      <c r="AW164"/>
      <c r="AX164"/>
      <c r="AY164"/>
      <c r="AZ164"/>
      <c r="BA164"/>
      <c r="BB164"/>
      <c r="BC164"/>
      <c r="BD164"/>
      <c r="BE164"/>
      <c r="BF164" s="1205"/>
      <c r="BG164" s="1205"/>
      <c r="BH164" s="1205"/>
      <c r="BI164" s="1205"/>
      <c r="BJ164" s="1205"/>
      <c r="BK164" s="1205"/>
      <c r="BL164" s="1205"/>
      <c r="BM164" s="1205"/>
      <c r="BN164" s="1205"/>
      <c r="BO164" s="1205"/>
      <c r="BP164" s="1205"/>
      <c r="BQ164" s="1205"/>
      <c r="BR164" s="1205"/>
      <c r="BS164" s="1205"/>
    </row>
    <row r="165" ht="15.6" customHeight="1" spans="2:71">
      <c r="B165" s="1309" t="s">
        <v>1044</v>
      </c>
      <c r="C165" s="1417" t="s">
        <v>712</v>
      </c>
      <c r="D165" s="1162" t="s">
        <v>742</v>
      </c>
      <c r="E165" s="1162" t="s">
        <v>76</v>
      </c>
      <c r="F165" s="1162" t="s">
        <v>1045</v>
      </c>
      <c r="G165" s="1162" t="s">
        <v>1046</v>
      </c>
      <c r="H165" s="1162" t="s">
        <v>1047</v>
      </c>
      <c r="I165" s="1162" t="s">
        <v>1048</v>
      </c>
      <c r="J165" s="1162" t="s">
        <v>1049</v>
      </c>
      <c r="K165" s="1240" t="s">
        <v>1050</v>
      </c>
      <c r="M165"/>
      <c r="N165"/>
      <c r="O165"/>
      <c r="P165" t="s">
        <v>1051</v>
      </c>
      <c r="Q165" t="s">
        <v>1052</v>
      </c>
      <c r="R165"/>
      <c r="S165"/>
      <c r="T165"/>
      <c r="U165"/>
      <c r="V165"/>
      <c r="W165"/>
      <c r="X165"/>
      <c r="Y165"/>
      <c r="Z165"/>
      <c r="AA165" s="1330"/>
      <c r="AB165" s="1330"/>
      <c r="AC165" s="1330"/>
      <c r="AD165" s="1330"/>
      <c r="AE165" s="1330"/>
      <c r="AF165" s="1330"/>
      <c r="AG165" s="1330"/>
      <c r="AH165" s="1341"/>
      <c r="AI165" s="1330"/>
      <c r="AJ165" s="1330"/>
      <c r="AK165" s="1330"/>
      <c r="AL165" s="1364"/>
      <c r="AM165" s="1341"/>
      <c r="AN165" s="1365"/>
      <c r="AO165" s="1341"/>
      <c r="AP165" s="1364"/>
      <c r="AQ165" s="1365"/>
      <c r="AR165" s="1330"/>
      <c r="AS165" s="1365"/>
      <c r="AT165" s="1330"/>
      <c r="AU165" s="1330"/>
      <c r="AV165"/>
      <c r="AW165"/>
      <c r="AX165"/>
      <c r="AY165"/>
      <c r="AZ165"/>
      <c r="BA165"/>
      <c r="BB165"/>
      <c r="BC165"/>
      <c r="BD165"/>
      <c r="BE165"/>
      <c r="BF165" s="1205"/>
      <c r="BG165" s="1205"/>
      <c r="BH165" s="1205"/>
      <c r="BI165" s="1205"/>
      <c r="BJ165" s="1205"/>
      <c r="BK165" s="1205"/>
      <c r="BL165" s="1205"/>
      <c r="BM165" s="1205"/>
      <c r="BN165" s="1205"/>
      <c r="BO165" s="1205"/>
      <c r="BP165" s="1205"/>
      <c r="BQ165" s="1205"/>
      <c r="BR165" s="1205"/>
      <c r="BS165" s="1205"/>
    </row>
    <row r="166" ht="15.6" customHeight="1" spans="2:71">
      <c r="B166" s="1309" t="s">
        <v>163</v>
      </c>
      <c r="C166" s="1417" t="s">
        <v>1053</v>
      </c>
      <c r="D166" s="1162" t="s">
        <v>76</v>
      </c>
      <c r="E166" s="1162" t="s">
        <v>76</v>
      </c>
      <c r="F166" s="1162" t="s">
        <v>1054</v>
      </c>
      <c r="G166" s="1162" t="s">
        <v>76</v>
      </c>
      <c r="H166" s="1162" t="s">
        <v>76</v>
      </c>
      <c r="I166" s="1162" t="s">
        <v>1048</v>
      </c>
      <c r="J166" s="1162" t="s">
        <v>1049</v>
      </c>
      <c r="K166" s="1240" t="s">
        <v>1050</v>
      </c>
      <c r="M166"/>
      <c r="N166"/>
      <c r="O166"/>
      <c r="P166" t="s">
        <v>1051</v>
      </c>
      <c r="Q166" t="s">
        <v>1055</v>
      </c>
      <c r="R166"/>
      <c r="S166"/>
      <c r="T166"/>
      <c r="U166"/>
      <c r="V166"/>
      <c r="W166"/>
      <c r="X166"/>
      <c r="Y166"/>
      <c r="Z166"/>
      <c r="AA166" s="1330"/>
      <c r="AB166" s="1330"/>
      <c r="AC166" s="1330"/>
      <c r="AD166" s="1330"/>
      <c r="AE166" s="1330"/>
      <c r="AF166" s="1364"/>
      <c r="AG166" s="1330"/>
      <c r="AH166" s="1330"/>
      <c r="AI166" s="1330"/>
      <c r="AJ166" s="1330"/>
      <c r="AK166" s="1330"/>
      <c r="AL166" s="1364"/>
      <c r="AM166" s="1312"/>
      <c r="AN166" s="1365"/>
      <c r="AO166" s="1364"/>
      <c r="AP166" s="1364"/>
      <c r="AQ166" s="1365"/>
      <c r="AR166" s="1330"/>
      <c r="AS166" s="1365"/>
      <c r="AT166" s="1330"/>
      <c r="AU166" s="1330"/>
      <c r="AV166"/>
      <c r="AW166"/>
      <c r="AX166"/>
      <c r="AY166"/>
      <c r="AZ166"/>
      <c r="BA166"/>
      <c r="BB166"/>
      <c r="BC166"/>
      <c r="BD166"/>
      <c r="BE166"/>
      <c r="BF166" s="1205"/>
      <c r="BG166" s="1205"/>
      <c r="BH166" s="1205"/>
      <c r="BI166" s="1205"/>
      <c r="BJ166" s="1205"/>
      <c r="BK166" s="1205"/>
      <c r="BL166" s="1205"/>
      <c r="BM166" s="1205"/>
      <c r="BN166" s="1205"/>
      <c r="BO166" s="1205"/>
      <c r="BP166" s="1205"/>
      <c r="BQ166" s="1205"/>
      <c r="BR166" s="1205"/>
      <c r="BS166" s="1205"/>
    </row>
    <row r="167" ht="15.6" customHeight="1" spans="2:57">
      <c r="B167" s="1309" t="s">
        <v>60</v>
      </c>
      <c r="C167" s="1417" t="s">
        <v>721</v>
      </c>
      <c r="D167" s="1162" t="s">
        <v>76</v>
      </c>
      <c r="E167" s="1162" t="s">
        <v>76</v>
      </c>
      <c r="F167" s="1162" t="s">
        <v>1056</v>
      </c>
      <c r="G167" s="1162" t="s">
        <v>1057</v>
      </c>
      <c r="H167" s="1162" t="s">
        <v>1058</v>
      </c>
      <c r="I167" s="1162" t="s">
        <v>1059</v>
      </c>
      <c r="J167" s="1162" t="s">
        <v>1060</v>
      </c>
      <c r="K167" s="1240" t="s">
        <v>1061</v>
      </c>
      <c r="M167"/>
      <c r="N167"/>
      <c r="O167"/>
      <c r="P167" t="s">
        <v>1051</v>
      </c>
      <c r="Q167" t="s">
        <v>1062</v>
      </c>
      <c r="R167"/>
      <c r="S167"/>
      <c r="T167"/>
      <c r="U167"/>
      <c r="V167"/>
      <c r="W167"/>
      <c r="X167"/>
      <c r="Y167"/>
      <c r="Z167"/>
      <c r="AA167" s="1330"/>
      <c r="AB167" s="1330"/>
      <c r="AC167" s="1330"/>
      <c r="AD167" s="1330"/>
      <c r="AE167" s="1330"/>
      <c r="AF167" s="1330"/>
      <c r="AG167" s="1330"/>
      <c r="AH167" s="1330"/>
      <c r="AI167" s="1330"/>
      <c r="AJ167" s="1330"/>
      <c r="AK167" s="1330"/>
      <c r="AL167" s="1364"/>
      <c r="AM167" s="1312"/>
      <c r="AN167" s="1364"/>
      <c r="AO167" s="1341"/>
      <c r="AP167" s="1364"/>
      <c r="AQ167" s="1365"/>
      <c r="AR167" s="1330"/>
      <c r="AS167" s="1365"/>
      <c r="AT167" s="1363"/>
      <c r="AU167" s="1330"/>
      <c r="AV167"/>
      <c r="AW167"/>
      <c r="AX167"/>
      <c r="AY167"/>
      <c r="AZ167"/>
      <c r="BA167"/>
      <c r="BB167"/>
      <c r="BC167"/>
      <c r="BD167"/>
      <c r="BE167"/>
    </row>
    <row r="168" ht="15.6" customHeight="1" spans="2:57">
      <c r="B168" s="1309" t="s">
        <v>62</v>
      </c>
      <c r="C168" s="1417" t="s">
        <v>876</v>
      </c>
      <c r="D168" s="1162" t="s">
        <v>76</v>
      </c>
      <c r="E168" s="1162" t="s">
        <v>76</v>
      </c>
      <c r="F168" s="1394" t="s">
        <v>1063</v>
      </c>
      <c r="G168" s="1162" t="s">
        <v>1057</v>
      </c>
      <c r="H168" s="1162" t="s">
        <v>1058</v>
      </c>
      <c r="I168" s="1162" t="s">
        <v>1064</v>
      </c>
      <c r="J168" s="1162" t="s">
        <v>1065</v>
      </c>
      <c r="K168" s="1240" t="s">
        <v>1066</v>
      </c>
      <c r="M168"/>
      <c r="N168"/>
      <c r="O168"/>
      <c r="P168" t="s">
        <v>151</v>
      </c>
      <c r="Q168" t="s">
        <v>1067</v>
      </c>
      <c r="R168"/>
      <c r="S168"/>
      <c r="T168"/>
      <c r="U168"/>
      <c r="V168"/>
      <c r="W168"/>
      <c r="X168"/>
      <c r="Y168"/>
      <c r="Z168"/>
      <c r="AA168" s="1330"/>
      <c r="AB168" s="1330"/>
      <c r="AC168" s="1330"/>
      <c r="AD168" s="1330"/>
      <c r="AE168" s="1330"/>
      <c r="AF168" s="1330"/>
      <c r="AG168" s="1330"/>
      <c r="AH168" s="1330"/>
      <c r="AI168" s="1330"/>
      <c r="AJ168" s="1330"/>
      <c r="AK168" s="1330"/>
      <c r="AL168" s="1364"/>
      <c r="AM168" s="1312"/>
      <c r="AN168" s="1364"/>
      <c r="AO168" s="1341"/>
      <c r="AP168" s="1364"/>
      <c r="AQ168" s="1330"/>
      <c r="AR168" s="1330"/>
      <c r="AS168" s="1330"/>
      <c r="AT168" s="1363"/>
      <c r="AU168" s="1330"/>
      <c r="AV168"/>
      <c r="AW168"/>
      <c r="AX168"/>
      <c r="AY168"/>
      <c r="AZ168"/>
      <c r="BA168"/>
      <c r="BB168"/>
      <c r="BC168"/>
      <c r="BD168"/>
      <c r="BE168"/>
    </row>
    <row r="169" ht="15.6" customHeight="1" spans="2:57">
      <c r="B169" s="1309" t="s">
        <v>66</v>
      </c>
      <c r="C169" s="1417" t="s">
        <v>876</v>
      </c>
      <c r="D169" s="1162" t="s">
        <v>76</v>
      </c>
      <c r="E169" s="1162" t="s">
        <v>1068</v>
      </c>
      <c r="F169" s="1207" t="s">
        <v>1069</v>
      </c>
      <c r="G169" s="1207" t="s">
        <v>1070</v>
      </c>
      <c r="H169" s="1207" t="s">
        <v>1071</v>
      </c>
      <c r="I169" s="1207" t="s">
        <v>1072</v>
      </c>
      <c r="J169" s="1207" t="s">
        <v>1073</v>
      </c>
      <c r="K169" s="1175" t="s">
        <v>1074</v>
      </c>
      <c r="M169"/>
      <c r="N169"/>
      <c r="O169"/>
      <c r="P169" t="s">
        <v>151</v>
      </c>
      <c r="Q169" t="s">
        <v>1075</v>
      </c>
      <c r="R169"/>
      <c r="S169"/>
      <c r="T169"/>
      <c r="U169"/>
      <c r="V169"/>
      <c r="W169"/>
      <c r="X169"/>
      <c r="Y169"/>
      <c r="Z169"/>
      <c r="AA169" s="1330"/>
      <c r="AB169" s="1330"/>
      <c r="AC169" s="1330"/>
      <c r="AD169" s="1330"/>
      <c r="AE169" s="1365"/>
      <c r="AF169" s="1330"/>
      <c r="AG169" s="1330"/>
      <c r="AH169" s="1330"/>
      <c r="AI169" s="1330"/>
      <c r="AJ169" s="1330"/>
      <c r="AK169" s="1330"/>
      <c r="AL169" s="1330"/>
      <c r="AM169" s="1312"/>
      <c r="AN169" s="1364"/>
      <c r="AO169" s="1330"/>
      <c r="AP169" s="1330"/>
      <c r="AQ169" s="1330"/>
      <c r="AR169" s="1330"/>
      <c r="AS169" s="1330"/>
      <c r="AT169" s="1363"/>
      <c r="AU169" s="1330"/>
      <c r="AV169"/>
      <c r="AW169"/>
      <c r="AX169"/>
      <c r="AY169"/>
      <c r="AZ169"/>
      <c r="BA169"/>
      <c r="BB169"/>
      <c r="BC169"/>
      <c r="BD169"/>
      <c r="BE169"/>
    </row>
    <row r="170" ht="15.6" customHeight="1" spans="2:57">
      <c r="B170" s="1309" t="s">
        <v>69</v>
      </c>
      <c r="C170" s="1417" t="s">
        <v>712</v>
      </c>
      <c r="D170" s="1162" t="s">
        <v>76</v>
      </c>
      <c r="E170" s="1162" t="s">
        <v>76</v>
      </c>
      <c r="F170" s="1207" t="s">
        <v>1076</v>
      </c>
      <c r="G170" s="1207" t="s">
        <v>1077</v>
      </c>
      <c r="H170" s="1207" t="s">
        <v>1078</v>
      </c>
      <c r="I170" s="1207" t="s">
        <v>1079</v>
      </c>
      <c r="J170" s="1443" t="s">
        <v>1080</v>
      </c>
      <c r="K170" s="1175" t="s">
        <v>1081</v>
      </c>
      <c r="M170"/>
      <c r="N170"/>
      <c r="O170"/>
      <c r="P170" t="s">
        <v>151</v>
      </c>
      <c r="Q170" t="s">
        <v>1082</v>
      </c>
      <c r="R170"/>
      <c r="S170"/>
      <c r="T170"/>
      <c r="U170"/>
      <c r="V170"/>
      <c r="W170"/>
      <c r="X170"/>
      <c r="Y170"/>
      <c r="Z170"/>
      <c r="AA170" s="1330"/>
      <c r="AB170" s="1330"/>
      <c r="AC170" s="1330"/>
      <c r="AD170" s="1330"/>
      <c r="AE170" s="1330"/>
      <c r="AF170" s="1330"/>
      <c r="AG170" s="1330"/>
      <c r="AH170" s="1330"/>
      <c r="AI170" s="1330"/>
      <c r="AJ170" s="1330"/>
      <c r="AK170" s="1330"/>
      <c r="AL170" s="1330"/>
      <c r="AM170" s="1312"/>
      <c r="AN170" s="1364"/>
      <c r="AO170" s="1330"/>
      <c r="AP170" s="1330"/>
      <c r="AQ170" s="1330"/>
      <c r="AR170" s="1330"/>
      <c r="AS170" s="1330"/>
      <c r="AT170" s="1363"/>
      <c r="AU170" s="1330"/>
      <c r="AV170"/>
      <c r="AW170"/>
      <c r="AX170"/>
      <c r="AY170"/>
      <c r="AZ170"/>
      <c r="BA170"/>
      <c r="BB170"/>
      <c r="BC170"/>
      <c r="BD170"/>
      <c r="BE170"/>
    </row>
    <row r="171" ht="15.6" customHeight="1" spans="2:57">
      <c r="B171" s="1309" t="s">
        <v>71</v>
      </c>
      <c r="C171" s="1417" t="s">
        <v>936</v>
      </c>
      <c r="D171" s="1162" t="s">
        <v>76</v>
      </c>
      <c r="E171" s="1162" t="s">
        <v>76</v>
      </c>
      <c r="F171" s="1207" t="s">
        <v>1083</v>
      </c>
      <c r="G171" s="1207" t="s">
        <v>1084</v>
      </c>
      <c r="H171" s="1207" t="s">
        <v>1084</v>
      </c>
      <c r="I171" s="1207" t="s">
        <v>1085</v>
      </c>
      <c r="J171" s="1443" t="s">
        <v>1086</v>
      </c>
      <c r="K171" s="1175" t="s">
        <v>1087</v>
      </c>
      <c r="M171"/>
      <c r="N171"/>
      <c r="O171"/>
      <c r="P171" t="s">
        <v>1088</v>
      </c>
      <c r="Q171" t="s">
        <v>1089</v>
      </c>
      <c r="R171"/>
      <c r="S171"/>
      <c r="T171"/>
      <c r="U171"/>
      <c r="V171"/>
      <c r="W171"/>
      <c r="X171"/>
      <c r="Y171"/>
      <c r="Z171"/>
      <c r="AA171" s="1330"/>
      <c r="AB171" s="1330"/>
      <c r="AC171" s="1330"/>
      <c r="AD171" s="1330"/>
      <c r="AE171" s="1330"/>
      <c r="AF171" s="1330"/>
      <c r="AG171" s="1330"/>
      <c r="AH171" s="1330"/>
      <c r="AI171" s="1330"/>
      <c r="AJ171" s="1330"/>
      <c r="AK171" s="1330"/>
      <c r="AL171" s="1330"/>
      <c r="AM171" s="1312"/>
      <c r="AN171" s="1365"/>
      <c r="AO171" s="1330"/>
      <c r="AP171" s="1330"/>
      <c r="AQ171" s="1330"/>
      <c r="AR171" s="1330"/>
      <c r="AS171" s="1330"/>
      <c r="AT171" s="1363"/>
      <c r="AU171" s="1330"/>
      <c r="AV171"/>
      <c r="AW171"/>
      <c r="AX171"/>
      <c r="AY171"/>
      <c r="AZ171"/>
      <c r="BA171"/>
      <c r="BB171"/>
      <c r="BC171"/>
      <c r="BD171"/>
      <c r="BE171"/>
    </row>
    <row r="172" ht="15.6" customHeight="1" spans="2:57">
      <c r="B172" s="1309" t="s">
        <v>73</v>
      </c>
      <c r="C172" s="1417" t="s">
        <v>712</v>
      </c>
      <c r="D172" s="1162" t="s">
        <v>76</v>
      </c>
      <c r="E172" s="1162" t="s">
        <v>76</v>
      </c>
      <c r="F172" s="1207" t="s">
        <v>1090</v>
      </c>
      <c r="G172" s="1207" t="s">
        <v>1091</v>
      </c>
      <c r="H172" s="1207" t="s">
        <v>1092</v>
      </c>
      <c r="I172" s="1207" t="s">
        <v>1093</v>
      </c>
      <c r="J172" s="1443" t="s">
        <v>1094</v>
      </c>
      <c r="K172" s="1175" t="s">
        <v>1095</v>
      </c>
      <c r="M172"/>
      <c r="N172"/>
      <c r="O172"/>
      <c r="P172" t="s">
        <v>1088</v>
      </c>
      <c r="Q172" t="s">
        <v>1096</v>
      </c>
      <c r="R172"/>
      <c r="S172"/>
      <c r="T172"/>
      <c r="U172"/>
      <c r="V172"/>
      <c r="W172"/>
      <c r="X172"/>
      <c r="Y172"/>
      <c r="Z172"/>
      <c r="AA172" s="1330"/>
      <c r="AB172" s="1330"/>
      <c r="AC172" s="1330"/>
      <c r="AD172" s="1330"/>
      <c r="AE172" s="1330"/>
      <c r="AF172" s="1330"/>
      <c r="AG172" s="1330"/>
      <c r="AH172" s="1330"/>
      <c r="AI172" s="1330"/>
      <c r="AJ172" s="1330"/>
      <c r="AK172" s="1330"/>
      <c r="AL172" s="1330"/>
      <c r="AM172" s="1312"/>
      <c r="AN172" s="1365"/>
      <c r="AO172" s="1330"/>
      <c r="AP172" s="1330"/>
      <c r="AQ172" s="1330"/>
      <c r="AR172" s="1330"/>
      <c r="AS172" s="1330"/>
      <c r="AT172" s="1365"/>
      <c r="AU172" s="1330"/>
      <c r="AV172"/>
      <c r="AW172"/>
      <c r="AX172"/>
      <c r="AY172"/>
      <c r="AZ172"/>
      <c r="BA172"/>
      <c r="BB172"/>
      <c r="BC172"/>
      <c r="BD172"/>
      <c r="BE172"/>
    </row>
    <row r="173" ht="15.6" customHeight="1" spans="2:57">
      <c r="B173" s="1309" t="s">
        <v>77</v>
      </c>
      <c r="C173" s="1417" t="s">
        <v>936</v>
      </c>
      <c r="D173" s="1162" t="s">
        <v>76</v>
      </c>
      <c r="E173" s="1162" t="s">
        <v>76</v>
      </c>
      <c r="F173" s="1207" t="s">
        <v>1097</v>
      </c>
      <c r="G173" s="1207" t="s">
        <v>1098</v>
      </c>
      <c r="H173" s="1207" t="s">
        <v>1099</v>
      </c>
      <c r="I173" s="1207" t="s">
        <v>1100</v>
      </c>
      <c r="J173" s="1443" t="s">
        <v>1101</v>
      </c>
      <c r="K173" s="1175" t="s">
        <v>1102</v>
      </c>
      <c r="M173"/>
      <c r="N173"/>
      <c r="O173"/>
      <c r="P173" t="s">
        <v>1088</v>
      </c>
      <c r="Q173" t="s">
        <v>1103</v>
      </c>
      <c r="R173"/>
      <c r="S173"/>
      <c r="T173"/>
      <c r="U173"/>
      <c r="V173"/>
      <c r="W173"/>
      <c r="X173"/>
      <c r="Y173"/>
      <c r="Z173"/>
      <c r="AA173" s="1330"/>
      <c r="AB173" s="1330"/>
      <c r="AC173" s="1330"/>
      <c r="AD173" s="1330"/>
      <c r="AE173" s="1330"/>
      <c r="AF173" s="1330"/>
      <c r="AG173" s="1330"/>
      <c r="AH173" s="1330"/>
      <c r="AI173" s="1330"/>
      <c r="AJ173" s="1330"/>
      <c r="AK173" s="1330"/>
      <c r="AL173" s="1330"/>
      <c r="AM173" s="1312"/>
      <c r="AN173" s="1365"/>
      <c r="AO173" s="1330"/>
      <c r="AP173" s="1330"/>
      <c r="AQ173" s="1330"/>
      <c r="AR173" s="1330"/>
      <c r="AS173" s="1330"/>
      <c r="AT173" s="1330"/>
      <c r="AU173" s="1330"/>
      <c r="AV173"/>
      <c r="AW173"/>
      <c r="AX173"/>
      <c r="AY173"/>
      <c r="AZ173"/>
      <c r="BA173"/>
      <c r="BB173"/>
      <c r="BC173"/>
      <c r="BD173"/>
      <c r="BE173"/>
    </row>
    <row r="174" ht="15.6" customHeight="1" spans="2:57">
      <c r="B174" s="1309" t="s">
        <v>80</v>
      </c>
      <c r="C174" s="1417" t="s">
        <v>936</v>
      </c>
      <c r="D174" s="1162" t="s">
        <v>76</v>
      </c>
      <c r="E174" s="1162" t="s">
        <v>76</v>
      </c>
      <c r="F174" s="1441" t="s">
        <v>1104</v>
      </c>
      <c r="G174" s="1207" t="s">
        <v>1105</v>
      </c>
      <c r="H174" s="1207" t="s">
        <v>1106</v>
      </c>
      <c r="I174" s="1443" t="s">
        <v>1107</v>
      </c>
      <c r="J174" s="1443" t="s">
        <v>1108</v>
      </c>
      <c r="K174" s="1175" t="s">
        <v>1109</v>
      </c>
      <c r="M174"/>
      <c r="N174"/>
      <c r="O174"/>
      <c r="P174" t="s">
        <v>1110</v>
      </c>
      <c r="Q174" t="s">
        <v>1111</v>
      </c>
      <c r="R174"/>
      <c r="S174"/>
      <c r="T174"/>
      <c r="U174"/>
      <c r="V174"/>
      <c r="W174"/>
      <c r="X174"/>
      <c r="Y174"/>
      <c r="Z174"/>
      <c r="AA174" s="1330"/>
      <c r="AB174" s="1330"/>
      <c r="AC174" s="1330"/>
      <c r="AD174" s="1330"/>
      <c r="AE174" s="1365"/>
      <c r="AF174" s="1330"/>
      <c r="AG174" s="1330"/>
      <c r="AH174" s="1330"/>
      <c r="AI174" s="1330"/>
      <c r="AJ174" s="1330"/>
      <c r="AK174" s="1330"/>
      <c r="AL174" s="1330"/>
      <c r="AM174" s="1341"/>
      <c r="AN174" s="1364"/>
      <c r="AO174" s="1330"/>
      <c r="AP174" s="1330"/>
      <c r="AQ174" s="1330"/>
      <c r="AR174" s="1330"/>
      <c r="AS174" s="1330"/>
      <c r="AT174" s="1330"/>
      <c r="AU174" s="1330"/>
      <c r="AV174"/>
      <c r="AW174"/>
      <c r="AX174"/>
      <c r="AY174"/>
      <c r="AZ174"/>
      <c r="BA174"/>
      <c r="BB174"/>
      <c r="BC174"/>
      <c r="BD174"/>
      <c r="BE174"/>
    </row>
    <row r="175" ht="15.6" customHeight="1" spans="2:57">
      <c r="B175" s="1309" t="s">
        <v>83</v>
      </c>
      <c r="C175" s="1417" t="s">
        <v>721</v>
      </c>
      <c r="D175" s="1162" t="s">
        <v>76</v>
      </c>
      <c r="E175" s="1162" t="s">
        <v>76</v>
      </c>
      <c r="F175" s="1162" t="s">
        <v>1112</v>
      </c>
      <c r="G175" s="1162" t="s">
        <v>1113</v>
      </c>
      <c r="H175" s="1162" t="s">
        <v>1114</v>
      </c>
      <c r="I175" s="1442" t="s">
        <v>1115</v>
      </c>
      <c r="J175" s="1162" t="s">
        <v>1116</v>
      </c>
      <c r="K175" s="1240" t="s">
        <v>1117</v>
      </c>
      <c r="M175"/>
      <c r="N175"/>
      <c r="O175"/>
      <c r="P175" t="s">
        <v>1110</v>
      </c>
      <c r="Q175" t="s">
        <v>1118</v>
      </c>
      <c r="R175"/>
      <c r="S175"/>
      <c r="T175"/>
      <c r="U175"/>
      <c r="V175"/>
      <c r="W175"/>
      <c r="X175"/>
      <c r="Y175"/>
      <c r="Z175"/>
      <c r="AA175" s="1330"/>
      <c r="AB175" s="1330"/>
      <c r="AC175" s="1330"/>
      <c r="AD175" s="1330"/>
      <c r="AE175" s="1330"/>
      <c r="AF175" s="1330"/>
      <c r="AG175" s="1330"/>
      <c r="AH175" s="1330"/>
      <c r="AI175" s="1330"/>
      <c r="AJ175" s="1330"/>
      <c r="AK175" s="1330"/>
      <c r="AL175" s="1330"/>
      <c r="AM175" s="1341"/>
      <c r="AN175" s="1364"/>
      <c r="AO175" s="1330"/>
      <c r="AP175" s="1330"/>
      <c r="AQ175" s="1330"/>
      <c r="AR175" s="1330"/>
      <c r="AS175" s="1330"/>
      <c r="AT175" s="1363"/>
      <c r="AU175" s="1330"/>
      <c r="AV175"/>
      <c r="AW175"/>
      <c r="AX175"/>
      <c r="AY175"/>
      <c r="AZ175"/>
      <c r="BA175"/>
      <c r="BB175"/>
      <c r="BC175"/>
      <c r="BD175"/>
      <c r="BE175"/>
    </row>
    <row r="176" ht="15.6" customHeight="1" spans="2:57">
      <c r="B176" s="1309" t="s">
        <v>88</v>
      </c>
      <c r="C176" s="1417" t="s">
        <v>712</v>
      </c>
      <c r="D176" s="1162" t="s">
        <v>76</v>
      </c>
      <c r="E176" s="1162" t="s">
        <v>76</v>
      </c>
      <c r="F176" s="1162" t="s">
        <v>1119</v>
      </c>
      <c r="G176" s="1162" t="s">
        <v>1120</v>
      </c>
      <c r="H176" s="1442" t="s">
        <v>1121</v>
      </c>
      <c r="I176" s="1442" t="s">
        <v>1122</v>
      </c>
      <c r="J176" s="1162" t="s">
        <v>1123</v>
      </c>
      <c r="K176" s="1240" t="s">
        <v>1124</v>
      </c>
      <c r="M176"/>
      <c r="N176"/>
      <c r="O176"/>
      <c r="P176" t="s">
        <v>1110</v>
      </c>
      <c r="Q176" t="s">
        <v>1125</v>
      </c>
      <c r="R176"/>
      <c r="S176"/>
      <c r="T176"/>
      <c r="U176"/>
      <c r="V176"/>
      <c r="W176"/>
      <c r="X176"/>
      <c r="Y176"/>
      <c r="Z176"/>
      <c r="AA176" s="1330"/>
      <c r="AB176" s="1330"/>
      <c r="AC176" s="1330"/>
      <c r="AD176" s="1330"/>
      <c r="AE176" s="1330"/>
      <c r="AF176" s="1330"/>
      <c r="AG176" s="1330"/>
      <c r="AH176" s="1330"/>
      <c r="AI176" s="1330"/>
      <c r="AJ176" s="1330"/>
      <c r="AK176" s="1330"/>
      <c r="AL176" s="1330"/>
      <c r="AM176" s="1312"/>
      <c r="AN176" s="1364"/>
      <c r="AO176" s="1330"/>
      <c r="AP176" s="1330"/>
      <c r="AQ176" s="1330"/>
      <c r="AR176" s="1330"/>
      <c r="AS176" s="1330"/>
      <c r="AT176" s="1363"/>
      <c r="AU176" s="1330"/>
      <c r="AV176"/>
      <c r="AW176"/>
      <c r="AX176"/>
      <c r="AY176"/>
      <c r="AZ176"/>
      <c r="BA176"/>
      <c r="BB176"/>
      <c r="BC176"/>
      <c r="BD176"/>
      <c r="BE176"/>
    </row>
    <row r="177" ht="15.6" customHeight="1" spans="2:57">
      <c r="B177" s="1309" t="s">
        <v>94</v>
      </c>
      <c r="C177" s="1417" t="s">
        <v>936</v>
      </c>
      <c r="D177" s="1162" t="s">
        <v>866</v>
      </c>
      <c r="E177" s="1162" t="s">
        <v>867</v>
      </c>
      <c r="F177" s="1162" t="s">
        <v>1126</v>
      </c>
      <c r="G177" s="1162" t="s">
        <v>869</v>
      </c>
      <c r="H177" s="1162" t="s">
        <v>870</v>
      </c>
      <c r="I177" s="1394" t="s">
        <v>1127</v>
      </c>
      <c r="J177" s="1162" t="s">
        <v>1128</v>
      </c>
      <c r="K177" s="1240" t="s">
        <v>1129</v>
      </c>
      <c r="M177"/>
      <c r="N177"/>
      <c r="O177"/>
      <c r="P177" t="s">
        <v>1130</v>
      </c>
      <c r="Q177" t="s">
        <v>1131</v>
      </c>
      <c r="R177"/>
      <c r="S177"/>
      <c r="T177"/>
      <c r="U177"/>
      <c r="V177"/>
      <c r="W177"/>
      <c r="X177"/>
      <c r="Y177"/>
      <c r="Z177"/>
      <c r="AA177" s="1330"/>
      <c r="AB177" s="1330"/>
      <c r="AC177" s="1330"/>
      <c r="AD177" s="1330"/>
      <c r="AE177" s="1330"/>
      <c r="AF177" s="1330"/>
      <c r="AG177" s="1330"/>
      <c r="AH177" s="1330"/>
      <c r="AI177" s="1330"/>
      <c r="AJ177" s="1330"/>
      <c r="AK177" s="1330"/>
      <c r="AL177" s="1330"/>
      <c r="AM177" s="1312"/>
      <c r="AN177" s="1364"/>
      <c r="AO177" s="1330"/>
      <c r="AP177" s="1330"/>
      <c r="AQ177" s="1330"/>
      <c r="AR177" s="1330"/>
      <c r="AS177" s="1330"/>
      <c r="AT177" s="1363"/>
      <c r="AU177" s="1330"/>
      <c r="AV177"/>
      <c r="AW177"/>
      <c r="AX177"/>
      <c r="AY177"/>
      <c r="AZ177"/>
      <c r="BA177"/>
      <c r="BB177"/>
      <c r="BC177"/>
      <c r="BD177"/>
      <c r="BE177"/>
    </row>
    <row r="178" ht="15.6" customHeight="1" spans="2:57">
      <c r="B178" s="1309" t="s">
        <v>464</v>
      </c>
      <c r="C178" s="1417" t="s">
        <v>712</v>
      </c>
      <c r="D178" s="1162" t="s">
        <v>742</v>
      </c>
      <c r="E178" s="1162" t="s">
        <v>76</v>
      </c>
      <c r="F178" s="1162" t="s">
        <v>1132</v>
      </c>
      <c r="G178" s="1162" t="s">
        <v>76</v>
      </c>
      <c r="H178" s="1162" t="s">
        <v>76</v>
      </c>
      <c r="I178" s="1162" t="s">
        <v>76</v>
      </c>
      <c r="J178" s="1162" t="s">
        <v>76</v>
      </c>
      <c r="K178" s="1240" t="s">
        <v>76</v>
      </c>
      <c r="M178"/>
      <c r="N178"/>
      <c r="O178"/>
      <c r="P178" t="s">
        <v>1130</v>
      </c>
      <c r="Q178" t="s">
        <v>1133</v>
      </c>
      <c r="R178"/>
      <c r="S178"/>
      <c r="T178"/>
      <c r="U178"/>
      <c r="V178"/>
      <c r="W178"/>
      <c r="X178"/>
      <c r="Y178"/>
      <c r="Z178"/>
      <c r="AA178" s="1330"/>
      <c r="AB178" s="1330"/>
      <c r="AC178" s="1330"/>
      <c r="AD178" s="1330"/>
      <c r="AE178" s="1330"/>
      <c r="AF178" s="1330"/>
      <c r="AG178" s="1330"/>
      <c r="AH178" s="1330"/>
      <c r="AI178" s="1330"/>
      <c r="AJ178" s="1330"/>
      <c r="AK178" s="1330"/>
      <c r="AL178" s="1330"/>
      <c r="AM178" s="1312"/>
      <c r="AN178" s="1365"/>
      <c r="AO178" s="1330"/>
      <c r="AP178" s="1330"/>
      <c r="AQ178" s="1330"/>
      <c r="AR178" s="1330"/>
      <c r="AS178" s="1330"/>
      <c r="AT178" s="1363"/>
      <c r="AU178" s="1330"/>
      <c r="AV178"/>
      <c r="AW178"/>
      <c r="AX178"/>
      <c r="AY178"/>
      <c r="AZ178"/>
      <c r="BA178"/>
      <c r="BB178"/>
      <c r="BC178"/>
      <c r="BD178"/>
      <c r="BE178"/>
    </row>
    <row r="179" ht="15.6" customHeight="1" spans="2:57">
      <c r="B179" s="1309" t="s">
        <v>104</v>
      </c>
      <c r="C179" s="1417" t="s">
        <v>712</v>
      </c>
      <c r="D179" s="1162" t="s">
        <v>76</v>
      </c>
      <c r="E179" s="1162" t="s">
        <v>76</v>
      </c>
      <c r="F179" s="1162" t="s">
        <v>1134</v>
      </c>
      <c r="G179" s="1162" t="s">
        <v>1135</v>
      </c>
      <c r="H179" s="1162" t="s">
        <v>1136</v>
      </c>
      <c r="I179" s="1162" t="s">
        <v>1137</v>
      </c>
      <c r="J179" s="1162" t="s">
        <v>1138</v>
      </c>
      <c r="K179" s="1240" t="s">
        <v>1139</v>
      </c>
      <c r="M179"/>
      <c r="N179"/>
      <c r="O179"/>
      <c r="P179" t="s">
        <v>1130</v>
      </c>
      <c r="Q179" t="s">
        <v>1140</v>
      </c>
      <c r="R179"/>
      <c r="S179"/>
      <c r="T179"/>
      <c r="U179"/>
      <c r="V179"/>
      <c r="W179"/>
      <c r="X179"/>
      <c r="Y179"/>
      <c r="Z179"/>
      <c r="AA179" s="1330"/>
      <c r="AB179" s="1330"/>
      <c r="AC179" s="1330"/>
      <c r="AD179" s="1330"/>
      <c r="AE179" s="1365"/>
      <c r="AF179" s="1330"/>
      <c r="AG179" s="1330"/>
      <c r="AH179" s="1330"/>
      <c r="AI179" s="1330"/>
      <c r="AJ179" s="1330"/>
      <c r="AK179" s="1330"/>
      <c r="AL179" s="1330"/>
      <c r="AM179" s="1312"/>
      <c r="AN179" s="1365"/>
      <c r="AO179" s="1330"/>
      <c r="AP179" s="1330"/>
      <c r="AQ179" s="1330"/>
      <c r="AR179" s="1330"/>
      <c r="AS179" s="1330"/>
      <c r="AT179" s="1363"/>
      <c r="AU179" s="1330"/>
      <c r="AV179"/>
      <c r="AW179"/>
      <c r="AX179"/>
      <c r="AY179"/>
      <c r="AZ179"/>
      <c r="BA179"/>
      <c r="BB179"/>
      <c r="BC179"/>
      <c r="BD179"/>
      <c r="BE179"/>
    </row>
    <row r="180" ht="15.6" customHeight="1" spans="2:57">
      <c r="B180" s="1309" t="s">
        <v>106</v>
      </c>
      <c r="C180" s="1417" t="s">
        <v>936</v>
      </c>
      <c r="D180" s="1162" t="s">
        <v>866</v>
      </c>
      <c r="E180" s="1394" t="s">
        <v>1141</v>
      </c>
      <c r="F180" s="1162" t="s">
        <v>1142</v>
      </c>
      <c r="G180" s="1162" t="s">
        <v>869</v>
      </c>
      <c r="H180" s="1162" t="s">
        <v>870</v>
      </c>
      <c r="I180" s="1162" t="s">
        <v>1143</v>
      </c>
      <c r="J180" s="1162" t="s">
        <v>1144</v>
      </c>
      <c r="K180" s="1240" t="s">
        <v>1145</v>
      </c>
      <c r="M180"/>
      <c r="N180"/>
      <c r="O180"/>
      <c r="P180" t="s">
        <v>1146</v>
      </c>
      <c r="Q180" t="s">
        <v>1147</v>
      </c>
      <c r="R180"/>
      <c r="S180"/>
      <c r="T180"/>
      <c r="U180"/>
      <c r="V180"/>
      <c r="W180"/>
      <c r="X180"/>
      <c r="Y180"/>
      <c r="Z180"/>
      <c r="AA180" s="1330"/>
      <c r="AB180" s="1330"/>
      <c r="AC180" s="1330"/>
      <c r="AD180" s="1330"/>
      <c r="AE180" s="1330"/>
      <c r="AF180" s="1330"/>
      <c r="AG180" s="1330"/>
      <c r="AH180" s="1330"/>
      <c r="AI180" s="1330"/>
      <c r="AJ180" s="1330"/>
      <c r="AK180" s="1330"/>
      <c r="AL180" s="1330"/>
      <c r="AM180" s="1312"/>
      <c r="AN180" s="1365"/>
      <c r="AO180" s="1330"/>
      <c r="AP180" s="1330"/>
      <c r="AQ180" s="1330"/>
      <c r="AR180" s="1330"/>
      <c r="AS180" s="1330"/>
      <c r="AT180" s="1365"/>
      <c r="AU180" s="1330"/>
      <c r="AV180"/>
      <c r="AW180"/>
      <c r="AX180"/>
      <c r="AY180"/>
      <c r="AZ180"/>
      <c r="BA180"/>
      <c r="BB180"/>
      <c r="BC180"/>
      <c r="BD180"/>
      <c r="BE180"/>
    </row>
    <row r="181" ht="15.6" customHeight="1" spans="2:57">
      <c r="B181" s="1309" t="s">
        <v>110</v>
      </c>
      <c r="C181" s="1417" t="s">
        <v>721</v>
      </c>
      <c r="D181" s="1162" t="s">
        <v>76</v>
      </c>
      <c r="E181" s="1162" t="s">
        <v>1148</v>
      </c>
      <c r="F181" s="1162" t="s">
        <v>1149</v>
      </c>
      <c r="G181" s="1162" t="s">
        <v>1150</v>
      </c>
      <c r="H181" s="1162" t="s">
        <v>1151</v>
      </c>
      <c r="I181" s="1162" t="s">
        <v>1152</v>
      </c>
      <c r="J181" s="1162" t="s">
        <v>1153</v>
      </c>
      <c r="K181" s="1240" t="s">
        <v>1154</v>
      </c>
      <c r="M181"/>
      <c r="N181"/>
      <c r="O181"/>
      <c r="P181" t="s">
        <v>1146</v>
      </c>
      <c r="Q181" t="s">
        <v>1155</v>
      </c>
      <c r="R181"/>
      <c r="S181"/>
      <c r="T181"/>
      <c r="U181"/>
      <c r="V181"/>
      <c r="W181"/>
      <c r="X181"/>
      <c r="Y181"/>
      <c r="Z181"/>
      <c r="AA181" s="1330"/>
      <c r="AB181" s="1330"/>
      <c r="AC181" s="1330"/>
      <c r="AD181" s="1330"/>
      <c r="AE181" s="1330"/>
      <c r="AF181" s="1330"/>
      <c r="AG181" s="1330"/>
      <c r="AH181" s="1330"/>
      <c r="AI181" s="1330"/>
      <c r="AJ181" s="1330"/>
      <c r="AK181" s="1330"/>
      <c r="AL181" s="1330"/>
      <c r="AM181" s="1312"/>
      <c r="AN181" s="1364"/>
      <c r="AO181" s="1330"/>
      <c r="AP181" s="1330"/>
      <c r="AQ181" s="1330"/>
      <c r="AR181" s="1330"/>
      <c r="AS181" s="1330"/>
      <c r="AT181" s="1330"/>
      <c r="AU181" s="1330"/>
      <c r="AV181"/>
      <c r="AW181"/>
      <c r="AX181"/>
      <c r="AY181"/>
      <c r="AZ181"/>
      <c r="BA181"/>
      <c r="BB181"/>
      <c r="BC181"/>
      <c r="BD181"/>
      <c r="BE181"/>
    </row>
    <row r="182" ht="15.6" customHeight="1" spans="2:57">
      <c r="B182" s="1176" t="s">
        <v>738</v>
      </c>
      <c r="C182" s="1417" t="s">
        <v>644</v>
      </c>
      <c r="D182" s="1162" t="s">
        <v>644</v>
      </c>
      <c r="E182" s="1162" t="s">
        <v>644</v>
      </c>
      <c r="F182" s="1162" t="s">
        <v>644</v>
      </c>
      <c r="G182" s="1162" t="s">
        <v>644</v>
      </c>
      <c r="H182" s="1162" t="s">
        <v>644</v>
      </c>
      <c r="I182" s="1162" t="s">
        <v>644</v>
      </c>
      <c r="J182" s="1162" t="s">
        <v>644</v>
      </c>
      <c r="K182" s="1240" t="s">
        <v>644</v>
      </c>
      <c r="M182"/>
      <c r="N182"/>
      <c r="O182"/>
      <c r="P182" t="s">
        <v>1146</v>
      </c>
      <c r="Q182" t="s">
        <v>1156</v>
      </c>
      <c r="R182"/>
      <c r="S182"/>
      <c r="T182"/>
      <c r="U182"/>
      <c r="V182"/>
      <c r="W182"/>
      <c r="X182"/>
      <c r="Y182"/>
      <c r="Z182"/>
      <c r="AA182" s="1330"/>
      <c r="AB182" s="1330"/>
      <c r="AC182" s="1330"/>
      <c r="AD182" s="1330"/>
      <c r="AE182" s="1330"/>
      <c r="AF182" s="1330"/>
      <c r="AG182" s="1330"/>
      <c r="AH182" s="1330"/>
      <c r="AI182" s="1330"/>
      <c r="AJ182" s="1330"/>
      <c r="AK182" s="1330"/>
      <c r="AL182" s="1330"/>
      <c r="AM182" s="1312"/>
      <c r="AN182" s="1364"/>
      <c r="AO182" s="1330"/>
      <c r="AP182" s="1330"/>
      <c r="AQ182" s="1330"/>
      <c r="AR182" s="1330"/>
      <c r="AS182" s="1330"/>
      <c r="AT182" s="1330"/>
      <c r="AU182" s="1330"/>
      <c r="AV182"/>
      <c r="AW182"/>
      <c r="AX182"/>
      <c r="AY182"/>
      <c r="AZ182"/>
      <c r="BA182"/>
      <c r="BB182"/>
      <c r="BC182"/>
      <c r="BD182"/>
      <c r="BE182"/>
    </row>
    <row r="183" ht="15.6" customHeight="1" spans="2:57">
      <c r="B183" s="1311" t="s">
        <v>1157</v>
      </c>
      <c r="C183" s="1417" t="s">
        <v>712</v>
      </c>
      <c r="D183" s="1162" t="s">
        <v>742</v>
      </c>
      <c r="E183" s="1162" t="s">
        <v>76</v>
      </c>
      <c r="F183" s="1162" t="s">
        <v>1158</v>
      </c>
      <c r="G183" s="1162" t="s">
        <v>1159</v>
      </c>
      <c r="H183" s="1162" t="s">
        <v>1160</v>
      </c>
      <c r="I183" s="1162" t="s">
        <v>1161</v>
      </c>
      <c r="J183" s="1162" t="s">
        <v>1162</v>
      </c>
      <c r="K183" s="1240" t="s">
        <v>1163</v>
      </c>
      <c r="M183"/>
      <c r="N183"/>
      <c r="O183"/>
      <c r="P183" t="s">
        <v>1164</v>
      </c>
      <c r="Q183" t="s">
        <v>1165</v>
      </c>
      <c r="R183"/>
      <c r="S183"/>
      <c r="T183"/>
      <c r="U183"/>
      <c r="V183"/>
      <c r="W183"/>
      <c r="X183"/>
      <c r="Y183"/>
      <c r="Z183"/>
      <c r="AA183" s="1330"/>
      <c r="AB183" s="1330"/>
      <c r="AC183" s="1330"/>
      <c r="AD183" s="1330"/>
      <c r="AE183" s="1330"/>
      <c r="AF183" s="1330"/>
      <c r="AG183" s="1330"/>
      <c r="AH183" s="1330"/>
      <c r="AI183" s="1330"/>
      <c r="AJ183" s="1330"/>
      <c r="AK183" s="1330"/>
      <c r="AL183" s="1330"/>
      <c r="AM183" s="1312"/>
      <c r="AN183" s="1364"/>
      <c r="AO183" s="1330"/>
      <c r="AP183" s="1330"/>
      <c r="AQ183" s="1330"/>
      <c r="AR183" s="1330"/>
      <c r="AS183" s="1330"/>
      <c r="AT183" s="1363"/>
      <c r="AU183" s="1330"/>
      <c r="AV183"/>
      <c r="AW183"/>
      <c r="AX183"/>
      <c r="AY183"/>
      <c r="AZ183"/>
      <c r="BA183"/>
      <c r="BB183"/>
      <c r="BC183"/>
      <c r="BD183"/>
      <c r="BE183"/>
    </row>
    <row r="184" ht="15.6" customHeight="1" spans="2:57">
      <c r="B184" s="1176" t="s">
        <v>1166</v>
      </c>
      <c r="C184" s="1417" t="s">
        <v>712</v>
      </c>
      <c r="D184" s="1162" t="s">
        <v>1167</v>
      </c>
      <c r="E184" s="1162" t="s">
        <v>76</v>
      </c>
      <c r="F184" s="1162" t="s">
        <v>1168</v>
      </c>
      <c r="G184" s="1162" t="s">
        <v>1159</v>
      </c>
      <c r="H184" s="1162" t="s">
        <v>1160</v>
      </c>
      <c r="I184" s="1162" t="s">
        <v>1161</v>
      </c>
      <c r="J184" s="1162" t="s">
        <v>1162</v>
      </c>
      <c r="K184" s="1240" t="s">
        <v>1163</v>
      </c>
      <c r="M184"/>
      <c r="N184"/>
      <c r="O184"/>
      <c r="P184" t="s">
        <v>1164</v>
      </c>
      <c r="Q184" t="s">
        <v>1169</v>
      </c>
      <c r="R184"/>
      <c r="S184"/>
      <c r="T184"/>
      <c r="U184"/>
      <c r="V184"/>
      <c r="W184"/>
      <c r="X184"/>
      <c r="Y184"/>
      <c r="Z184"/>
      <c r="AA184" s="1330"/>
      <c r="AB184" s="1330"/>
      <c r="AC184" s="1330"/>
      <c r="AD184" s="1330"/>
      <c r="AE184" s="1365"/>
      <c r="AF184" s="1330"/>
      <c r="AG184" s="1330"/>
      <c r="AH184" s="1330"/>
      <c r="AI184" s="1330"/>
      <c r="AJ184" s="1330"/>
      <c r="AK184" s="1330"/>
      <c r="AL184" s="1330"/>
      <c r="AM184" s="1341"/>
      <c r="AN184" s="1364"/>
      <c r="AO184" s="1330"/>
      <c r="AP184" s="1330"/>
      <c r="AQ184" s="1330"/>
      <c r="AR184" s="1330"/>
      <c r="AS184" s="1330"/>
      <c r="AT184" s="1363"/>
      <c r="AU184" s="1330"/>
      <c r="AV184"/>
      <c r="AW184"/>
      <c r="AX184"/>
      <c r="AY184"/>
      <c r="AZ184"/>
      <c r="BA184"/>
      <c r="BB184"/>
      <c r="BC184"/>
      <c r="BD184"/>
      <c r="BE184"/>
    </row>
    <row r="185" ht="15.6" customHeight="1" spans="2:57">
      <c r="B185" s="1176" t="s">
        <v>1170</v>
      </c>
      <c r="C185" s="1417" t="s">
        <v>712</v>
      </c>
      <c r="D185" s="1162" t="s">
        <v>1167</v>
      </c>
      <c r="E185" s="1162" t="s">
        <v>76</v>
      </c>
      <c r="F185" s="1162" t="s">
        <v>1171</v>
      </c>
      <c r="G185" s="1162" t="s">
        <v>1159</v>
      </c>
      <c r="H185" s="1162" t="s">
        <v>1160</v>
      </c>
      <c r="I185" s="1162" t="s">
        <v>1161</v>
      </c>
      <c r="J185" s="1162" t="s">
        <v>1162</v>
      </c>
      <c r="K185" s="1240" t="s">
        <v>1163</v>
      </c>
      <c r="M185"/>
      <c r="N185"/>
      <c r="O185"/>
      <c r="P185" t="s">
        <v>1164</v>
      </c>
      <c r="Q185" t="s">
        <v>1172</v>
      </c>
      <c r="R185"/>
      <c r="S185"/>
      <c r="T185"/>
      <c r="U185"/>
      <c r="V185"/>
      <c r="W185"/>
      <c r="X185"/>
      <c r="Y185"/>
      <c r="Z185"/>
      <c r="AA185" s="1330"/>
      <c r="AB185" s="1330"/>
      <c r="AC185" s="1330"/>
      <c r="AD185" s="1330"/>
      <c r="AE185" s="1330"/>
      <c r="AF185" s="1330"/>
      <c r="AG185" s="1330"/>
      <c r="AH185" s="1330"/>
      <c r="AI185" s="1330"/>
      <c r="AJ185" s="1330"/>
      <c r="AK185" s="1330"/>
      <c r="AL185" s="1330"/>
      <c r="AM185" s="1341"/>
      <c r="AN185" s="1364"/>
      <c r="AO185" s="1330"/>
      <c r="AP185" s="1330"/>
      <c r="AQ185" s="1330"/>
      <c r="AR185" s="1330"/>
      <c r="AS185" s="1330"/>
      <c r="AT185" s="1363"/>
      <c r="AU185" s="1330"/>
      <c r="AV185"/>
      <c r="AW185"/>
      <c r="AX185"/>
      <c r="AY185"/>
      <c r="AZ185"/>
      <c r="BA185"/>
      <c r="BB185"/>
      <c r="BC185"/>
      <c r="BD185"/>
      <c r="BE185"/>
    </row>
    <row r="186" ht="15.6" customHeight="1" spans="2:57">
      <c r="B186" s="1176" t="s">
        <v>1173</v>
      </c>
      <c r="C186" s="1417" t="s">
        <v>712</v>
      </c>
      <c r="D186" s="1162" t="s">
        <v>1167</v>
      </c>
      <c r="E186" s="1162" t="s">
        <v>76</v>
      </c>
      <c r="F186" s="1162" t="s">
        <v>1174</v>
      </c>
      <c r="G186" s="1162" t="s">
        <v>1159</v>
      </c>
      <c r="H186" s="1162" t="s">
        <v>1160</v>
      </c>
      <c r="I186" s="1162" t="s">
        <v>1161</v>
      </c>
      <c r="J186" s="1162" t="s">
        <v>1162</v>
      </c>
      <c r="K186" s="1240" t="s">
        <v>1163</v>
      </c>
      <c r="M186"/>
      <c r="N186"/>
      <c r="O186"/>
      <c r="P186" t="s">
        <v>1175</v>
      </c>
      <c r="Q186" t="s">
        <v>1176</v>
      </c>
      <c r="R186"/>
      <c r="S186"/>
      <c r="T186"/>
      <c r="U186"/>
      <c r="V186"/>
      <c r="W186"/>
      <c r="X186"/>
      <c r="Y186"/>
      <c r="Z186"/>
      <c r="AA186" s="1330"/>
      <c r="AB186" s="1330"/>
      <c r="AC186" s="1330"/>
      <c r="AD186" s="1330"/>
      <c r="AE186" s="1330"/>
      <c r="AF186" s="1330"/>
      <c r="AG186" s="1330"/>
      <c r="AH186" s="1330"/>
      <c r="AI186" s="1330"/>
      <c r="AJ186" s="1330"/>
      <c r="AK186" s="1330"/>
      <c r="AL186" s="1330"/>
      <c r="AM186" s="1312"/>
      <c r="AN186" s="1364"/>
      <c r="AO186" s="1330"/>
      <c r="AP186" s="1330"/>
      <c r="AQ186" s="1330"/>
      <c r="AR186" s="1330"/>
      <c r="AS186" s="1330"/>
      <c r="AT186" s="1363"/>
      <c r="AU186" s="1330"/>
      <c r="AV186"/>
      <c r="AW186"/>
      <c r="AX186"/>
      <c r="AY186"/>
      <c r="AZ186"/>
      <c r="BA186"/>
      <c r="BB186"/>
      <c r="BC186"/>
      <c r="BD186"/>
      <c r="BE186"/>
    </row>
    <row r="187" ht="15.6" customHeight="1" spans="2:57">
      <c r="B187" s="1176" t="s">
        <v>1177</v>
      </c>
      <c r="C187" s="1417" t="s">
        <v>936</v>
      </c>
      <c r="D187" s="1162" t="s">
        <v>1167</v>
      </c>
      <c r="E187" s="1162" t="s">
        <v>76</v>
      </c>
      <c r="F187" s="1162" t="s">
        <v>1178</v>
      </c>
      <c r="G187" s="1162" t="s">
        <v>1159</v>
      </c>
      <c r="H187" s="1162" t="s">
        <v>1160</v>
      </c>
      <c r="I187" s="1162" t="s">
        <v>1161</v>
      </c>
      <c r="J187" s="1162" t="s">
        <v>1162</v>
      </c>
      <c r="K187" s="1240" t="s">
        <v>1163</v>
      </c>
      <c r="M187"/>
      <c r="N187"/>
      <c r="O187"/>
      <c r="P187" t="s">
        <v>1175</v>
      </c>
      <c r="Q187" t="s">
        <v>1179</v>
      </c>
      <c r="R187"/>
      <c r="S187"/>
      <c r="T187"/>
      <c r="U187"/>
      <c r="V187"/>
      <c r="W187"/>
      <c r="X187"/>
      <c r="Y187"/>
      <c r="Z187"/>
      <c r="AA187" s="1330"/>
      <c r="AB187" s="1330"/>
      <c r="AC187" s="1330"/>
      <c r="AD187" s="1330"/>
      <c r="AE187" s="1330"/>
      <c r="AF187" s="1330"/>
      <c r="AG187" s="1330"/>
      <c r="AH187" s="1330"/>
      <c r="AI187" s="1330"/>
      <c r="AJ187" s="1330"/>
      <c r="AK187" s="1330"/>
      <c r="AL187" s="1330"/>
      <c r="AM187" s="1312"/>
      <c r="AN187" s="1365"/>
      <c r="AO187" s="1330"/>
      <c r="AP187" s="1330"/>
      <c r="AQ187" s="1330"/>
      <c r="AR187" s="1330"/>
      <c r="AS187" s="1330"/>
      <c r="AT187" s="1363"/>
      <c r="AU187" s="1330"/>
      <c r="AV187"/>
      <c r="AW187"/>
      <c r="AX187"/>
      <c r="AY187"/>
      <c r="AZ187"/>
      <c r="BA187"/>
      <c r="BB187"/>
      <c r="BC187"/>
      <c r="BD187"/>
      <c r="BE187"/>
    </row>
    <row r="188" ht="15.6" customHeight="1" spans="2:57">
      <c r="B188" s="1176" t="s">
        <v>1180</v>
      </c>
      <c r="C188" s="1417" t="s">
        <v>712</v>
      </c>
      <c r="D188" s="1162" t="s">
        <v>1167</v>
      </c>
      <c r="E188" s="1162" t="s">
        <v>76</v>
      </c>
      <c r="F188" s="1162" t="s">
        <v>1181</v>
      </c>
      <c r="G188" s="1162" t="s">
        <v>1159</v>
      </c>
      <c r="H188" s="1162" t="s">
        <v>1160</v>
      </c>
      <c r="I188" s="1162" t="s">
        <v>1161</v>
      </c>
      <c r="J188" s="1162" t="s">
        <v>1162</v>
      </c>
      <c r="K188" s="1240" t="s">
        <v>1163</v>
      </c>
      <c r="M188"/>
      <c r="N188"/>
      <c r="O188"/>
      <c r="P188" t="s">
        <v>1175</v>
      </c>
      <c r="Q188" t="s">
        <v>1182</v>
      </c>
      <c r="R188"/>
      <c r="S188"/>
      <c r="T188"/>
      <c r="U188"/>
      <c r="V188"/>
      <c r="W188"/>
      <c r="X188"/>
      <c r="Y188"/>
      <c r="Z188"/>
      <c r="AA188" s="1330"/>
      <c r="AB188" s="1330"/>
      <c r="AC188" s="1330"/>
      <c r="AD188" s="1330"/>
      <c r="AE188" s="1330"/>
      <c r="AF188" s="1330"/>
      <c r="AG188" s="1330"/>
      <c r="AH188" s="1330"/>
      <c r="AI188" s="1330"/>
      <c r="AJ188" s="1330"/>
      <c r="AK188" s="1330"/>
      <c r="AL188" s="1330"/>
      <c r="AM188" s="1312"/>
      <c r="AN188" s="1365"/>
      <c r="AO188" s="1330"/>
      <c r="AP188" s="1330"/>
      <c r="AQ188" s="1330"/>
      <c r="AR188" s="1330"/>
      <c r="AS188" s="1330"/>
      <c r="AT188" s="1365"/>
      <c r="AU188" s="1330"/>
      <c r="AV188"/>
      <c r="AW188"/>
      <c r="AX188"/>
      <c r="AY188"/>
      <c r="AZ188"/>
      <c r="BA188"/>
      <c r="BB188"/>
      <c r="BC188"/>
      <c r="BD188"/>
      <c r="BE188"/>
    </row>
    <row r="189" ht="15.6" customHeight="1" spans="2:57">
      <c r="B189" s="1176" t="s">
        <v>1183</v>
      </c>
      <c r="C189" s="1417" t="s">
        <v>712</v>
      </c>
      <c r="D189" s="1162" t="s">
        <v>1167</v>
      </c>
      <c r="E189" s="1162" t="s">
        <v>76</v>
      </c>
      <c r="F189" s="1162" t="s">
        <v>1184</v>
      </c>
      <c r="G189" s="1162" t="s">
        <v>1159</v>
      </c>
      <c r="H189" s="1162" t="s">
        <v>1160</v>
      </c>
      <c r="I189" s="1162" t="s">
        <v>1161</v>
      </c>
      <c r="J189" s="1162" t="s">
        <v>1162</v>
      </c>
      <c r="K189" s="1240" t="s">
        <v>1163</v>
      </c>
      <c r="M189"/>
      <c r="N189"/>
      <c r="O189"/>
      <c r="P189" t="s">
        <v>1185</v>
      </c>
      <c r="Q189" t="s">
        <v>1186</v>
      </c>
      <c r="R189"/>
      <c r="S189"/>
      <c r="T189"/>
      <c r="U189"/>
      <c r="V189"/>
      <c r="W189"/>
      <c r="X189"/>
      <c r="Y189"/>
      <c r="Z189"/>
      <c r="AA189" s="1330"/>
      <c r="AB189" s="1330"/>
      <c r="AC189" s="1330"/>
      <c r="AD189" s="1330"/>
      <c r="AE189" s="1365"/>
      <c r="AF189" s="1330"/>
      <c r="AG189" s="1330"/>
      <c r="AH189" s="1330"/>
      <c r="AI189" s="1330"/>
      <c r="AJ189" s="1330"/>
      <c r="AK189" s="1330"/>
      <c r="AL189" s="1330"/>
      <c r="AM189" s="1312"/>
      <c r="AN189" s="1365"/>
      <c r="AO189" s="1330"/>
      <c r="AP189" s="1330"/>
      <c r="AQ189" s="1330"/>
      <c r="AR189" s="1330"/>
      <c r="AS189" s="1330"/>
      <c r="AT189" s="1330"/>
      <c r="AU189" s="1330"/>
      <c r="AV189"/>
      <c r="AW189"/>
      <c r="AX189"/>
      <c r="AY189"/>
      <c r="AZ189"/>
      <c r="BA189"/>
      <c r="BB189"/>
      <c r="BC189"/>
      <c r="BD189"/>
      <c r="BE189"/>
    </row>
    <row r="190" ht="15.6" customHeight="1" spans="2:57">
      <c r="B190" s="1176" t="s">
        <v>1187</v>
      </c>
      <c r="C190" s="1417" t="s">
        <v>712</v>
      </c>
      <c r="D190" s="1162" t="s">
        <v>1167</v>
      </c>
      <c r="E190" s="1162" t="s">
        <v>76</v>
      </c>
      <c r="F190" s="1162" t="s">
        <v>1188</v>
      </c>
      <c r="G190" s="1162" t="s">
        <v>1159</v>
      </c>
      <c r="H190" s="1162" t="s">
        <v>1160</v>
      </c>
      <c r="I190" s="1162" t="s">
        <v>1161</v>
      </c>
      <c r="J190" s="1162" t="s">
        <v>1162</v>
      </c>
      <c r="K190" s="1240" t="s">
        <v>1163</v>
      </c>
      <c r="M190"/>
      <c r="N190"/>
      <c r="O190"/>
      <c r="P190" t="s">
        <v>1185</v>
      </c>
      <c r="Q190" t="s">
        <v>1189</v>
      </c>
      <c r="R190"/>
      <c r="S190"/>
      <c r="T190"/>
      <c r="U190"/>
      <c r="V190"/>
      <c r="W190"/>
      <c r="X190"/>
      <c r="Y190"/>
      <c r="Z190"/>
      <c r="AA190" s="1330"/>
      <c r="AB190" s="1330"/>
      <c r="AC190" s="1330"/>
      <c r="AD190" s="1330"/>
      <c r="AE190" s="1330"/>
      <c r="AF190" s="1330"/>
      <c r="AG190" s="1330"/>
      <c r="AH190" s="1330"/>
      <c r="AI190" s="1330"/>
      <c r="AJ190" s="1330"/>
      <c r="AK190" s="1330"/>
      <c r="AL190" s="1330"/>
      <c r="AM190" s="1312"/>
      <c r="AN190" s="1364"/>
      <c r="AO190" s="1330"/>
      <c r="AP190" s="1330"/>
      <c r="AQ190" s="1330"/>
      <c r="AR190" s="1330"/>
      <c r="AS190" s="1330"/>
      <c r="AT190" s="1330"/>
      <c r="AU190" s="1330"/>
      <c r="AV190"/>
      <c r="AW190"/>
      <c r="AX190"/>
      <c r="AY190"/>
      <c r="AZ190"/>
      <c r="BA190"/>
      <c r="BB190"/>
      <c r="BC190"/>
      <c r="BD190"/>
      <c r="BE190"/>
    </row>
    <row r="191" ht="15.6" customHeight="1" spans="2:57">
      <c r="B191" s="1176" t="s">
        <v>1190</v>
      </c>
      <c r="C191" s="1417" t="s">
        <v>712</v>
      </c>
      <c r="D191" s="1162" t="s">
        <v>1167</v>
      </c>
      <c r="E191" s="1162" t="s">
        <v>76</v>
      </c>
      <c r="F191" s="1162" t="s">
        <v>1191</v>
      </c>
      <c r="G191" s="1162" t="s">
        <v>1159</v>
      </c>
      <c r="H191" s="1162" t="s">
        <v>1160</v>
      </c>
      <c r="I191" s="1162" t="s">
        <v>1161</v>
      </c>
      <c r="J191" s="1162" t="s">
        <v>1162</v>
      </c>
      <c r="K191" s="1240" t="s">
        <v>1163</v>
      </c>
      <c r="M191"/>
      <c r="N191"/>
      <c r="O191"/>
      <c r="P191" t="s">
        <v>1185</v>
      </c>
      <c r="Q191" t="s">
        <v>1192</v>
      </c>
      <c r="R191"/>
      <c r="S191"/>
      <c r="T191"/>
      <c r="U191"/>
      <c r="V191"/>
      <c r="W191"/>
      <c r="X191"/>
      <c r="Y191"/>
      <c r="Z191"/>
      <c r="AA191" s="1330"/>
      <c r="AB191" s="1330"/>
      <c r="AC191" s="1330"/>
      <c r="AD191" s="1330"/>
      <c r="AE191" s="1330"/>
      <c r="AF191" s="1330"/>
      <c r="AG191" s="1330"/>
      <c r="AH191" s="1330"/>
      <c r="AI191" s="1330"/>
      <c r="AJ191" s="1330"/>
      <c r="AK191" s="1330"/>
      <c r="AL191" s="1330"/>
      <c r="AM191" s="1312"/>
      <c r="AN191" s="1364"/>
      <c r="AO191" s="1330"/>
      <c r="AP191" s="1330"/>
      <c r="AQ191" s="1330"/>
      <c r="AR191" s="1330"/>
      <c r="AS191" s="1330"/>
      <c r="AT191" s="1363"/>
      <c r="AU191" s="1330"/>
      <c r="AV191"/>
      <c r="AW191"/>
      <c r="AX191"/>
      <c r="AY191"/>
      <c r="AZ191"/>
      <c r="BA191"/>
      <c r="BB191"/>
      <c r="BC191"/>
      <c r="BD191"/>
      <c r="BE191"/>
    </row>
    <row r="192" ht="15.6" customHeight="1" spans="2:57">
      <c r="B192" s="1176" t="s">
        <v>1193</v>
      </c>
      <c r="C192" s="1417" t="s">
        <v>712</v>
      </c>
      <c r="D192" s="1162" t="s">
        <v>1167</v>
      </c>
      <c r="E192" s="1162" t="s">
        <v>76</v>
      </c>
      <c r="F192" s="1162" t="s">
        <v>1194</v>
      </c>
      <c r="G192" s="1162" t="s">
        <v>1159</v>
      </c>
      <c r="H192" s="1162" t="s">
        <v>1160</v>
      </c>
      <c r="I192" s="1162" t="s">
        <v>1161</v>
      </c>
      <c r="J192" s="1162" t="s">
        <v>1162</v>
      </c>
      <c r="K192" s="1240" t="s">
        <v>1163</v>
      </c>
      <c r="M192"/>
      <c r="N192"/>
      <c r="O192"/>
      <c r="P192" t="s">
        <v>1195</v>
      </c>
      <c r="Q192" t="s">
        <v>1196</v>
      </c>
      <c r="R192"/>
      <c r="S192"/>
      <c r="T192"/>
      <c r="U192"/>
      <c r="V192"/>
      <c r="W192"/>
      <c r="X192"/>
      <c r="Y192"/>
      <c r="Z192"/>
      <c r="AA192" s="1330"/>
      <c r="AB192" s="1330"/>
      <c r="AC192" s="1330"/>
      <c r="AD192" s="1330"/>
      <c r="AE192" s="1330"/>
      <c r="AF192" s="1330"/>
      <c r="AG192" s="1330"/>
      <c r="AH192" s="1330"/>
      <c r="AI192" s="1330"/>
      <c r="AJ192" s="1330"/>
      <c r="AK192" s="1330"/>
      <c r="AL192" s="1330"/>
      <c r="AM192" s="1312"/>
      <c r="AN192" s="1364"/>
      <c r="AO192" s="1330"/>
      <c r="AP192" s="1330"/>
      <c r="AQ192" s="1330"/>
      <c r="AR192" s="1330"/>
      <c r="AS192" s="1330"/>
      <c r="AT192" s="1363"/>
      <c r="AU192" s="1330"/>
      <c r="AV192"/>
      <c r="AW192"/>
      <c r="AX192"/>
      <c r="AY192"/>
      <c r="AZ192"/>
      <c r="BA192"/>
      <c r="BB192"/>
      <c r="BC192"/>
      <c r="BD192"/>
      <c r="BE192"/>
    </row>
    <row r="193" ht="15.6" customHeight="1" spans="2:57">
      <c r="B193" s="1176" t="s">
        <v>1197</v>
      </c>
      <c r="C193" s="1417" t="s">
        <v>712</v>
      </c>
      <c r="D193" s="1162" t="s">
        <v>1167</v>
      </c>
      <c r="E193" s="1162" t="s">
        <v>76</v>
      </c>
      <c r="F193" s="1162" t="s">
        <v>1198</v>
      </c>
      <c r="G193" s="1162" t="s">
        <v>1159</v>
      </c>
      <c r="H193" s="1162" t="s">
        <v>1160</v>
      </c>
      <c r="I193" s="1162" t="s">
        <v>1161</v>
      </c>
      <c r="J193" s="1162" t="s">
        <v>1162</v>
      </c>
      <c r="K193" s="1240" t="s">
        <v>1163</v>
      </c>
      <c r="M193"/>
      <c r="N193"/>
      <c r="O193"/>
      <c r="P193" t="s">
        <v>1195</v>
      </c>
      <c r="Q193" t="s">
        <v>1199</v>
      </c>
      <c r="R193"/>
      <c r="S193"/>
      <c r="T193"/>
      <c r="U193"/>
      <c r="V193"/>
      <c r="W193"/>
      <c r="X193"/>
      <c r="Y193"/>
      <c r="Z193"/>
      <c r="AA193" s="1330"/>
      <c r="AB193" s="1330"/>
      <c r="AC193" s="1330"/>
      <c r="AD193" s="1330"/>
      <c r="AE193" s="1330"/>
      <c r="AF193" s="1330"/>
      <c r="AG193" s="1330"/>
      <c r="AH193" s="1330"/>
      <c r="AI193" s="1330"/>
      <c r="AJ193" s="1330"/>
      <c r="AK193" s="1330"/>
      <c r="AL193" s="1330"/>
      <c r="AM193" s="1312"/>
      <c r="AN193" s="1330"/>
      <c r="AO193" s="1330"/>
      <c r="AP193" s="1330"/>
      <c r="AQ193" s="1330"/>
      <c r="AR193" s="1330"/>
      <c r="AS193" s="1330"/>
      <c r="AT193" s="1363"/>
      <c r="AU193" s="1330"/>
      <c r="AV193"/>
      <c r="AW193"/>
      <c r="AX193"/>
      <c r="AY193"/>
      <c r="AZ193"/>
      <c r="BA193"/>
      <c r="BB193"/>
      <c r="BC193"/>
      <c r="BD193"/>
      <c r="BE193"/>
    </row>
    <row r="194" ht="15.6" customHeight="1" spans="2:57">
      <c r="B194" s="1176" t="s">
        <v>1200</v>
      </c>
      <c r="C194" s="1417" t="s">
        <v>712</v>
      </c>
      <c r="D194" s="1162" t="s">
        <v>1167</v>
      </c>
      <c r="E194" s="1162" t="s">
        <v>76</v>
      </c>
      <c r="F194" s="1162" t="s">
        <v>1201</v>
      </c>
      <c r="G194" s="1162" t="s">
        <v>1159</v>
      </c>
      <c r="H194" s="1162" t="s">
        <v>1160</v>
      </c>
      <c r="I194" s="1162" t="s">
        <v>1161</v>
      </c>
      <c r="J194" s="1162" t="s">
        <v>1162</v>
      </c>
      <c r="K194" s="1240" t="s">
        <v>1163</v>
      </c>
      <c r="M194"/>
      <c r="N194"/>
      <c r="O194"/>
      <c r="P194" t="s">
        <v>1195</v>
      </c>
      <c r="Q194" t="s">
        <v>1202</v>
      </c>
      <c r="R194"/>
      <c r="S194"/>
      <c r="T194"/>
      <c r="U194"/>
      <c r="V194"/>
      <c r="W194"/>
      <c r="X194"/>
      <c r="Y194"/>
      <c r="Z194"/>
      <c r="AA194" s="1330"/>
      <c r="AB194" s="1330"/>
      <c r="AC194" s="1330"/>
      <c r="AD194" s="1330"/>
      <c r="AE194" s="1365"/>
      <c r="AF194" s="1330"/>
      <c r="AG194" s="1330"/>
      <c r="AH194" s="1330"/>
      <c r="AI194" s="1330"/>
      <c r="AJ194" s="1330"/>
      <c r="AK194" s="1330"/>
      <c r="AL194" s="1330"/>
      <c r="AM194" s="1341"/>
      <c r="AN194" s="1330"/>
      <c r="AO194" s="1330"/>
      <c r="AP194" s="1330"/>
      <c r="AQ194" s="1330"/>
      <c r="AR194" s="1330"/>
      <c r="AS194" s="1330"/>
      <c r="AT194" s="1363"/>
      <c r="AU194" s="1330"/>
      <c r="AV194"/>
      <c r="AW194"/>
      <c r="AX194"/>
      <c r="AY194"/>
      <c r="AZ194"/>
      <c r="BA194"/>
      <c r="BB194"/>
      <c r="BC194"/>
      <c r="BD194"/>
      <c r="BE194"/>
    </row>
    <row r="195" ht="15.6" customHeight="1" spans="2:57">
      <c r="B195" s="1176" t="s">
        <v>1203</v>
      </c>
      <c r="C195" s="1417" t="s">
        <v>712</v>
      </c>
      <c r="D195" s="1162" t="s">
        <v>1167</v>
      </c>
      <c r="E195" s="1162" t="s">
        <v>76</v>
      </c>
      <c r="F195" s="1162" t="s">
        <v>1204</v>
      </c>
      <c r="G195" s="1162" t="s">
        <v>1159</v>
      </c>
      <c r="H195" s="1162" t="s">
        <v>1160</v>
      </c>
      <c r="I195" s="1162" t="s">
        <v>1161</v>
      </c>
      <c r="J195" s="1162" t="s">
        <v>1162</v>
      </c>
      <c r="K195" s="1240" t="s">
        <v>1163</v>
      </c>
      <c r="M195"/>
      <c r="N195"/>
      <c r="O195"/>
      <c r="P195" t="s">
        <v>1205</v>
      </c>
      <c r="Q195" t="s">
        <v>1206</v>
      </c>
      <c r="R195"/>
      <c r="S195"/>
      <c r="T195"/>
      <c r="U195"/>
      <c r="V195"/>
      <c r="W195"/>
      <c r="X195"/>
      <c r="Y195"/>
      <c r="Z195"/>
      <c r="AA195" s="1330"/>
      <c r="AB195" s="1330"/>
      <c r="AC195" s="1330"/>
      <c r="AD195" s="1330"/>
      <c r="AE195" s="1330"/>
      <c r="AF195" s="1330"/>
      <c r="AG195" s="1330"/>
      <c r="AH195" s="1330"/>
      <c r="AI195" s="1330"/>
      <c r="AJ195" s="1330"/>
      <c r="AK195" s="1330"/>
      <c r="AL195" s="1330"/>
      <c r="AM195" s="1341"/>
      <c r="AN195" s="1330"/>
      <c r="AO195" s="1330"/>
      <c r="AP195" s="1330"/>
      <c r="AQ195" s="1330"/>
      <c r="AR195" s="1330"/>
      <c r="AS195" s="1330"/>
      <c r="AT195" s="1363"/>
      <c r="AU195" s="1330"/>
      <c r="AV195"/>
      <c r="AW195"/>
      <c r="AX195"/>
      <c r="AY195"/>
      <c r="AZ195"/>
      <c r="BA195"/>
      <c r="BB195"/>
      <c r="BC195"/>
      <c r="BD195"/>
      <c r="BE195"/>
    </row>
    <row r="196" ht="15.6" customHeight="1" spans="2:57">
      <c r="B196" s="1176" t="s">
        <v>1207</v>
      </c>
      <c r="C196" s="1417" t="s">
        <v>712</v>
      </c>
      <c r="D196" s="1162" t="s">
        <v>1167</v>
      </c>
      <c r="E196" s="1162" t="s">
        <v>76</v>
      </c>
      <c r="F196" s="1162" t="s">
        <v>1208</v>
      </c>
      <c r="G196" s="1162" t="s">
        <v>1159</v>
      </c>
      <c r="H196" s="1162" t="s">
        <v>1160</v>
      </c>
      <c r="I196" s="1162" t="s">
        <v>1161</v>
      </c>
      <c r="J196" s="1162" t="s">
        <v>1162</v>
      </c>
      <c r="K196" s="1240" t="s">
        <v>1163</v>
      </c>
      <c r="M196"/>
      <c r="N196"/>
      <c r="O196"/>
      <c r="P196" t="s">
        <v>1205</v>
      </c>
      <c r="Q196" t="s">
        <v>1209</v>
      </c>
      <c r="R196"/>
      <c r="S196"/>
      <c r="T196"/>
      <c r="U196"/>
      <c r="V196"/>
      <c r="W196"/>
      <c r="X196"/>
      <c r="Y196"/>
      <c r="Z196"/>
      <c r="AA196" s="1330"/>
      <c r="AB196" s="1330"/>
      <c r="AC196" s="1330"/>
      <c r="AD196" s="1330"/>
      <c r="AE196" s="1330"/>
      <c r="AF196" s="1330"/>
      <c r="AG196" s="1330"/>
      <c r="AH196" s="1330"/>
      <c r="AI196" s="1330"/>
      <c r="AJ196" s="1330"/>
      <c r="AK196" s="1330"/>
      <c r="AL196" s="1330"/>
      <c r="AM196" s="1312"/>
      <c r="AN196" s="1330"/>
      <c r="AO196" s="1330"/>
      <c r="AP196" s="1330"/>
      <c r="AQ196" s="1330"/>
      <c r="AR196" s="1330"/>
      <c r="AS196" s="1330"/>
      <c r="AT196" s="1365"/>
      <c r="AU196" s="1330"/>
      <c r="AV196"/>
      <c r="AW196"/>
      <c r="AX196"/>
      <c r="AY196"/>
      <c r="AZ196"/>
      <c r="BA196"/>
      <c r="BB196"/>
      <c r="BC196"/>
      <c r="BD196"/>
      <c r="BE196"/>
    </row>
    <row r="197" ht="15.6" customHeight="1" spans="2:57">
      <c r="B197" s="1176" t="s">
        <v>738</v>
      </c>
      <c r="C197" s="1417" t="s">
        <v>644</v>
      </c>
      <c r="D197" s="1162" t="s">
        <v>644</v>
      </c>
      <c r="E197" s="1162" t="s">
        <v>644</v>
      </c>
      <c r="F197" s="1162" t="s">
        <v>644</v>
      </c>
      <c r="G197" s="1162" t="s">
        <v>644</v>
      </c>
      <c r="H197" s="1162" t="s">
        <v>644</v>
      </c>
      <c r="I197" s="1162" t="s">
        <v>644</v>
      </c>
      <c r="J197" s="1162" t="s">
        <v>644</v>
      </c>
      <c r="K197" s="1240" t="s">
        <v>644</v>
      </c>
      <c r="M197"/>
      <c r="N197"/>
      <c r="O197"/>
      <c r="P197" t="s">
        <v>1205</v>
      </c>
      <c r="Q197" t="s">
        <v>1210</v>
      </c>
      <c r="R197"/>
      <c r="S197"/>
      <c r="T197"/>
      <c r="U197"/>
      <c r="V197"/>
      <c r="W197"/>
      <c r="X197"/>
      <c r="Y197"/>
      <c r="Z197"/>
      <c r="AA197" s="1330"/>
      <c r="AB197" s="1330"/>
      <c r="AC197" s="1330"/>
      <c r="AD197" s="1330"/>
      <c r="AE197" s="1330"/>
      <c r="AF197" s="1330"/>
      <c r="AG197" s="1330"/>
      <c r="AH197" s="1330"/>
      <c r="AI197" s="1330"/>
      <c r="AJ197" s="1330"/>
      <c r="AK197" s="1330"/>
      <c r="AL197" s="1330"/>
      <c r="AM197" s="1312"/>
      <c r="AN197" s="1330"/>
      <c r="AO197" s="1330"/>
      <c r="AP197" s="1330"/>
      <c r="AQ197" s="1330"/>
      <c r="AR197" s="1330"/>
      <c r="AS197" s="1330"/>
      <c r="AT197" s="1330"/>
      <c r="AU197" s="1330"/>
      <c r="AV197"/>
      <c r="AW197"/>
      <c r="AX197"/>
      <c r="AY197"/>
      <c r="AZ197"/>
      <c r="BA197"/>
      <c r="BB197"/>
      <c r="BC197"/>
      <c r="BD197"/>
      <c r="BE197"/>
    </row>
    <row r="198" ht="15.6" customHeight="1" spans="2:57">
      <c r="B198" s="1309" t="s">
        <v>121</v>
      </c>
      <c r="C198" s="1417" t="s">
        <v>936</v>
      </c>
      <c r="D198" s="1162" t="s">
        <v>76</v>
      </c>
      <c r="E198" s="1162" t="s">
        <v>1211</v>
      </c>
      <c r="F198" s="1162" t="s">
        <v>1212</v>
      </c>
      <c r="G198" s="1162" t="s">
        <v>1213</v>
      </c>
      <c r="H198" s="1162" t="s">
        <v>1214</v>
      </c>
      <c r="I198" s="1162" t="s">
        <v>1215</v>
      </c>
      <c r="J198" s="1162" t="s">
        <v>1216</v>
      </c>
      <c r="K198" s="1240" t="s">
        <v>1217</v>
      </c>
      <c r="M198"/>
      <c r="N198"/>
      <c r="O198"/>
      <c r="P198" t="s">
        <v>1218</v>
      </c>
      <c r="Q198" t="s">
        <v>1219</v>
      </c>
      <c r="R198"/>
      <c r="S198"/>
      <c r="T198"/>
      <c r="U198"/>
      <c r="V198"/>
      <c r="W198"/>
      <c r="X198"/>
      <c r="Y198"/>
      <c r="Z198"/>
      <c r="AA198" s="1330"/>
      <c r="AB198" s="1330"/>
      <c r="AC198" s="1330"/>
      <c r="AD198" s="1330"/>
      <c r="AE198" s="1330"/>
      <c r="AF198" s="1330"/>
      <c r="AG198" s="1330"/>
      <c r="AH198" s="1330"/>
      <c r="AI198" s="1330"/>
      <c r="AJ198" s="1330"/>
      <c r="AK198" s="1330"/>
      <c r="AL198" s="1330"/>
      <c r="AM198" s="1312"/>
      <c r="AN198" s="1330"/>
      <c r="AO198" s="1330"/>
      <c r="AP198" s="1330"/>
      <c r="AQ198" s="1330"/>
      <c r="AR198" s="1330"/>
      <c r="AS198" s="1330"/>
      <c r="AT198" s="1330"/>
      <c r="AU198" s="1330"/>
      <c r="AV198"/>
      <c r="AW198"/>
      <c r="AX198"/>
      <c r="AY198"/>
      <c r="AZ198"/>
      <c r="BA198"/>
      <c r="BB198"/>
      <c r="BC198"/>
      <c r="BD198"/>
      <c r="BE198"/>
    </row>
    <row r="199" ht="15.6" customHeight="1" spans="2:57">
      <c r="B199" s="1309" t="s">
        <v>123</v>
      </c>
      <c r="C199" s="1417" t="s">
        <v>974</v>
      </c>
      <c r="D199" s="1162" t="s">
        <v>76</v>
      </c>
      <c r="E199" s="1162" t="s">
        <v>1220</v>
      </c>
      <c r="F199" s="1162" t="s">
        <v>1221</v>
      </c>
      <c r="G199" s="1162" t="s">
        <v>1222</v>
      </c>
      <c r="H199" s="1162" t="s">
        <v>1223</v>
      </c>
      <c r="I199" s="1162" t="s">
        <v>1224</v>
      </c>
      <c r="J199" s="1162" t="s">
        <v>1225</v>
      </c>
      <c r="K199" s="1240" t="s">
        <v>1226</v>
      </c>
      <c r="M199"/>
      <c r="N199"/>
      <c r="O199"/>
      <c r="P199" t="s">
        <v>1218</v>
      </c>
      <c r="Q199" t="s">
        <v>1227</v>
      </c>
      <c r="R199"/>
      <c r="S199"/>
      <c r="T199"/>
      <c r="U199"/>
      <c r="V199"/>
      <c r="W199"/>
      <c r="X199"/>
      <c r="Y199"/>
      <c r="Z199"/>
      <c r="AA199" s="1330"/>
      <c r="AB199" s="1330"/>
      <c r="AC199" s="1330"/>
      <c r="AD199" s="1330"/>
      <c r="AE199" s="1365"/>
      <c r="AF199" s="1330"/>
      <c r="AG199" s="1330"/>
      <c r="AH199" s="1330"/>
      <c r="AI199" s="1330"/>
      <c r="AJ199" s="1330"/>
      <c r="AK199" s="1330"/>
      <c r="AL199" s="1330"/>
      <c r="AM199" s="1312"/>
      <c r="AN199" s="1330"/>
      <c r="AO199" s="1330"/>
      <c r="AP199" s="1330"/>
      <c r="AQ199" s="1330"/>
      <c r="AR199" s="1330"/>
      <c r="AS199" s="1330"/>
      <c r="AT199" s="1363"/>
      <c r="AU199" s="1330"/>
      <c r="AV199"/>
      <c r="AW199"/>
      <c r="AX199"/>
      <c r="AY199"/>
      <c r="AZ199"/>
      <c r="BA199"/>
      <c r="BB199"/>
      <c r="BC199"/>
      <c r="BD199"/>
      <c r="BE199"/>
    </row>
    <row r="200" ht="15.6" customHeight="1" spans="2:57">
      <c r="B200" s="1309" t="s">
        <v>127</v>
      </c>
      <c r="C200" s="1417" t="s">
        <v>876</v>
      </c>
      <c r="D200" s="1162" t="s">
        <v>76</v>
      </c>
      <c r="E200" s="1394" t="s">
        <v>1228</v>
      </c>
      <c r="F200" s="1162" t="s">
        <v>1229</v>
      </c>
      <c r="G200" s="1162" t="s">
        <v>1230</v>
      </c>
      <c r="H200" s="1162" t="s">
        <v>1231</v>
      </c>
      <c r="I200" s="1162" t="s">
        <v>1232</v>
      </c>
      <c r="J200" s="1162" t="s">
        <v>1233</v>
      </c>
      <c r="K200" s="1240" t="s">
        <v>1234</v>
      </c>
      <c r="M200"/>
      <c r="N200"/>
      <c r="O200"/>
      <c r="P200" t="s">
        <v>1218</v>
      </c>
      <c r="Q200" t="s">
        <v>1235</v>
      </c>
      <c r="R200"/>
      <c r="S200"/>
      <c r="T200"/>
      <c r="U200"/>
      <c r="V200"/>
      <c r="W200"/>
      <c r="X200"/>
      <c r="Y200"/>
      <c r="Z200"/>
      <c r="AA200" s="1330"/>
      <c r="AB200" s="1330"/>
      <c r="AC200" s="1330"/>
      <c r="AD200" s="1330"/>
      <c r="AE200" s="1330"/>
      <c r="AF200" s="1330"/>
      <c r="AG200" s="1330"/>
      <c r="AH200" s="1330"/>
      <c r="AI200" s="1330"/>
      <c r="AJ200" s="1330"/>
      <c r="AK200" s="1330"/>
      <c r="AL200" s="1330"/>
      <c r="AM200" s="1312"/>
      <c r="AN200" s="1330"/>
      <c r="AO200" s="1330"/>
      <c r="AP200" s="1330"/>
      <c r="AQ200" s="1330"/>
      <c r="AR200" s="1330"/>
      <c r="AS200" s="1330"/>
      <c r="AT200" s="1363"/>
      <c r="AU200" s="1330"/>
      <c r="AV200"/>
      <c r="AW200"/>
      <c r="AX200"/>
      <c r="AY200"/>
      <c r="AZ200"/>
      <c r="BA200"/>
      <c r="BB200"/>
      <c r="BC200"/>
      <c r="BD200"/>
      <c r="BE200"/>
    </row>
    <row r="201" ht="15.6" customHeight="1" spans="2:57">
      <c r="B201" s="1309" t="s">
        <v>131</v>
      </c>
      <c r="C201" s="1417" t="s">
        <v>936</v>
      </c>
      <c r="D201" s="1162" t="s">
        <v>742</v>
      </c>
      <c r="E201" s="1162" t="s">
        <v>1236</v>
      </c>
      <c r="F201" s="1162" t="s">
        <v>1237</v>
      </c>
      <c r="G201" s="1162" t="s">
        <v>1238</v>
      </c>
      <c r="H201" s="1162" t="s">
        <v>1239</v>
      </c>
      <c r="I201" s="1162" t="s">
        <v>1240</v>
      </c>
      <c r="J201" s="1162" t="s">
        <v>1241</v>
      </c>
      <c r="K201" s="1463" t="s">
        <v>1242</v>
      </c>
      <c r="M201"/>
      <c r="N201"/>
      <c r="O201"/>
      <c r="P201" t="s">
        <v>1243</v>
      </c>
      <c r="Q201" t="s">
        <v>1244</v>
      </c>
      <c r="R201"/>
      <c r="S201"/>
      <c r="T201"/>
      <c r="U201"/>
      <c r="V201"/>
      <c r="W201"/>
      <c r="X201"/>
      <c r="Y201"/>
      <c r="Z201"/>
      <c r="AA201" s="1330"/>
      <c r="AB201" s="1330"/>
      <c r="AC201" s="1330"/>
      <c r="AD201" s="1330"/>
      <c r="AE201" s="1330"/>
      <c r="AF201" s="1330"/>
      <c r="AG201" s="1330"/>
      <c r="AH201" s="1330"/>
      <c r="AI201" s="1330"/>
      <c r="AJ201" s="1330"/>
      <c r="AK201" s="1330"/>
      <c r="AL201" s="1330"/>
      <c r="AM201" s="1312"/>
      <c r="AN201" s="1330"/>
      <c r="AO201" s="1330"/>
      <c r="AP201" s="1330"/>
      <c r="AQ201" s="1330"/>
      <c r="AR201" s="1330"/>
      <c r="AS201" s="1330"/>
      <c r="AT201" s="1330"/>
      <c r="AU201" s="1330"/>
      <c r="AV201"/>
      <c r="AW201"/>
      <c r="AX201"/>
      <c r="AY201"/>
      <c r="AZ201"/>
      <c r="BA201"/>
      <c r="BB201"/>
      <c r="BC201"/>
      <c r="BD201"/>
      <c r="BE201"/>
    </row>
    <row r="202" ht="15.6" customHeight="1" spans="2:57">
      <c r="B202" s="1309" t="s">
        <v>134</v>
      </c>
      <c r="C202" s="1417" t="s">
        <v>876</v>
      </c>
      <c r="D202" s="1162" t="s">
        <v>76</v>
      </c>
      <c r="E202" s="1162" t="s">
        <v>1245</v>
      </c>
      <c r="F202" s="1394" t="s">
        <v>1246</v>
      </c>
      <c r="G202" s="1162" t="s">
        <v>1247</v>
      </c>
      <c r="H202" s="1162" t="s">
        <v>1248</v>
      </c>
      <c r="I202" s="1162" t="s">
        <v>1249</v>
      </c>
      <c r="J202" s="1162" t="s">
        <v>1250</v>
      </c>
      <c r="K202" s="1240" t="s">
        <v>1251</v>
      </c>
      <c r="M202"/>
      <c r="N202"/>
      <c r="O202"/>
      <c r="P202" t="s">
        <v>1243</v>
      </c>
      <c r="Q202" t="s">
        <v>1252</v>
      </c>
      <c r="R202"/>
      <c r="S202"/>
      <c r="T202"/>
      <c r="U202"/>
      <c r="V202"/>
      <c r="W202"/>
      <c r="X202"/>
      <c r="Y202"/>
      <c r="Z202"/>
      <c r="AA202" s="1330"/>
      <c r="AB202" s="1330"/>
      <c r="AC202" s="1330"/>
      <c r="AD202" s="1330"/>
      <c r="AE202" s="1330"/>
      <c r="AF202" s="1330"/>
      <c r="AG202" s="1330"/>
      <c r="AH202" s="1330"/>
      <c r="AI202" s="1330"/>
      <c r="AJ202" s="1330"/>
      <c r="AK202" s="1330"/>
      <c r="AL202" s="1330"/>
      <c r="AM202" s="1312"/>
      <c r="AN202" s="1330"/>
      <c r="AO202" s="1330"/>
      <c r="AP202" s="1330"/>
      <c r="AQ202" s="1330"/>
      <c r="AR202" s="1330"/>
      <c r="AS202" s="1330"/>
      <c r="AT202" s="1330"/>
      <c r="AU202" s="1330"/>
      <c r="AV202"/>
      <c r="AW202"/>
      <c r="AX202"/>
      <c r="AY202"/>
      <c r="AZ202"/>
      <c r="BA202"/>
      <c r="BB202"/>
      <c r="BC202"/>
      <c r="BD202"/>
      <c r="BE202"/>
    </row>
    <row r="203" ht="15.6" customHeight="1" spans="2:57">
      <c r="B203" s="1309" t="s">
        <v>137</v>
      </c>
      <c r="C203" s="1417" t="s">
        <v>876</v>
      </c>
      <c r="D203" s="1162" t="s">
        <v>76</v>
      </c>
      <c r="E203" s="1162" t="s">
        <v>1253</v>
      </c>
      <c r="F203" s="1162" t="s">
        <v>1254</v>
      </c>
      <c r="G203" s="1442" t="s">
        <v>1255</v>
      </c>
      <c r="H203" s="1162" t="s">
        <v>1256</v>
      </c>
      <c r="I203" s="1162" t="s">
        <v>1257</v>
      </c>
      <c r="J203" s="1162" t="s">
        <v>1258</v>
      </c>
      <c r="K203" s="1240" t="s">
        <v>1259</v>
      </c>
      <c r="M203"/>
      <c r="N203"/>
      <c r="O203"/>
      <c r="P203" t="s">
        <v>1243</v>
      </c>
      <c r="Q203" t="s">
        <v>1260</v>
      </c>
      <c r="R203"/>
      <c r="S203"/>
      <c r="T203"/>
      <c r="U203"/>
      <c r="V203"/>
      <c r="W203"/>
      <c r="X203"/>
      <c r="Y203"/>
      <c r="Z203"/>
      <c r="AA203" s="1330"/>
      <c r="AB203" s="1330"/>
      <c r="AC203" s="1330"/>
      <c r="AD203" s="1330"/>
      <c r="AE203" s="1330"/>
      <c r="AF203" s="1330"/>
      <c r="AG203" s="1330"/>
      <c r="AH203" s="1330"/>
      <c r="AI203" s="1330"/>
      <c r="AJ203" s="1330"/>
      <c r="AK203" s="1330"/>
      <c r="AL203" s="1330"/>
      <c r="AM203" s="1312"/>
      <c r="AN203" s="1330"/>
      <c r="AO203" s="1330"/>
      <c r="AP203" s="1330"/>
      <c r="AQ203" s="1330"/>
      <c r="AR203" s="1330"/>
      <c r="AS203" s="1330"/>
      <c r="AT203" s="1330"/>
      <c r="AU203" s="1330"/>
      <c r="AV203"/>
      <c r="AW203"/>
      <c r="AX203"/>
      <c r="AY203"/>
      <c r="AZ203"/>
      <c r="BA203"/>
      <c r="BB203"/>
      <c r="BC203"/>
      <c r="BD203"/>
      <c r="BE203"/>
    </row>
    <row r="204" ht="15.6" customHeight="1" spans="2:57">
      <c r="B204" s="1309" t="s">
        <v>140</v>
      </c>
      <c r="C204" s="1457" t="s">
        <v>936</v>
      </c>
      <c r="D204" s="1207" t="s">
        <v>76</v>
      </c>
      <c r="E204" s="1207" t="s">
        <v>1261</v>
      </c>
      <c r="F204" s="1207" t="s">
        <v>1262</v>
      </c>
      <c r="G204" s="1207" t="s">
        <v>1263</v>
      </c>
      <c r="H204" s="1207" t="s">
        <v>1264</v>
      </c>
      <c r="I204" s="1207" t="s">
        <v>1265</v>
      </c>
      <c r="J204" s="1162" t="s">
        <v>1266</v>
      </c>
      <c r="K204" s="1240" t="s">
        <v>1267</v>
      </c>
      <c r="M204"/>
      <c r="N204"/>
      <c r="O204"/>
      <c r="P204" t="s">
        <v>1268</v>
      </c>
      <c r="Q204" t="s">
        <v>1269</v>
      </c>
      <c r="R204"/>
      <c r="S204"/>
      <c r="T204"/>
      <c r="U204"/>
      <c r="V204"/>
      <c r="W204"/>
      <c r="X204"/>
      <c r="Y204"/>
      <c r="Z204"/>
      <c r="AA204" s="1330"/>
      <c r="AB204" s="1330"/>
      <c r="AC204" s="1330"/>
      <c r="AD204" s="1330"/>
      <c r="AE204" s="1330"/>
      <c r="AF204" s="1330"/>
      <c r="AG204" s="1330"/>
      <c r="AH204" s="1330"/>
      <c r="AI204" s="1330"/>
      <c r="AJ204" s="1330"/>
      <c r="AK204" s="1330"/>
      <c r="AL204" s="1330"/>
      <c r="AM204" s="1341"/>
      <c r="AN204" s="1330"/>
      <c r="AO204" s="1330"/>
      <c r="AP204" s="1330"/>
      <c r="AQ204" s="1330"/>
      <c r="AR204" s="1330"/>
      <c r="AS204" s="1330"/>
      <c r="AT204" s="1330"/>
      <c r="AU204" s="1330"/>
      <c r="AV204"/>
      <c r="AW204"/>
      <c r="AX204"/>
      <c r="AY204"/>
      <c r="AZ204"/>
      <c r="BA204"/>
      <c r="BB204"/>
      <c r="BC204"/>
      <c r="BD204"/>
      <c r="BE204"/>
    </row>
    <row r="205" ht="15.6" customHeight="1" spans="2:57">
      <c r="B205" s="1311" t="s">
        <v>142</v>
      </c>
      <c r="C205" s="1417" t="s">
        <v>721</v>
      </c>
      <c r="D205" s="1162" t="s">
        <v>1270</v>
      </c>
      <c r="E205" s="1162" t="s">
        <v>76</v>
      </c>
      <c r="F205" s="1162" t="s">
        <v>1271</v>
      </c>
      <c r="G205" s="1162" t="s">
        <v>1272</v>
      </c>
      <c r="H205" s="1162" t="s">
        <v>1273</v>
      </c>
      <c r="I205" s="1162" t="s">
        <v>1274</v>
      </c>
      <c r="J205" s="1406" t="s">
        <v>1275</v>
      </c>
      <c r="K205" s="1240" t="s">
        <v>1276</v>
      </c>
      <c r="M205"/>
      <c r="N205"/>
      <c r="O205"/>
      <c r="P205" t="s">
        <v>1268</v>
      </c>
      <c r="Q205" t="s">
        <v>1277</v>
      </c>
      <c r="R205"/>
      <c r="S205"/>
      <c r="T205"/>
      <c r="U205"/>
      <c r="V205"/>
      <c r="W205"/>
      <c r="X205"/>
      <c r="Y205"/>
      <c r="Z205"/>
      <c r="AA205" s="1330"/>
      <c r="AB205" s="1330"/>
      <c r="AC205" s="1330"/>
      <c r="AD205" s="1330"/>
      <c r="AE205" s="1330"/>
      <c r="AF205" s="1330"/>
      <c r="AG205" s="1330"/>
      <c r="AH205" s="1330"/>
      <c r="AI205" s="1330"/>
      <c r="AJ205" s="1330"/>
      <c r="AK205" s="1330"/>
      <c r="AL205" s="1330"/>
      <c r="AM205" s="1341"/>
      <c r="AN205" s="1330"/>
      <c r="AO205" s="1330"/>
      <c r="AP205" s="1330"/>
      <c r="AQ205" s="1330"/>
      <c r="AR205" s="1330"/>
      <c r="AS205" s="1330"/>
      <c r="AT205" s="1330"/>
      <c r="AU205" s="1330"/>
      <c r="AV205"/>
      <c r="AW205"/>
      <c r="AX205"/>
      <c r="AY205"/>
      <c r="AZ205"/>
      <c r="BA205"/>
      <c r="BB205"/>
      <c r="BC205"/>
      <c r="BD205"/>
      <c r="BE205"/>
    </row>
    <row r="206" ht="15.6" customHeight="1" spans="2:57">
      <c r="B206" s="1311" t="s">
        <v>144</v>
      </c>
      <c r="C206" s="1417" t="s">
        <v>712</v>
      </c>
      <c r="D206" s="1162" t="s">
        <v>1270</v>
      </c>
      <c r="E206" s="1162" t="s">
        <v>76</v>
      </c>
      <c r="F206" s="1162" t="s">
        <v>1278</v>
      </c>
      <c r="G206" s="1162" t="s">
        <v>1279</v>
      </c>
      <c r="H206" s="1162" t="s">
        <v>1280</v>
      </c>
      <c r="I206" s="1162" t="s">
        <v>1281</v>
      </c>
      <c r="J206" s="1162" t="s">
        <v>1282</v>
      </c>
      <c r="K206" s="1240" t="s">
        <v>1283</v>
      </c>
      <c r="M206"/>
      <c r="N206"/>
      <c r="O206"/>
      <c r="P206" t="s">
        <v>1268</v>
      </c>
      <c r="Q206" t="s">
        <v>1284</v>
      </c>
      <c r="R206"/>
      <c r="S206"/>
      <c r="T206"/>
      <c r="U206"/>
      <c r="V206"/>
      <c r="W206"/>
      <c r="X206"/>
      <c r="Y206"/>
      <c r="Z206"/>
      <c r="AA206" s="1330"/>
      <c r="AB206" s="1330"/>
      <c r="AC206" s="1330"/>
      <c r="AD206" s="1330"/>
      <c r="AE206" s="1330"/>
      <c r="AF206" s="1330"/>
      <c r="AG206" s="1330"/>
      <c r="AH206" s="1330"/>
      <c r="AI206" s="1330"/>
      <c r="AJ206" s="1330"/>
      <c r="AK206" s="1330"/>
      <c r="AL206" s="1330"/>
      <c r="AM206" s="1312"/>
      <c r="AN206" s="1330"/>
      <c r="AO206" s="1330"/>
      <c r="AP206" s="1330"/>
      <c r="AQ206" s="1330"/>
      <c r="AR206" s="1330"/>
      <c r="AS206" s="1330"/>
      <c r="AT206" s="1330"/>
      <c r="AU206" s="1330"/>
      <c r="AV206"/>
      <c r="AW206"/>
      <c r="AX206"/>
      <c r="AY206"/>
      <c r="AZ206"/>
      <c r="BA206"/>
      <c r="BB206"/>
      <c r="BC206"/>
      <c r="BD206"/>
      <c r="BE206"/>
    </row>
    <row r="207" ht="15.6" customHeight="1" spans="2:57">
      <c r="B207" s="1311" t="s">
        <v>146</v>
      </c>
      <c r="C207" s="1417" t="s">
        <v>712</v>
      </c>
      <c r="D207" s="1162" t="s">
        <v>1270</v>
      </c>
      <c r="E207" s="1162" t="s">
        <v>76</v>
      </c>
      <c r="F207" s="1162" t="s">
        <v>1285</v>
      </c>
      <c r="G207" s="1162" t="s">
        <v>1286</v>
      </c>
      <c r="H207" s="1442" t="s">
        <v>1287</v>
      </c>
      <c r="I207" s="1162" t="s">
        <v>1288</v>
      </c>
      <c r="J207" s="1162" t="s">
        <v>1289</v>
      </c>
      <c r="K207" s="1240" t="s">
        <v>1290</v>
      </c>
      <c r="M207"/>
      <c r="N207"/>
      <c r="O207"/>
      <c r="P207" t="s">
        <v>1291</v>
      </c>
      <c r="Q207" t="s">
        <v>1292</v>
      </c>
      <c r="R207"/>
      <c r="S207"/>
      <c r="T207"/>
      <c r="U207"/>
      <c r="V207"/>
      <c r="W207"/>
      <c r="X207"/>
      <c r="Y207"/>
      <c r="Z207"/>
      <c r="AA207" s="1330"/>
      <c r="AB207" s="1330"/>
      <c r="AC207" s="1330"/>
      <c r="AD207" s="1330"/>
      <c r="AE207" s="1330"/>
      <c r="AF207" s="1330"/>
      <c r="AG207" s="1330"/>
      <c r="AH207" s="1330"/>
      <c r="AI207" s="1330"/>
      <c r="AJ207" s="1330"/>
      <c r="AK207" s="1330"/>
      <c r="AL207" s="1330"/>
      <c r="AM207" s="1312"/>
      <c r="AN207" s="1330"/>
      <c r="AO207" s="1330"/>
      <c r="AP207" s="1330"/>
      <c r="AQ207" s="1330"/>
      <c r="AR207" s="1330"/>
      <c r="AS207" s="1330"/>
      <c r="AT207" s="1330"/>
      <c r="AU207" s="1330"/>
      <c r="AV207"/>
      <c r="AW207"/>
      <c r="AX207"/>
      <c r="AY207"/>
      <c r="AZ207"/>
      <c r="BA207"/>
      <c r="BB207"/>
      <c r="BC207"/>
      <c r="BD207"/>
      <c r="BE207"/>
    </row>
    <row r="208" ht="15.6" customHeight="1" spans="2:57">
      <c r="B208" s="1311" t="s">
        <v>148</v>
      </c>
      <c r="C208" s="1417" t="s">
        <v>712</v>
      </c>
      <c r="D208" s="1162" t="s">
        <v>1270</v>
      </c>
      <c r="E208" s="1162" t="s">
        <v>1293</v>
      </c>
      <c r="F208" s="1394" t="s">
        <v>1294</v>
      </c>
      <c r="G208" s="1162" t="s">
        <v>1295</v>
      </c>
      <c r="H208" s="1162" t="s">
        <v>1296</v>
      </c>
      <c r="I208" s="1162" t="s">
        <v>1297</v>
      </c>
      <c r="J208" s="1162" t="s">
        <v>1298</v>
      </c>
      <c r="K208" s="1240" t="s">
        <v>1299</v>
      </c>
      <c r="M208"/>
      <c r="N208"/>
      <c r="O208"/>
      <c r="P208" t="s">
        <v>1291</v>
      </c>
      <c r="Q208" t="s">
        <v>1300</v>
      </c>
      <c r="R208"/>
      <c r="S208"/>
      <c r="T208"/>
      <c r="U208"/>
      <c r="V208"/>
      <c r="W208"/>
      <c r="X208"/>
      <c r="Y208"/>
      <c r="Z208"/>
      <c r="AA208" s="1330"/>
      <c r="AB208" s="1330"/>
      <c r="AC208" s="1330"/>
      <c r="AD208" s="1330"/>
      <c r="AE208" s="1330"/>
      <c r="AF208" s="1330"/>
      <c r="AG208" s="1330"/>
      <c r="AH208" s="1330"/>
      <c r="AI208" s="1330"/>
      <c r="AJ208" s="1330"/>
      <c r="AK208" s="1330"/>
      <c r="AL208" s="1330"/>
      <c r="AM208" s="1312"/>
      <c r="AN208" s="1330"/>
      <c r="AO208" s="1330"/>
      <c r="AP208" s="1330"/>
      <c r="AQ208" s="1330"/>
      <c r="AR208" s="1330"/>
      <c r="AS208" s="1330"/>
      <c r="AT208" s="1330"/>
      <c r="AU208" s="1330"/>
      <c r="AV208"/>
      <c r="AW208"/>
      <c r="AX208"/>
      <c r="AY208"/>
      <c r="AZ208"/>
      <c r="BA208"/>
      <c r="BB208"/>
      <c r="BC208"/>
      <c r="BD208"/>
      <c r="BE208"/>
    </row>
    <row r="209" ht="15.6" customHeight="1" spans="2:57">
      <c r="B209" s="1311" t="s">
        <v>151</v>
      </c>
      <c r="C209" s="1417" t="s">
        <v>712</v>
      </c>
      <c r="D209" s="1162" t="s">
        <v>1270</v>
      </c>
      <c r="E209" s="1162" t="s">
        <v>1301</v>
      </c>
      <c r="F209" s="1162" t="s">
        <v>1302</v>
      </c>
      <c r="G209" s="1162" t="s">
        <v>76</v>
      </c>
      <c r="H209" s="1162" t="s">
        <v>76</v>
      </c>
      <c r="I209" s="1162" t="s">
        <v>1303</v>
      </c>
      <c r="J209" s="1162" t="s">
        <v>1304</v>
      </c>
      <c r="K209" s="1240" t="s">
        <v>1305</v>
      </c>
      <c r="M209"/>
      <c r="N209"/>
      <c r="O209"/>
      <c r="P209" t="s">
        <v>1291</v>
      </c>
      <c r="Q209" t="s">
        <v>1306</v>
      </c>
      <c r="R209"/>
      <c r="S209"/>
      <c r="T209"/>
      <c r="U209"/>
      <c r="V209"/>
      <c r="W209"/>
      <c r="X209"/>
      <c r="Y209"/>
      <c r="Z209"/>
      <c r="AA209" s="1330"/>
      <c r="AB209" s="1330"/>
      <c r="AC209" s="1330"/>
      <c r="AD209" s="1330"/>
      <c r="AE209" s="1330"/>
      <c r="AF209" s="1330"/>
      <c r="AG209" s="1330"/>
      <c r="AH209" s="1330"/>
      <c r="AI209" s="1330"/>
      <c r="AJ209" s="1330"/>
      <c r="AK209" s="1330"/>
      <c r="AL209" s="1330"/>
      <c r="AM209" s="1312"/>
      <c r="AN209" s="1330"/>
      <c r="AO209" s="1330"/>
      <c r="AP209" s="1330"/>
      <c r="AQ209" s="1330"/>
      <c r="AR209" s="1330"/>
      <c r="AS209" s="1330"/>
      <c r="AT209" s="1330"/>
      <c r="AU209" s="1330"/>
      <c r="AV209"/>
      <c r="AW209"/>
      <c r="AX209"/>
      <c r="AY209"/>
      <c r="AZ209"/>
      <c r="BA209"/>
      <c r="BB209"/>
      <c r="BC209"/>
      <c r="BD209"/>
      <c r="BE209"/>
    </row>
    <row r="210" ht="15.6" customHeight="1" spans="2:57">
      <c r="B210" s="1311" t="s">
        <v>154</v>
      </c>
      <c r="C210" s="1417" t="s">
        <v>712</v>
      </c>
      <c r="D210" s="1162" t="s">
        <v>1307</v>
      </c>
      <c r="E210" s="1162" t="s">
        <v>76</v>
      </c>
      <c r="F210" s="1162" t="s">
        <v>1308</v>
      </c>
      <c r="G210" s="1162" t="s">
        <v>1309</v>
      </c>
      <c r="H210" s="1162" t="s">
        <v>1310</v>
      </c>
      <c r="I210" s="1162" t="s">
        <v>964</v>
      </c>
      <c r="J210" s="1162" t="s">
        <v>76</v>
      </c>
      <c r="K210" s="1240" t="s">
        <v>76</v>
      </c>
      <c r="M210"/>
      <c r="N210"/>
      <c r="O210"/>
      <c r="P210"/>
      <c r="Q210"/>
      <c r="R210"/>
      <c r="S210"/>
      <c r="T210"/>
      <c r="U210"/>
      <c r="V210"/>
      <c r="W210"/>
      <c r="X210"/>
      <c r="Y210"/>
      <c r="Z210"/>
      <c r="AA210" s="1330"/>
      <c r="AB210" s="1330"/>
      <c r="AC210" s="1330"/>
      <c r="AD210" s="1330"/>
      <c r="AE210" s="1330"/>
      <c r="AF210" s="1330"/>
      <c r="AG210" s="1330"/>
      <c r="AH210" s="1330"/>
      <c r="AI210" s="1330"/>
      <c r="AJ210" s="1330"/>
      <c r="AK210" s="1330"/>
      <c r="AL210" s="1330"/>
      <c r="AM210" s="1312"/>
      <c r="AN210" s="1330"/>
      <c r="AO210" s="1330"/>
      <c r="AP210" s="1330"/>
      <c r="AQ210" s="1330"/>
      <c r="AR210" s="1330"/>
      <c r="AS210" s="1330"/>
      <c r="AT210" s="1330"/>
      <c r="AU210" s="1330"/>
      <c r="AV210"/>
      <c r="AW210"/>
      <c r="AX210"/>
      <c r="AY210"/>
      <c r="AZ210"/>
      <c r="BA210"/>
      <c r="BB210"/>
      <c r="BC210"/>
      <c r="BD210"/>
      <c r="BE210"/>
    </row>
    <row r="211" ht="15.6" customHeight="1" spans="2:57">
      <c r="B211" s="1311" t="s">
        <v>690</v>
      </c>
      <c r="C211" s="1417" t="s">
        <v>712</v>
      </c>
      <c r="D211" s="1162" t="s">
        <v>1311</v>
      </c>
      <c r="E211" s="1162" t="s">
        <v>76</v>
      </c>
      <c r="F211" s="1394" t="s">
        <v>1312</v>
      </c>
      <c r="G211" s="1162" t="s">
        <v>76</v>
      </c>
      <c r="H211" s="1162" t="s">
        <v>76</v>
      </c>
      <c r="I211" s="1162" t="s">
        <v>76</v>
      </c>
      <c r="J211" s="1162" t="s">
        <v>76</v>
      </c>
      <c r="K211" s="1240" t="s">
        <v>76</v>
      </c>
      <c r="M211"/>
      <c r="N211"/>
      <c r="O211"/>
      <c r="P211"/>
      <c r="Q211"/>
      <c r="R211"/>
      <c r="S211"/>
      <c r="T211"/>
      <c r="U211"/>
      <c r="V211"/>
      <c r="W211"/>
      <c r="X211"/>
      <c r="Y211"/>
      <c r="Z211"/>
      <c r="AA211" s="1330"/>
      <c r="AB211" s="1330"/>
      <c r="AC211" s="1330"/>
      <c r="AD211" s="1330"/>
      <c r="AE211" s="1330"/>
      <c r="AF211" s="1330"/>
      <c r="AG211" s="1330"/>
      <c r="AH211" s="1330"/>
      <c r="AI211" s="1330"/>
      <c r="AJ211" s="1330"/>
      <c r="AK211" s="1330"/>
      <c r="AL211" s="1330"/>
      <c r="AM211" s="1312"/>
      <c r="AN211" s="1330"/>
      <c r="AO211" s="1330"/>
      <c r="AP211" s="1330"/>
      <c r="AQ211" s="1330"/>
      <c r="AR211" s="1330"/>
      <c r="AS211" s="1330"/>
      <c r="AT211" s="1330"/>
      <c r="AU211" s="1330"/>
      <c r="AV211"/>
      <c r="AW211"/>
      <c r="AX211"/>
      <c r="AY211"/>
      <c r="AZ211"/>
      <c r="BA211"/>
      <c r="BB211"/>
      <c r="BC211"/>
      <c r="BD211"/>
      <c r="BE211"/>
    </row>
    <row r="212" ht="15.6" customHeight="1" spans="2:57">
      <c r="B212" s="1186" t="str">
        <f>人物卡!AU26</f>
        <v>自定义</v>
      </c>
      <c r="C212" s="1458">
        <f>人物卡!BA26</f>
        <v>0</v>
      </c>
      <c r="D212" s="1187" t="s">
        <v>84</v>
      </c>
      <c r="E212" s="1187" t="s">
        <v>644</v>
      </c>
      <c r="F212" s="1187" t="str">
        <f>IF(ISBLANK(人物卡!BA29),"",人物卡!BA29)</f>
        <v>基础值</v>
      </c>
      <c r="G212" s="1187" t="s">
        <v>644</v>
      </c>
      <c r="H212" s="1187" t="s">
        <v>644</v>
      </c>
      <c r="I212" s="1187" t="s">
        <v>644</v>
      </c>
      <c r="J212" s="1187" t="s">
        <v>644</v>
      </c>
      <c r="K212" s="1243" t="s">
        <v>644</v>
      </c>
      <c r="M212"/>
      <c r="N212"/>
      <c r="O212"/>
      <c r="P212"/>
      <c r="Q212"/>
      <c r="R212"/>
      <c r="S212"/>
      <c r="T212"/>
      <c r="U212"/>
      <c r="V212"/>
      <c r="W212"/>
      <c r="X212"/>
      <c r="Y212"/>
      <c r="Z212"/>
      <c r="AA212" s="1330"/>
      <c r="AB212" s="1330"/>
      <c r="AC212" s="1330"/>
      <c r="AD212" s="1330"/>
      <c r="AE212" s="1330"/>
      <c r="AF212" s="1330"/>
      <c r="AG212" s="1330"/>
      <c r="AH212" s="1330"/>
      <c r="AI212" s="1330"/>
      <c r="AJ212" s="1330"/>
      <c r="AK212" s="1330"/>
      <c r="AL212" s="1330"/>
      <c r="AM212" s="1312"/>
      <c r="AN212" s="1330"/>
      <c r="AO212" s="1330"/>
      <c r="AP212" s="1330"/>
      <c r="AQ212" s="1330"/>
      <c r="AR212" s="1330"/>
      <c r="AS212" s="1330"/>
      <c r="AT212" s="1330"/>
      <c r="AU212" s="1330"/>
      <c r="AV212"/>
      <c r="AW212"/>
      <c r="AX212"/>
      <c r="AY212"/>
      <c r="AZ212"/>
      <c r="BA212"/>
      <c r="BB212"/>
      <c r="BC212"/>
      <c r="BD212"/>
      <c r="BE212"/>
    </row>
    <row r="213" ht="15.6" customHeight="1" spans="2:57">
      <c r="B213" s="1394"/>
      <c r="M213"/>
      <c r="N213"/>
      <c r="O213"/>
      <c r="P213"/>
      <c r="Q213"/>
      <c r="R213"/>
      <c r="S213"/>
      <c r="T213"/>
      <c r="U213"/>
      <c r="V213"/>
      <c r="W213"/>
      <c r="X213"/>
      <c r="Y213"/>
      <c r="Z213"/>
      <c r="AV213"/>
      <c r="AW213"/>
      <c r="AX213"/>
      <c r="AY213"/>
      <c r="AZ213"/>
      <c r="BA213"/>
      <c r="BB213"/>
      <c r="BC213"/>
      <c r="BD213"/>
      <c r="BE213"/>
    </row>
    <row r="214" ht="15.6" customHeight="1" spans="2:57">
      <c r="B214" s="1459" t="s">
        <v>75</v>
      </c>
      <c r="C214" s="1417" t="s">
        <v>721</v>
      </c>
      <c r="D214" s="1162" t="s">
        <v>1313</v>
      </c>
      <c r="E214" s="1394" t="s">
        <v>1314</v>
      </c>
      <c r="F214" s="1394" t="s">
        <v>1315</v>
      </c>
      <c r="G214" s="1392" t="s">
        <v>744</v>
      </c>
      <c r="H214" s="1391" t="s">
        <v>745</v>
      </c>
      <c r="I214" s="1421" t="s">
        <v>746</v>
      </c>
      <c r="J214" s="1204" t="s">
        <v>747</v>
      </c>
      <c r="K214" s="1175" t="s">
        <v>748</v>
      </c>
      <c r="M214"/>
      <c r="N214"/>
      <c r="O214"/>
      <c r="P214"/>
      <c r="Q214"/>
      <c r="R214"/>
      <c r="S214"/>
      <c r="T214"/>
      <c r="U214"/>
      <c r="V214"/>
      <c r="W214"/>
      <c r="X214"/>
      <c r="Y214"/>
      <c r="Z214"/>
      <c r="AV214"/>
      <c r="AW214"/>
      <c r="AX214"/>
      <c r="AY214"/>
      <c r="AZ214"/>
      <c r="BA214"/>
      <c r="BB214"/>
      <c r="BC214"/>
      <c r="BD214"/>
      <c r="BE214"/>
    </row>
    <row r="215" ht="15.6" customHeight="1" spans="2:57">
      <c r="B215" s="1459" t="s">
        <v>181</v>
      </c>
      <c r="D215" s="1162" t="s">
        <v>1313</v>
      </c>
      <c r="M215"/>
      <c r="N215"/>
      <c r="O215"/>
      <c r="P215"/>
      <c r="Q215"/>
      <c r="R215"/>
      <c r="S215"/>
      <c r="T215"/>
      <c r="U215"/>
      <c r="V215"/>
      <c r="W215"/>
      <c r="X215"/>
      <c r="Y215"/>
      <c r="Z215"/>
      <c r="AV215"/>
      <c r="AW215"/>
      <c r="AX215"/>
      <c r="AY215"/>
      <c r="AZ215"/>
      <c r="BA215"/>
      <c r="BB215"/>
      <c r="BC215"/>
      <c r="BD215"/>
      <c r="BE215"/>
    </row>
    <row r="216" ht="15.25" spans="2:57">
      <c r="B216" s="1459" t="s">
        <v>164</v>
      </c>
      <c r="D216" s="1162" t="s">
        <v>1313</v>
      </c>
      <c r="AV216"/>
      <c r="AW216"/>
      <c r="AX216"/>
      <c r="AY216"/>
      <c r="AZ216"/>
      <c r="BA216"/>
      <c r="BB216"/>
      <c r="BC216"/>
      <c r="BD216"/>
      <c r="BE216"/>
    </row>
    <row r="217" ht="17.25" spans="2:57">
      <c r="B217" s="1459" t="s">
        <v>166</v>
      </c>
      <c r="D217" s="1162" t="s">
        <v>1313</v>
      </c>
      <c r="M217" s="1464" t="s">
        <v>741</v>
      </c>
      <c r="N217" s="1465"/>
      <c r="O217" s="1466" t="s">
        <v>1157</v>
      </c>
      <c r="P217" s="1467"/>
      <c r="Q217" s="1487" t="s">
        <v>994</v>
      </c>
      <c r="R217" s="1487"/>
      <c r="S217" s="1488" t="s">
        <v>464</v>
      </c>
      <c r="T217" s="1489"/>
      <c r="U217" s="1466" t="s">
        <v>195</v>
      </c>
      <c r="V217" s="1467"/>
      <c r="AV217"/>
      <c r="AW217"/>
      <c r="AX217"/>
      <c r="AY217"/>
      <c r="AZ217"/>
      <c r="BA217"/>
      <c r="BB217"/>
      <c r="BC217"/>
      <c r="BD217"/>
      <c r="BE217"/>
    </row>
    <row r="218" ht="16.5" spans="2:57">
      <c r="B218" s="1459" t="s">
        <v>169</v>
      </c>
      <c r="D218" s="1162" t="s">
        <v>1313</v>
      </c>
      <c r="M218" s="1468" t="s">
        <v>328</v>
      </c>
      <c r="N218" s="1469" t="s">
        <v>90</v>
      </c>
      <c r="O218" s="1470" t="s">
        <v>328</v>
      </c>
      <c r="P218" s="1471" t="s">
        <v>90</v>
      </c>
      <c r="Q218" s="1470" t="s">
        <v>328</v>
      </c>
      <c r="R218" s="1470" t="s">
        <v>90</v>
      </c>
      <c r="S218" s="1490" t="s">
        <v>328</v>
      </c>
      <c r="T218" s="1491" t="s">
        <v>90</v>
      </c>
      <c r="U218" s="1470" t="s">
        <v>328</v>
      </c>
      <c r="V218" s="1471" t="s">
        <v>90</v>
      </c>
      <c r="AV218"/>
      <c r="AW218"/>
      <c r="AX218"/>
      <c r="AY218"/>
      <c r="AZ218"/>
      <c r="BA218"/>
      <c r="BB218"/>
      <c r="BC218"/>
      <c r="BD218"/>
      <c r="BE218"/>
    </row>
    <row r="219" ht="19.1" customHeight="1" spans="2:57">
      <c r="B219" s="1459" t="s">
        <v>1316</v>
      </c>
      <c r="D219" s="1162" t="s">
        <v>1313</v>
      </c>
      <c r="M219" s="1472" t="s">
        <v>751</v>
      </c>
      <c r="N219" s="1473">
        <v>5</v>
      </c>
      <c r="O219" s="1428" t="s">
        <v>1166</v>
      </c>
      <c r="P219" s="1474">
        <v>1</v>
      </c>
      <c r="Q219" s="1475" t="s">
        <v>133</v>
      </c>
      <c r="R219" s="1492">
        <v>20</v>
      </c>
      <c r="S219" s="1493" t="s">
        <v>1317</v>
      </c>
      <c r="T219" s="1494">
        <v>1</v>
      </c>
      <c r="U219" s="1428" t="s">
        <v>120</v>
      </c>
      <c r="V219" s="1474">
        <v>25</v>
      </c>
      <c r="Z219" s="1517" t="s">
        <v>1318</v>
      </c>
      <c r="AA219" s="1517"/>
      <c r="AB219" s="1517"/>
      <c r="AC219" s="1517"/>
      <c r="AD219" s="1517"/>
      <c r="AE219" s="1517"/>
      <c r="AF219" s="1517"/>
      <c r="AG219" s="1517"/>
      <c r="AH219" s="1517"/>
      <c r="AV219"/>
      <c r="AW219"/>
      <c r="AX219"/>
      <c r="AY219"/>
      <c r="AZ219"/>
      <c r="BA219"/>
      <c r="BB219"/>
      <c r="BC219"/>
      <c r="BD219"/>
      <c r="BE219"/>
    </row>
    <row r="220" ht="18" customHeight="1" spans="2:57">
      <c r="B220" s="1459" t="s">
        <v>176</v>
      </c>
      <c r="D220" s="1162" t="s">
        <v>1313</v>
      </c>
      <c r="M220" s="1472" t="s">
        <v>756</v>
      </c>
      <c r="N220" s="1473">
        <v>5</v>
      </c>
      <c r="O220" s="1475" t="s">
        <v>1170</v>
      </c>
      <c r="P220" s="1476">
        <v>1</v>
      </c>
      <c r="Q220" s="1428" t="s">
        <v>470</v>
      </c>
      <c r="R220" s="1495">
        <v>25</v>
      </c>
      <c r="S220" s="1496" t="s">
        <v>1319</v>
      </c>
      <c r="T220" s="1497">
        <v>1</v>
      </c>
      <c r="U220" s="1428" t="s">
        <v>655</v>
      </c>
      <c r="V220" s="1474">
        <v>5</v>
      </c>
      <c r="Z220" s="1518"/>
      <c r="AA220" s="1519"/>
      <c r="AB220" s="1520"/>
      <c r="AC220" s="1520"/>
      <c r="AD220" s="1520"/>
      <c r="AE220" s="1520"/>
      <c r="AF220" s="1520"/>
      <c r="AG220" s="1520"/>
      <c r="AH220" s="1520"/>
      <c r="AJ220" s="1451"/>
      <c r="AV220"/>
      <c r="AW220"/>
      <c r="AX220"/>
      <c r="AY220"/>
      <c r="AZ220"/>
      <c r="BA220"/>
      <c r="BB220"/>
      <c r="BC220"/>
      <c r="BD220"/>
      <c r="BE220"/>
    </row>
    <row r="221" ht="18" customHeight="1" spans="2:57">
      <c r="B221" s="1459" t="s">
        <v>178</v>
      </c>
      <c r="D221" s="1162" t="s">
        <v>1313</v>
      </c>
      <c r="M221" s="1472" t="s">
        <v>760</v>
      </c>
      <c r="N221" s="1473">
        <v>5</v>
      </c>
      <c r="O221" s="1428" t="s">
        <v>1173</v>
      </c>
      <c r="P221" s="1474">
        <v>1</v>
      </c>
      <c r="Q221" s="1475" t="s">
        <v>637</v>
      </c>
      <c r="R221" s="1492">
        <v>15</v>
      </c>
      <c r="S221" s="1176" t="s">
        <v>1320</v>
      </c>
      <c r="T221" s="1494">
        <v>1</v>
      </c>
      <c r="U221" s="1475" t="s">
        <v>656</v>
      </c>
      <c r="V221" s="1476">
        <v>10</v>
      </c>
      <c r="Z221" s="1518" t="s">
        <v>1321</v>
      </c>
      <c r="AA221" s="1519"/>
      <c r="AB221" s="1521" t="str">
        <f>IF(AD222&lt;=0,"连贫穷都够不上的人才能够叫做身无分文。住所：大概只有睡大街。旅行：步行，扒车或逃票上火车轮船。",IF(AD222&lt;=9,"刚好买得起最廉价的屋顶，每天能够吃到一餐廉价食物住所：最最最廉价的出租屋或睡袋旅馆。旅行：最便宜的公众运输方式。反正只要赶便宜就对了，与之相伴的是不可靠。",IF(AD222&lt;=49,"舒适的生活水平，一日三餐，偶尔下馆子。住所：普通的家或公寓，并关租赁还是自购。外出住普通的旅馆。旅行：会使用普通的旅行方式，不会用最高级。在现代来看，大概会有一辆自己的小车。",IF(AD222&lt;=89,"小康级别已经可以享受奢侈品的舒适了。住所：真材实料的住地，也许会有一些仆人（管家，主妇，清洁工，园丁，等等）。乡下估计还有小别墅。会住昂贵的宾馆。旅行：头等舱。会买高档车或同等的交通工具。",IF(AD222&lt;=98,"富裕级别就是享受超级奢侈品的时候了。住所：豪华住所和有着大量仆人的庭院。乡下和别处有着别墅是定番。住总统套房。旅行：头等舱。现代社会估摸还会有很多豪车。",IF(AD222=99,"与富裕差不多，但钱已经只是一个代号了。你将是世界上最富有的人。","请正确分配您的技能点！"))))))</f>
        <v>连贫穷都够不上的人才能够叫做身无分文。住所：大概只有睡大街。旅行：步行，扒车或逃票上火车轮船。</v>
      </c>
      <c r="AC221" s="1522"/>
      <c r="AD221" s="1523" t="s">
        <v>1322</v>
      </c>
      <c r="AE221" s="1524" t="s">
        <v>1323</v>
      </c>
      <c r="AF221" s="1525"/>
      <c r="AG221" s="1584"/>
      <c r="AH221" s="1520"/>
      <c r="AV221"/>
      <c r="AW221"/>
      <c r="AX221"/>
      <c r="AY221"/>
      <c r="AZ221"/>
      <c r="BA221"/>
      <c r="BB221"/>
      <c r="BC221"/>
      <c r="BD221"/>
      <c r="BE221"/>
    </row>
    <row r="222" ht="18" customHeight="1" spans="2:57">
      <c r="B222" s="1459" t="s">
        <v>165</v>
      </c>
      <c r="D222" s="1162" t="s">
        <v>1313</v>
      </c>
      <c r="M222" s="1472" t="s">
        <v>764</v>
      </c>
      <c r="N222" s="1473">
        <v>5</v>
      </c>
      <c r="O222" s="1475" t="s">
        <v>1177</v>
      </c>
      <c r="P222" s="1476">
        <v>1</v>
      </c>
      <c r="Q222" s="1428" t="s">
        <v>642</v>
      </c>
      <c r="R222" s="1495">
        <v>15</v>
      </c>
      <c r="S222" s="1176" t="s">
        <v>1324</v>
      </c>
      <c r="T222" s="1497">
        <v>1</v>
      </c>
      <c r="U222" s="1428" t="s">
        <v>657</v>
      </c>
      <c r="V222" s="1474">
        <v>10</v>
      </c>
      <c r="Z222" s="1526" t="s">
        <v>93</v>
      </c>
      <c r="AA222" s="1527"/>
      <c r="AB222" s="1528"/>
      <c r="AC222" s="1529"/>
      <c r="AD222" s="1305">
        <f>人物卡!R26</f>
        <v>0</v>
      </c>
      <c r="AE222" s="1517"/>
      <c r="AF222" s="1517" t="s">
        <v>12</v>
      </c>
      <c r="AG222" s="1585">
        <v>1920</v>
      </c>
      <c r="AH222" s="1520"/>
      <c r="AV222"/>
      <c r="AW222"/>
      <c r="AX222"/>
      <c r="AY222"/>
      <c r="AZ222"/>
      <c r="BA222"/>
      <c r="BB222"/>
      <c r="BC222"/>
      <c r="BD222"/>
      <c r="BE222"/>
    </row>
    <row r="223" ht="18" customHeight="1" spans="2:57">
      <c r="B223" s="1459" t="s">
        <v>168</v>
      </c>
      <c r="D223" s="1162" t="s">
        <v>1313</v>
      </c>
      <c r="M223" s="1472" t="s">
        <v>768</v>
      </c>
      <c r="N223" s="1473">
        <v>5</v>
      </c>
      <c r="O223" s="1428" t="s">
        <v>1180</v>
      </c>
      <c r="P223" s="1474">
        <v>1</v>
      </c>
      <c r="Q223" s="1475" t="s">
        <v>645</v>
      </c>
      <c r="R223" s="1492">
        <v>10</v>
      </c>
      <c r="S223" s="1176" t="s">
        <v>1325</v>
      </c>
      <c r="T223" s="1494">
        <v>1</v>
      </c>
      <c r="U223" s="1475" t="s">
        <v>658</v>
      </c>
      <c r="V223" s="1476">
        <v>15</v>
      </c>
      <c r="Z223" s="1530" t="str">
        <f>AD222&amp;"%/"&amp;AD223&amp;"%/"&amp;AD224&amp;"%"</f>
        <v>0%/0%/0%</v>
      </c>
      <c r="AA223" s="1531"/>
      <c r="AB223" s="1528"/>
      <c r="AC223" s="1529"/>
      <c r="AD223" s="1305">
        <f>人物卡!T26</f>
        <v>0</v>
      </c>
      <c r="AE223" s="1532" t="s">
        <v>230</v>
      </c>
      <c r="AF223" s="1533">
        <f>VLOOKUP(AF226,Z243:AC263,2,FALSE)</f>
        <v>1500</v>
      </c>
      <c r="AG223" s="1586">
        <f>VLOOKUP(AF226,AE243:AH263,2,FALSE)</f>
        <v>1500</v>
      </c>
      <c r="AH223" s="1520"/>
      <c r="AV223"/>
      <c r="AW223"/>
      <c r="AX223"/>
      <c r="AY223"/>
      <c r="AZ223"/>
      <c r="BA223"/>
      <c r="BB223"/>
      <c r="BC223"/>
      <c r="BD223"/>
      <c r="BE223"/>
    </row>
    <row r="224" ht="18" customHeight="1" spans="2:57">
      <c r="B224" s="1459" t="s">
        <v>173</v>
      </c>
      <c r="C224" s="1417" t="s">
        <v>721</v>
      </c>
      <c r="D224" s="1162" t="s">
        <v>1313</v>
      </c>
      <c r="E224" s="1394" t="s">
        <v>1326</v>
      </c>
      <c r="F224" s="1394" t="s">
        <v>1327</v>
      </c>
      <c r="G224" s="1394" t="s">
        <v>1328</v>
      </c>
      <c r="H224" s="1394" t="s">
        <v>1329</v>
      </c>
      <c r="I224" s="1394" t="s">
        <v>1330</v>
      </c>
      <c r="J224" s="1394" t="s">
        <v>1331</v>
      </c>
      <c r="K224" s="1394" t="s">
        <v>1332</v>
      </c>
      <c r="M224" s="1472" t="s">
        <v>772</v>
      </c>
      <c r="N224" s="1473">
        <v>5</v>
      </c>
      <c r="O224" s="1475" t="s">
        <v>1183</v>
      </c>
      <c r="P224" s="1476">
        <v>1</v>
      </c>
      <c r="Q224" s="1428" t="s">
        <v>646</v>
      </c>
      <c r="R224" s="1495">
        <v>10</v>
      </c>
      <c r="S224" s="1176" t="s">
        <v>1333</v>
      </c>
      <c r="T224" s="1497">
        <v>1</v>
      </c>
      <c r="U224" s="1475" t="s">
        <v>659</v>
      </c>
      <c r="V224" s="1476">
        <v>15</v>
      </c>
      <c r="Z224" s="1534" t="s">
        <v>229</v>
      </c>
      <c r="AA224" s="1535"/>
      <c r="AB224" s="1528"/>
      <c r="AC224" s="1529"/>
      <c r="AD224" s="1536">
        <f>人物卡!V26</f>
        <v>0</v>
      </c>
      <c r="AE224" s="1532" t="s">
        <v>232</v>
      </c>
      <c r="AF224" s="1533">
        <f>VLOOKUP(AF226,Z243:AC263,3,FALSE)</f>
        <v>1500</v>
      </c>
      <c r="AG224" s="1586">
        <f>VLOOKUP(AF226,AE243:AH263,3,FALSE)</f>
        <v>1500</v>
      </c>
      <c r="AH224" s="1520"/>
      <c r="AV224"/>
      <c r="AW224"/>
      <c r="AX224"/>
      <c r="AY224"/>
      <c r="AZ224"/>
      <c r="BA224"/>
      <c r="BB224"/>
      <c r="BC224"/>
      <c r="BD224"/>
      <c r="BE224"/>
    </row>
    <row r="225" ht="18" customHeight="1" spans="2:57">
      <c r="B225" s="1459" t="s">
        <v>175</v>
      </c>
      <c r="D225" s="1162" t="s">
        <v>1313</v>
      </c>
      <c r="M225" s="1472" t="s">
        <v>776</v>
      </c>
      <c r="N225" s="1473">
        <v>5</v>
      </c>
      <c r="O225" s="1428" t="s">
        <v>1187</v>
      </c>
      <c r="P225" s="1474">
        <v>1</v>
      </c>
      <c r="Q225" s="1475" t="s">
        <v>647</v>
      </c>
      <c r="R225" s="1492">
        <v>10</v>
      </c>
      <c r="S225" s="1176" t="s">
        <v>1334</v>
      </c>
      <c r="T225" s="1494">
        <v>1</v>
      </c>
      <c r="U225" s="1428" t="s">
        <v>660</v>
      </c>
      <c r="V225" s="1474">
        <v>20</v>
      </c>
      <c r="Z225" s="1537" t="str">
        <f>LOOKUP(AD222,{0,1,10,50,90,99},{"身无分文","贫穷","标准","小康","富裕","富豪"})</f>
        <v>身无分文</v>
      </c>
      <c r="AA225" s="1538"/>
      <c r="AB225" s="1528"/>
      <c r="AC225" s="1529"/>
      <c r="AD225" s="1520"/>
      <c r="AE225" s="1539" t="s">
        <v>231</v>
      </c>
      <c r="AF225" s="1540" t="str">
        <f>VLOOKUP(AF226,Z243:AC263,4,FALSE)</f>
        <v>没有</v>
      </c>
      <c r="AG225" s="1536" t="str">
        <f>VLOOKUP(AF226,AE243:AH263,4,FALSE)</f>
        <v>没有</v>
      </c>
      <c r="AH225" s="1520"/>
      <c r="AV225"/>
      <c r="AW225"/>
      <c r="AX225"/>
      <c r="AY225"/>
      <c r="AZ225"/>
      <c r="BA225"/>
      <c r="BB225"/>
      <c r="BC225"/>
      <c r="BD225"/>
      <c r="BE225"/>
    </row>
    <row r="226" ht="18" customHeight="1" spans="2:57">
      <c r="B226" s="1459" t="s">
        <v>1335</v>
      </c>
      <c r="D226" s="1162" t="s">
        <v>1313</v>
      </c>
      <c r="F226" s="1394" t="s">
        <v>1336</v>
      </c>
      <c r="M226" s="1472" t="s">
        <v>780</v>
      </c>
      <c r="N226" s="1473">
        <v>5</v>
      </c>
      <c r="O226" s="1475" t="s">
        <v>1190</v>
      </c>
      <c r="P226" s="1476">
        <v>1</v>
      </c>
      <c r="Q226" s="1428" t="s">
        <v>649</v>
      </c>
      <c r="R226" s="1495">
        <v>15</v>
      </c>
      <c r="S226" s="1472" t="str">
        <f>IF(ISBLANK(人物卡!AU32),"",人物卡!AU32)</f>
        <v>自定义</v>
      </c>
      <c r="T226" s="1498">
        <f>IF(ISBLANK(人物卡!BA26),"",人物卡!BA26)</f>
        <v>0</v>
      </c>
      <c r="U226" s="1475" t="s">
        <v>661</v>
      </c>
      <c r="V226" s="1476">
        <v>20</v>
      </c>
      <c r="W226" s="1162" t="s">
        <v>1337</v>
      </c>
      <c r="Z226" s="1541" t="s">
        <v>230</v>
      </c>
      <c r="AA226" s="1542"/>
      <c r="AB226" s="1528"/>
      <c r="AC226" s="1529"/>
      <c r="AD226" s="1520"/>
      <c r="AE226" s="1543" t="s">
        <v>1338</v>
      </c>
      <c r="AF226" s="1544" t="str">
        <f>人物卡!S74</f>
        <v>日元</v>
      </c>
      <c r="AG226" s="1520"/>
      <c r="AH226" s="1520"/>
      <c r="AV226"/>
      <c r="AW226"/>
      <c r="AX226"/>
      <c r="AY226"/>
      <c r="AZ226"/>
      <c r="BA226"/>
      <c r="BB226"/>
      <c r="BC226"/>
      <c r="BD226"/>
      <c r="BE226"/>
    </row>
    <row r="227" ht="18" customHeight="1" spans="2:57">
      <c r="B227" s="1162" t="s">
        <v>179</v>
      </c>
      <c r="D227" s="1162" t="s">
        <v>1313</v>
      </c>
      <c r="M227" s="1472" t="s">
        <v>784</v>
      </c>
      <c r="N227" s="1473">
        <v>5</v>
      </c>
      <c r="O227" s="1428" t="s">
        <v>1193</v>
      </c>
      <c r="P227" s="1474">
        <v>1</v>
      </c>
      <c r="Q227" s="1475" t="s">
        <v>650</v>
      </c>
      <c r="R227" s="1492">
        <v>15</v>
      </c>
      <c r="S227" s="1499" t="s">
        <v>1339</v>
      </c>
      <c r="T227" s="1500">
        <v>1</v>
      </c>
      <c r="U227" s="1501" t="s">
        <v>662</v>
      </c>
      <c r="V227" s="1430">
        <v>25</v>
      </c>
      <c r="Z227" s="1545" t="str">
        <f>IF(AF227="1920s",IF(AD222=0,"0.5",IF(AND(AD222&gt;0,AD222&lt;10),"2",IF(AND(AD222&gt;9,AD222&lt;50),"10",IF(AND(AD222&gt;49,AD222&lt;90),"50",IF(AND(AD222&gt;89,AD222&lt;99),"250",IF(AD222&gt;=99,"5000","信誉异常")))))),IF(AF227="现代",IF(AD222=0,"10",IF(AND(AD222&gt;0,AD222&lt;10),"40",IF(AND(AD222&gt;9,AD222&lt;50),"200",IF(AND(AD222&gt;49,AD222&lt;90),"1000",IF(AND(AD222&gt;89,AD222&lt;99),"5000",IF(AD222&gt;=99,"100000","信誉异常")))))),IF(AF227="其他","——","信誉异常")))</f>
        <v>10</v>
      </c>
      <c r="AA227" s="1546"/>
      <c r="AB227" s="1528"/>
      <c r="AC227" s="1529"/>
      <c r="AD227" s="1520"/>
      <c r="AE227" s="1547" t="s">
        <v>1340</v>
      </c>
      <c r="AF227" s="1304" t="str">
        <f>人物卡!M4</f>
        <v>现代</v>
      </c>
      <c r="AG227" s="1520"/>
      <c r="AH227" s="1520"/>
      <c r="AV227"/>
      <c r="AW227"/>
      <c r="AX227"/>
      <c r="AY227"/>
      <c r="AZ227"/>
      <c r="BA227"/>
      <c r="BB227"/>
      <c r="BC227"/>
      <c r="BD227"/>
      <c r="BE227"/>
    </row>
    <row r="228" ht="18" customHeight="1" spans="2:57">
      <c r="B228" s="1176" t="s">
        <v>738</v>
      </c>
      <c r="M228" s="1472" t="s">
        <v>788</v>
      </c>
      <c r="N228" s="1473">
        <v>5</v>
      </c>
      <c r="O228" s="1475" t="s">
        <v>1197</v>
      </c>
      <c r="P228" s="1476">
        <v>1</v>
      </c>
      <c r="Q228" s="1428" t="s">
        <v>651</v>
      </c>
      <c r="R228" s="1495">
        <v>5</v>
      </c>
      <c r="S228" s="1502" t="s">
        <v>1341</v>
      </c>
      <c r="T228" s="1503">
        <v>1</v>
      </c>
      <c r="U228" s="1501" t="s">
        <v>663</v>
      </c>
      <c r="V228" s="1430">
        <v>15</v>
      </c>
      <c r="Z228" s="1548" t="s">
        <v>231</v>
      </c>
      <c r="AA228" s="1549"/>
      <c r="AB228" s="1528"/>
      <c r="AC228" s="1529"/>
      <c r="AD228" s="1520"/>
      <c r="AE228" s="1550" t="s">
        <v>1342</v>
      </c>
      <c r="AF228" s="1551"/>
      <c r="AG228" s="1523"/>
      <c r="AH228" s="1520"/>
      <c r="AV228"/>
      <c r="AW228"/>
      <c r="AX228"/>
      <c r="AY228"/>
      <c r="AZ228"/>
      <c r="BA228"/>
      <c r="BB228"/>
      <c r="BC228"/>
      <c r="BD228"/>
      <c r="BE228"/>
    </row>
    <row r="229" ht="18" customHeight="1" spans="2:57">
      <c r="B229" s="1460" t="s">
        <v>1343</v>
      </c>
      <c r="D229" s="1162" t="s">
        <v>174</v>
      </c>
      <c r="M229" s="1472" t="s">
        <v>792</v>
      </c>
      <c r="N229" s="1473">
        <v>5</v>
      </c>
      <c r="O229" s="1428" t="s">
        <v>1200</v>
      </c>
      <c r="P229" s="1474">
        <v>1</v>
      </c>
      <c r="Q229" s="1475" t="s">
        <v>652</v>
      </c>
      <c r="R229" s="1492">
        <v>5</v>
      </c>
      <c r="S229" s="1176" t="s">
        <v>1344</v>
      </c>
      <c r="T229" s="1503">
        <v>1</v>
      </c>
      <c r="U229" s="1501" t="s">
        <v>664</v>
      </c>
      <c r="V229" s="1430">
        <v>10</v>
      </c>
      <c r="Z229" s="1552" t="str">
        <f>IF(AF227="1920s",IF(AD222=0,"没有",IF(AND(AD222&gt;0,AD222&lt;10),AD222*10,IF(AND(AD222&gt;9,AD222&lt;50),AD222*50,IF(AND(AD222&gt;49,AD222&lt;90),AD222*500,IF(AND(AD222&gt;89,AD222&lt;99),AD222*2000,IF(AD222&gt;=99,"5000000","信誉异常")))))),IF(AF227="现代",IF(AD222=0,"没有",IF(AND(AD222&gt;0,AD222&lt;10),AD222*200,IF(AND(AD222&gt;9,AD222&lt;50),AD222*1000,IF(AND(AD222&gt;49,AD222&lt;90),AD222*10000,IF(AND(AD222&gt;89,AD222&lt;99),AD222*40000,IF(AD222&gt;=99,"100000000","信誉异常")))))),IF(AF227="其他","——","信誉异常")))</f>
        <v>没有</v>
      </c>
      <c r="AA229" s="1553"/>
      <c r="AB229" s="1528"/>
      <c r="AC229" s="1529"/>
      <c r="AD229" s="1520"/>
      <c r="AE229" s="1554" t="s">
        <v>230</v>
      </c>
      <c r="AF229" s="1555" t="s">
        <v>232</v>
      </c>
      <c r="AG229" s="1564" t="s">
        <v>231</v>
      </c>
      <c r="AH229" s="1520"/>
      <c r="AV229"/>
      <c r="AW229"/>
      <c r="AX229"/>
      <c r="AY229"/>
      <c r="AZ229"/>
      <c r="BA229"/>
      <c r="BB229"/>
      <c r="BC229"/>
      <c r="BD229"/>
      <c r="BE229"/>
    </row>
    <row r="230" ht="18" customHeight="1" spans="2:57">
      <c r="B230" s="1176" t="s">
        <v>1345</v>
      </c>
      <c r="D230" s="1162" t="s">
        <v>174</v>
      </c>
      <c r="M230" s="1472" t="s">
        <v>796</v>
      </c>
      <c r="N230" s="1473">
        <v>5</v>
      </c>
      <c r="O230" s="1475" t="s">
        <v>1203</v>
      </c>
      <c r="P230" s="1476">
        <v>1</v>
      </c>
      <c r="Q230" s="1428" t="s">
        <v>653</v>
      </c>
      <c r="R230" s="1495">
        <v>5</v>
      </c>
      <c r="S230" s="1176" t="s">
        <v>1346</v>
      </c>
      <c r="T230" s="1503">
        <v>1</v>
      </c>
      <c r="U230" s="1504" t="s">
        <v>665</v>
      </c>
      <c r="V230" s="1431">
        <v>20</v>
      </c>
      <c r="Z230" s="1526" t="s">
        <v>431</v>
      </c>
      <c r="AA230" s="1549"/>
      <c r="AB230" s="1528"/>
      <c r="AC230" s="1529"/>
      <c r="AD230" s="1520"/>
      <c r="AE230" s="1556">
        <f>IF(AF227="1920s",AG223,IF(AF227="现代",AF223,IF(AF227="其他","——")))</f>
        <v>1500</v>
      </c>
      <c r="AF230" s="1557">
        <f>IF(AF227="1920s",AG224,IF(AF227="现代",AF224,IF(AF227="其他","——")))</f>
        <v>1500</v>
      </c>
      <c r="AG230" s="1536" t="str">
        <f>IF(AF227="1920s",AG225,IF(AF227="现代",AF225,IF(AF227="其他","——")))</f>
        <v>没有</v>
      </c>
      <c r="AH230" s="1520"/>
      <c r="AV230"/>
      <c r="AW230"/>
      <c r="AX230"/>
      <c r="AY230"/>
      <c r="AZ230"/>
      <c r="BA230"/>
      <c r="BB230"/>
      <c r="BC230"/>
      <c r="BD230"/>
      <c r="BE230"/>
    </row>
    <row r="231" ht="18" customHeight="1" spans="2:57">
      <c r="B231" s="1176" t="s">
        <v>1347</v>
      </c>
      <c r="D231" s="1162" t="s">
        <v>174</v>
      </c>
      <c r="M231" s="1472" t="s">
        <v>800</v>
      </c>
      <c r="N231" s="1473">
        <v>5</v>
      </c>
      <c r="O231" s="1428" t="s">
        <v>1207</v>
      </c>
      <c r="P231" s="1474">
        <v>1</v>
      </c>
      <c r="Q231" s="1475" t="s">
        <v>654</v>
      </c>
      <c r="R231" s="1492">
        <v>5</v>
      </c>
      <c r="S231" s="1176" t="s">
        <v>1348</v>
      </c>
      <c r="T231" s="1503">
        <v>1</v>
      </c>
      <c r="U231" s="1504" t="s">
        <v>666</v>
      </c>
      <c r="V231" s="1431">
        <v>15</v>
      </c>
      <c r="Z231" s="1558" t="str">
        <f>IF(AF227="1920s",IF(AD222=0,"0.5",IF(AND(AD222&gt;0,AD222&lt;10),AD222,IF(AND(AD222&gt;9,AD222&lt;50),AD222*2,IF(AND(AD222&gt;49,AD222&lt;90),AD222*5,IF(AND(AD222&gt;89,AD222&lt;99),AD222*20,IF(AD222&gt;=99,"50000","信誉异常")))))),IF(AF227="现代",IF(AD222=0,"10",IF(AND(AD222&gt;0,AD222&lt;10),AD222*20,IF(AND(AD222&gt;9,AD222&lt;50),AD222*40,IF(AND(AD222&gt;49,AD222&lt;90),AD222*100,IF(AND(AD222&gt;89,AD222&lt;99),AD222*400,IF(AD222&gt;=99,"1000000","信誉异常")))))),IF(AF227="其他","——","信誉异常")))</f>
        <v>10</v>
      </c>
      <c r="AA231" s="1559"/>
      <c r="AB231" s="1560"/>
      <c r="AC231" s="1561"/>
      <c r="AD231" s="1520"/>
      <c r="AE231" s="1562">
        <f>ABS(AE230)</f>
        <v>1500</v>
      </c>
      <c r="AF231" s="1562">
        <f>ABS(AF230)</f>
        <v>1500</v>
      </c>
      <c r="AG231" s="1569">
        <f>IF(AG230="没有",0,ABS(AG230))</f>
        <v>0</v>
      </c>
      <c r="AH231" s="1520"/>
      <c r="AV231"/>
      <c r="AW231"/>
      <c r="AX231"/>
      <c r="AY231"/>
      <c r="AZ231"/>
      <c r="BA231"/>
      <c r="BB231"/>
      <c r="BC231"/>
      <c r="BD231"/>
      <c r="BE231"/>
    </row>
    <row r="232" ht="18" customHeight="1" spans="2:57">
      <c r="B232" s="1176" t="s">
        <v>1349</v>
      </c>
      <c r="D232" s="1162" t="s">
        <v>174</v>
      </c>
      <c r="M232" s="1472" t="s">
        <v>804</v>
      </c>
      <c r="N232" s="1473">
        <v>5</v>
      </c>
      <c r="O232" s="1477" t="s">
        <v>1350</v>
      </c>
      <c r="P232" s="1474">
        <v>1</v>
      </c>
      <c r="Q232" s="1428" t="str">
        <f>IF(ISBLANK(人物卡!AU30),"",人物卡!AU30)</f>
        <v>自定义</v>
      </c>
      <c r="R232" s="1495">
        <f>IF(ISBLANK(人物卡!BA30),"",人物卡!BA30)</f>
        <v>0</v>
      </c>
      <c r="S232" s="1176" t="s">
        <v>1351</v>
      </c>
      <c r="T232" s="1240">
        <v>1</v>
      </c>
      <c r="U232" s="1504" t="s">
        <v>667</v>
      </c>
      <c r="V232" s="1431">
        <v>25</v>
      </c>
      <c r="Z232" s="1520"/>
      <c r="AA232" s="1520"/>
      <c r="AB232" s="1520"/>
      <c r="AC232" s="1520"/>
      <c r="AD232" s="1520"/>
      <c r="AE232" s="1550" t="s">
        <v>1352</v>
      </c>
      <c r="AF232" s="1551"/>
      <c r="AG232" s="1523"/>
      <c r="AH232" s="1520"/>
      <c r="AV232"/>
      <c r="AW232"/>
      <c r="AX232"/>
      <c r="AY232"/>
      <c r="AZ232"/>
      <c r="BA232"/>
      <c r="BB232"/>
      <c r="BC232"/>
      <c r="BD232"/>
      <c r="BE232"/>
    </row>
    <row r="233" ht="18" customHeight="1" spans="2:57">
      <c r="B233" s="1176" t="s">
        <v>1353</v>
      </c>
      <c r="D233" s="1162" t="s">
        <v>174</v>
      </c>
      <c r="M233" s="1472" t="s">
        <v>808</v>
      </c>
      <c r="N233" s="1473">
        <v>5</v>
      </c>
      <c r="O233" s="1477" t="s">
        <v>1354</v>
      </c>
      <c r="P233" s="1476">
        <v>1</v>
      </c>
      <c r="Q233" s="1505"/>
      <c r="S233" s="1176" t="s">
        <v>1355</v>
      </c>
      <c r="T233" s="1503">
        <v>1</v>
      </c>
      <c r="U233" s="1504" t="s">
        <v>668</v>
      </c>
      <c r="V233" s="1431">
        <v>15</v>
      </c>
      <c r="Z233" s="1550" t="s">
        <v>1356</v>
      </c>
      <c r="AA233" s="1551"/>
      <c r="AB233" s="1551"/>
      <c r="AC233" s="1523"/>
      <c r="AD233" s="1520"/>
      <c r="AE233" s="1554" t="s">
        <v>230</v>
      </c>
      <c r="AF233" s="1555" t="s">
        <v>232</v>
      </c>
      <c r="AG233" s="1564" t="s">
        <v>231</v>
      </c>
      <c r="AH233" s="1520"/>
      <c r="AV233"/>
      <c r="AW233"/>
      <c r="AX233"/>
      <c r="AY233"/>
      <c r="AZ233"/>
      <c r="BA233"/>
      <c r="BB233"/>
      <c r="BC233"/>
      <c r="BD233"/>
      <c r="BE233"/>
    </row>
    <row r="234" ht="18" customHeight="1" spans="2:57">
      <c r="B234" s="1176" t="s">
        <v>1357</v>
      </c>
      <c r="D234" s="1162" t="s">
        <v>174</v>
      </c>
      <c r="M234" s="1472" t="s">
        <v>812</v>
      </c>
      <c r="N234" s="1473">
        <v>5</v>
      </c>
      <c r="O234" s="1477" t="s">
        <v>1358</v>
      </c>
      <c r="P234" s="1474">
        <v>1</v>
      </c>
      <c r="Q234" s="1505"/>
      <c r="R234" s="1506"/>
      <c r="S234" s="1176" t="s">
        <v>1359</v>
      </c>
      <c r="T234" s="1503">
        <v>1</v>
      </c>
      <c r="U234" s="1504" t="s">
        <v>669</v>
      </c>
      <c r="V234" s="1431">
        <v>10</v>
      </c>
      <c r="Z234" s="1563"/>
      <c r="AA234" s="1555" t="s">
        <v>230</v>
      </c>
      <c r="AB234" s="1555" t="s">
        <v>232</v>
      </c>
      <c r="AC234" s="1564" t="s">
        <v>231</v>
      </c>
      <c r="AD234" s="1565"/>
      <c r="AE234" s="1566" t="str">
        <f>AE230/10000&amp;"万"</f>
        <v>0.15万</v>
      </c>
      <c r="AF234" s="1557">
        <f>AF230</f>
        <v>1500</v>
      </c>
      <c r="AG234" s="1536" t="str">
        <f>IF(AG230="没有","没有",AG230/10000&amp;"万")</f>
        <v>没有</v>
      </c>
      <c r="AH234" s="1520"/>
      <c r="AV234"/>
      <c r="AW234"/>
      <c r="AX234"/>
      <c r="AY234"/>
      <c r="AZ234"/>
      <c r="BA234"/>
      <c r="BB234"/>
      <c r="BC234"/>
      <c r="BD234"/>
      <c r="BE234"/>
    </row>
    <row r="235" ht="18" customHeight="1" spans="2:57">
      <c r="B235" s="1176" t="s">
        <v>1360</v>
      </c>
      <c r="D235" s="1162" t="s">
        <v>174</v>
      </c>
      <c r="M235" s="1472" t="s">
        <v>816</v>
      </c>
      <c r="N235" s="1473">
        <v>5</v>
      </c>
      <c r="O235" s="1477" t="s">
        <v>1361</v>
      </c>
      <c r="P235" s="1476">
        <v>1</v>
      </c>
      <c r="Q235" s="1505"/>
      <c r="R235" s="1506"/>
      <c r="S235" s="1176" t="s">
        <v>1362</v>
      </c>
      <c r="T235" s="1240">
        <v>1</v>
      </c>
      <c r="U235" s="1504" t="s">
        <v>670</v>
      </c>
      <c r="V235" s="1431">
        <v>10</v>
      </c>
      <c r="Z235" s="1563" t="s">
        <v>1352</v>
      </c>
      <c r="AA235" s="1567">
        <f>IF((AE231&gt;=AA237),1,0)</f>
        <v>0</v>
      </c>
      <c r="AB235" s="1567">
        <f>IF(AF231&gt;=AA237,1,0)</f>
        <v>0</v>
      </c>
      <c r="AC235" s="1305">
        <f>IF(AG231&gt;=AA237,1,0)</f>
        <v>0</v>
      </c>
      <c r="AD235" s="1520"/>
      <c r="AE235" s="1550" t="s">
        <v>1363</v>
      </c>
      <c r="AF235" s="1551"/>
      <c r="AG235" s="1523"/>
      <c r="AH235" s="1520"/>
      <c r="AV235"/>
      <c r="AW235"/>
      <c r="AX235"/>
      <c r="AY235"/>
      <c r="AZ235"/>
      <c r="BA235"/>
      <c r="BB235"/>
      <c r="BC235"/>
      <c r="BD235"/>
      <c r="BE235"/>
    </row>
    <row r="236" ht="18" customHeight="1" spans="2:57">
      <c r="B236" s="1176" t="s">
        <v>1364</v>
      </c>
      <c r="D236" s="1162" t="s">
        <v>174</v>
      </c>
      <c r="M236" s="1472" t="s">
        <v>820</v>
      </c>
      <c r="N236" s="1473">
        <v>5</v>
      </c>
      <c r="O236" s="1477" t="s">
        <v>1365</v>
      </c>
      <c r="P236" s="1474">
        <v>1</v>
      </c>
      <c r="Q236" s="1505"/>
      <c r="R236" s="1506"/>
      <c r="S236" s="1176" t="s">
        <v>1366</v>
      </c>
      <c r="T236" s="1503">
        <v>1</v>
      </c>
      <c r="U236" s="1504" t="s">
        <v>671</v>
      </c>
      <c r="V236" s="1431">
        <v>10</v>
      </c>
      <c r="X236" s="1507"/>
      <c r="Z236" s="1568" t="s">
        <v>1363</v>
      </c>
      <c r="AA236" s="1540">
        <f>IF(AE231&gt;=AC237,1,0)</f>
        <v>0</v>
      </c>
      <c r="AB236" s="1540">
        <f>IF(AF231&gt;=AC237,1,0)</f>
        <v>0</v>
      </c>
      <c r="AC236" s="1536">
        <f>IF(AG231&gt;=AC237,1,0)</f>
        <v>0</v>
      </c>
      <c r="AD236" s="1520"/>
      <c r="AE236" s="1554" t="s">
        <v>230</v>
      </c>
      <c r="AF236" s="1555" t="s">
        <v>232</v>
      </c>
      <c r="AG236" s="1564" t="s">
        <v>231</v>
      </c>
      <c r="AH236" s="1520"/>
      <c r="AV236"/>
      <c r="AW236"/>
      <c r="AX236"/>
      <c r="AY236"/>
      <c r="AZ236"/>
      <c r="BA236"/>
      <c r="BB236"/>
      <c r="BC236"/>
      <c r="BD236"/>
      <c r="BE236"/>
    </row>
    <row r="237" ht="18" customHeight="1" spans="2:57">
      <c r="B237" s="1176" t="s">
        <v>1367</v>
      </c>
      <c r="D237" s="1162" t="s">
        <v>174</v>
      </c>
      <c r="M237" s="1472" t="s">
        <v>166</v>
      </c>
      <c r="N237" s="1473">
        <v>5</v>
      </c>
      <c r="O237" s="1477" t="s">
        <v>1368</v>
      </c>
      <c r="P237" s="1476">
        <v>1</v>
      </c>
      <c r="Q237" s="1505"/>
      <c r="R237" s="1506"/>
      <c r="S237" s="1176" t="s">
        <v>1369</v>
      </c>
      <c r="T237" s="1240">
        <v>1</v>
      </c>
      <c r="U237" s="1504" t="s">
        <v>672</v>
      </c>
      <c r="V237" s="1431">
        <v>5</v>
      </c>
      <c r="Z237" s="1520"/>
      <c r="AA237" s="1569">
        <v>10000</v>
      </c>
      <c r="AB237" s="1520"/>
      <c r="AC237" s="1570">
        <v>100000000</v>
      </c>
      <c r="AD237" s="1520"/>
      <c r="AE237" s="1566" t="str">
        <f>AE230/100000000&amp;"亿"</f>
        <v>0.000015亿</v>
      </c>
      <c r="AF237" s="1557">
        <f>AF230</f>
        <v>1500</v>
      </c>
      <c r="AG237" s="1536" t="str">
        <f>IF(AG230="没有","没有",AG230/100000000&amp;"亿")</f>
        <v>没有</v>
      </c>
      <c r="AH237" s="1520"/>
      <c r="AV237"/>
      <c r="AW237"/>
      <c r="AX237"/>
      <c r="AY237"/>
      <c r="AZ237"/>
      <c r="BA237"/>
      <c r="BB237"/>
      <c r="BC237"/>
      <c r="BD237"/>
      <c r="BE237"/>
    </row>
    <row r="238" ht="18" customHeight="1" spans="2:57">
      <c r="B238" s="1176" t="s">
        <v>738</v>
      </c>
      <c r="M238" s="1472" t="s">
        <v>827</v>
      </c>
      <c r="N238" s="1473">
        <v>5</v>
      </c>
      <c r="O238" s="1477" t="s">
        <v>1370</v>
      </c>
      <c r="P238" s="1474">
        <v>1</v>
      </c>
      <c r="Q238" s="1505"/>
      <c r="R238" s="1506"/>
      <c r="S238" s="1176" t="s">
        <v>1371</v>
      </c>
      <c r="T238" s="1240">
        <v>1</v>
      </c>
      <c r="U238" s="1504" t="s">
        <v>673</v>
      </c>
      <c r="V238" s="1431">
        <v>5</v>
      </c>
      <c r="Z238" s="1520"/>
      <c r="AA238" s="1520"/>
      <c r="AB238" s="1520"/>
      <c r="AC238" s="1520"/>
      <c r="AD238" s="1520"/>
      <c r="AE238" s="1550" t="s">
        <v>1372</v>
      </c>
      <c r="AF238" s="1551"/>
      <c r="AG238" s="1523"/>
      <c r="AH238" s="1520"/>
      <c r="AV238"/>
      <c r="AW238"/>
      <c r="AX238"/>
      <c r="AY238"/>
      <c r="AZ238"/>
      <c r="BA238"/>
      <c r="BB238"/>
      <c r="BC238"/>
      <c r="BD238"/>
      <c r="BE238"/>
    </row>
    <row r="239" ht="18" customHeight="1" spans="2:57">
      <c r="B239" s="1460" t="s">
        <v>1373</v>
      </c>
      <c r="D239" s="1162" t="s">
        <v>1374</v>
      </c>
      <c r="M239" s="1472" t="s">
        <v>831</v>
      </c>
      <c r="N239" s="1473">
        <v>5</v>
      </c>
      <c r="O239" s="1477" t="s">
        <v>1375</v>
      </c>
      <c r="P239" s="1476">
        <v>1</v>
      </c>
      <c r="Q239" s="1505"/>
      <c r="R239" s="1506"/>
      <c r="S239" s="1176" t="s">
        <v>1376</v>
      </c>
      <c r="T239" s="1240">
        <v>1</v>
      </c>
      <c r="U239" s="1504" t="s">
        <v>674</v>
      </c>
      <c r="V239" s="1431">
        <v>5</v>
      </c>
      <c r="Z239" s="1520"/>
      <c r="AA239" s="1520"/>
      <c r="AB239" s="1520"/>
      <c r="AC239" s="1520"/>
      <c r="AD239" s="1520"/>
      <c r="AE239" s="1554" t="s">
        <v>230</v>
      </c>
      <c r="AF239" s="1555" t="s">
        <v>232</v>
      </c>
      <c r="AG239" s="1564" t="s">
        <v>231</v>
      </c>
      <c r="AH239" s="1520"/>
      <c r="AV239"/>
      <c r="AW239"/>
      <c r="AX239"/>
      <c r="AY239"/>
      <c r="AZ239"/>
      <c r="BA239"/>
      <c r="BB239"/>
      <c r="BC239"/>
      <c r="BD239"/>
      <c r="BE239"/>
    </row>
    <row r="240" ht="18" customHeight="1" spans="2:57">
      <c r="B240" s="1176" t="s">
        <v>1377</v>
      </c>
      <c r="D240" s="1162" t="s">
        <v>1374</v>
      </c>
      <c r="M240" s="1472" t="s">
        <v>835</v>
      </c>
      <c r="N240" s="1473">
        <v>5</v>
      </c>
      <c r="O240" s="1477" t="s">
        <v>1378</v>
      </c>
      <c r="P240" s="1474">
        <v>1</v>
      </c>
      <c r="Q240" s="1505"/>
      <c r="R240" s="1506"/>
      <c r="S240" s="1186" t="s">
        <v>1379</v>
      </c>
      <c r="T240" s="1243">
        <v>1</v>
      </c>
      <c r="U240" s="1504" t="s">
        <v>675</v>
      </c>
      <c r="V240" s="1431">
        <v>1</v>
      </c>
      <c r="AE240" s="1566">
        <f>IF(AF227="其他",AE230,IF(AA236=1,AE237,IF(AA235=1,AE234,AE230)))</f>
        <v>1500</v>
      </c>
      <c r="AF240" s="1557">
        <f>IF(AF227="其他",AE230,IF(AB236=1,AF237,IF(AB235=1,AF234,AF230)))</f>
        <v>1500</v>
      </c>
      <c r="AG240" s="1536" t="str">
        <f>IF(AF227="其他",AE230,IF(AC236=1,AG237,IF(AC235=1,AG234,AG230)))</f>
        <v>没有</v>
      </c>
      <c r="AV240"/>
      <c r="AW240"/>
      <c r="AX240"/>
      <c r="AY240"/>
      <c r="AZ240"/>
      <c r="BA240"/>
      <c r="BB240"/>
      <c r="BC240"/>
      <c r="BD240"/>
      <c r="BE240"/>
    </row>
    <row r="241" ht="18" customHeight="1" spans="2:57">
      <c r="B241" s="1176" t="s">
        <v>1380</v>
      </c>
      <c r="D241" s="1162" t="s">
        <v>1374</v>
      </c>
      <c r="M241" s="1472" t="s">
        <v>839</v>
      </c>
      <c r="N241" s="1473">
        <v>5</v>
      </c>
      <c r="O241" s="1477" t="s">
        <v>1381</v>
      </c>
      <c r="P241" s="1476">
        <v>1</v>
      </c>
      <c r="Q241" s="1505"/>
      <c r="R241" s="1506"/>
      <c r="U241" s="1431" t="s">
        <v>676</v>
      </c>
      <c r="V241" s="1431">
        <v>25</v>
      </c>
      <c r="Z241" s="1571" t="s">
        <v>1382</v>
      </c>
      <c r="AA241" s="1572"/>
      <c r="AB241" s="1572"/>
      <c r="AC241" s="1572"/>
      <c r="AD241" s="1572"/>
      <c r="AE241" s="1572"/>
      <c r="AF241" s="1572"/>
      <c r="AG241" s="1587"/>
      <c r="AV241"/>
      <c r="AW241"/>
      <c r="AX241"/>
      <c r="AY241"/>
      <c r="AZ241"/>
      <c r="BA241"/>
      <c r="BB241"/>
      <c r="BC241"/>
      <c r="BD241"/>
      <c r="BE241"/>
    </row>
    <row r="242" ht="18" customHeight="1" spans="2:57">
      <c r="B242" s="1176" t="s">
        <v>1383</v>
      </c>
      <c r="D242" s="1162" t="s">
        <v>1374</v>
      </c>
      <c r="M242" s="1472" t="s">
        <v>843</v>
      </c>
      <c r="N242" s="1478">
        <v>5</v>
      </c>
      <c r="O242" s="1477" t="s">
        <v>1384</v>
      </c>
      <c r="P242" s="1474">
        <v>1</v>
      </c>
      <c r="Q242" s="1505"/>
      <c r="R242" s="1506"/>
      <c r="U242" s="1431" t="s">
        <v>677</v>
      </c>
      <c r="V242" s="1431">
        <v>20</v>
      </c>
      <c r="Z242" s="1573"/>
      <c r="AA242" s="1574" t="s">
        <v>230</v>
      </c>
      <c r="AB242" s="1574" t="s">
        <v>232</v>
      </c>
      <c r="AC242" s="1574" t="s">
        <v>231</v>
      </c>
      <c r="AD242" s="1575"/>
      <c r="AE242" s="1576"/>
      <c r="AF242" s="1574" t="s">
        <v>230</v>
      </c>
      <c r="AG242" s="1574" t="s">
        <v>232</v>
      </c>
      <c r="AH242" s="1588" t="s">
        <v>231</v>
      </c>
      <c r="AV242"/>
      <c r="AW242"/>
      <c r="AX242"/>
      <c r="AY242"/>
      <c r="AZ242"/>
      <c r="BA242"/>
      <c r="BB242"/>
      <c r="BC242"/>
      <c r="BD242"/>
      <c r="BE242"/>
    </row>
    <row r="243" ht="18" customHeight="1" spans="2:57">
      <c r="B243" s="1461" t="s">
        <v>1385</v>
      </c>
      <c r="D243" s="1162" t="s">
        <v>1374</v>
      </c>
      <c r="M243" s="1472" t="s">
        <v>847</v>
      </c>
      <c r="N243" s="1478">
        <v>5</v>
      </c>
      <c r="O243" s="1477" t="s">
        <v>1386</v>
      </c>
      <c r="P243" s="1476">
        <v>1</v>
      </c>
      <c r="Q243" s="1505"/>
      <c r="R243" s="1506"/>
      <c r="U243" s="1431" t="s">
        <v>678</v>
      </c>
      <c r="V243" s="1431">
        <v>15</v>
      </c>
      <c r="Z243" s="1188" t="s">
        <v>1387</v>
      </c>
      <c r="AA243" s="1189" t="str">
        <f>Z227</f>
        <v>10</v>
      </c>
      <c r="AB243" s="1189" t="str">
        <f>Z231</f>
        <v>10</v>
      </c>
      <c r="AC243" s="1189" t="str">
        <f>Z229</f>
        <v>没有</v>
      </c>
      <c r="AD243" s="1189"/>
      <c r="AE243" s="1188" t="s">
        <v>1387</v>
      </c>
      <c r="AF243" s="1189" t="str">
        <f>Z227</f>
        <v>10</v>
      </c>
      <c r="AG243" s="1189" t="str">
        <f>Z231</f>
        <v>10</v>
      </c>
      <c r="AH243" s="1190" t="str">
        <f>Z229</f>
        <v>没有</v>
      </c>
      <c r="AV243"/>
      <c r="AW243"/>
      <c r="AX243"/>
      <c r="AY243"/>
      <c r="AZ243"/>
      <c r="BA243"/>
      <c r="BB243"/>
      <c r="BC243"/>
      <c r="BD243"/>
      <c r="BE243"/>
    </row>
    <row r="244" ht="18" customHeight="1" spans="2:57">
      <c r="B244" s="1462" t="s">
        <v>1388</v>
      </c>
      <c r="D244" s="1162" t="s">
        <v>1374</v>
      </c>
      <c r="M244" s="1472" t="s">
        <v>851</v>
      </c>
      <c r="N244" s="1478">
        <v>5</v>
      </c>
      <c r="O244" s="1477" t="s">
        <v>1389</v>
      </c>
      <c r="P244" s="1474">
        <v>1</v>
      </c>
      <c r="Q244" s="1505"/>
      <c r="R244" s="1506"/>
      <c r="S244" s="1508"/>
      <c r="U244" s="1431" t="s">
        <v>679</v>
      </c>
      <c r="V244" s="1431">
        <v>10</v>
      </c>
      <c r="Z244" s="1176" t="s">
        <v>1390</v>
      </c>
      <c r="AE244" s="1176" t="s">
        <v>1391</v>
      </c>
      <c r="AH244" s="1240"/>
      <c r="AV244"/>
      <c r="AW244"/>
      <c r="AX244"/>
      <c r="AY244"/>
      <c r="AZ244"/>
      <c r="BA244"/>
      <c r="BB244"/>
      <c r="BC244"/>
      <c r="BD244"/>
      <c r="BE244"/>
    </row>
    <row r="245" ht="18" customHeight="1" spans="2:57">
      <c r="B245" s="1176" t="s">
        <v>1392</v>
      </c>
      <c r="D245" s="1162" t="s">
        <v>1374</v>
      </c>
      <c r="M245" s="1472" t="s">
        <v>1393</v>
      </c>
      <c r="N245" s="1478">
        <v>5</v>
      </c>
      <c r="O245" s="1477" t="s">
        <v>1394</v>
      </c>
      <c r="P245" s="1474">
        <v>1</v>
      </c>
      <c r="Q245" s="1505"/>
      <c r="R245" s="1506"/>
      <c r="S245" s="1508"/>
      <c r="U245" s="1509" t="str">
        <f>IF(ISBLANK(人物卡!AU28),"",人物卡!AU28)</f>
        <v>自定义</v>
      </c>
      <c r="V245" s="1509">
        <f>IF(ISBLANK(人物卡!BA28),"",人物卡!BA28)</f>
        <v>0</v>
      </c>
      <c r="Y245" s="1239"/>
      <c r="Z245" s="1577" t="s">
        <v>1395</v>
      </c>
      <c r="AA245" s="1578">
        <f>Z227*AD245</f>
        <v>80</v>
      </c>
      <c r="AB245" s="1578">
        <f>Z231*AD245</f>
        <v>80</v>
      </c>
      <c r="AC245" s="1578" t="str">
        <f>IF(Z229="没有","没有",Z229*AD245)</f>
        <v>没有</v>
      </c>
      <c r="AD245" s="1239">
        <v>8</v>
      </c>
      <c r="AE245" s="1577" t="s">
        <v>1395</v>
      </c>
      <c r="AF245" s="1579">
        <f t="shared" ref="AF245:AF251" si="2">AA245</f>
        <v>80</v>
      </c>
      <c r="AG245" s="1579">
        <f t="shared" ref="AG245:AG251" si="3">AB245</f>
        <v>80</v>
      </c>
      <c r="AH245" s="1589" t="str">
        <f t="shared" ref="AH245:AH251" si="4">AC245</f>
        <v>没有</v>
      </c>
      <c r="AI245" s="1239"/>
      <c r="AV245"/>
      <c r="AW245"/>
      <c r="AX245"/>
      <c r="AY245"/>
      <c r="AZ245"/>
      <c r="BA245"/>
      <c r="BB245"/>
      <c r="BC245"/>
      <c r="BD245"/>
      <c r="BE245"/>
    </row>
    <row r="246" ht="18" customHeight="1" spans="2:57">
      <c r="B246" s="1176" t="s">
        <v>1396</v>
      </c>
      <c r="D246" s="1162" t="s">
        <v>1374</v>
      </c>
      <c r="M246" s="1472" t="s">
        <v>859</v>
      </c>
      <c r="N246" s="1478">
        <v>5</v>
      </c>
      <c r="O246" s="1477" t="s">
        <v>1397</v>
      </c>
      <c r="P246" s="1476">
        <v>1</v>
      </c>
      <c r="Y246" s="1239"/>
      <c r="Z246" s="1580" t="s">
        <v>1398</v>
      </c>
      <c r="AA246" s="1581">
        <f>附表!Z227*AD246</f>
        <v>80</v>
      </c>
      <c r="AB246" s="1581">
        <f>附表!Z231*AD246</f>
        <v>80</v>
      </c>
      <c r="AC246" s="1579" t="str">
        <f>IF(Z229="没有","没有",Z229*AD246)</f>
        <v>没有</v>
      </c>
      <c r="AD246" s="1239">
        <v>8</v>
      </c>
      <c r="AE246" s="1580" t="s">
        <v>1398</v>
      </c>
      <c r="AF246" s="1579">
        <f t="shared" si="2"/>
        <v>80</v>
      </c>
      <c r="AG246" s="1579">
        <f t="shared" si="3"/>
        <v>80</v>
      </c>
      <c r="AH246" s="1589" t="str">
        <f t="shared" si="4"/>
        <v>没有</v>
      </c>
      <c r="AI246" s="1239"/>
      <c r="AV246"/>
      <c r="AW246"/>
      <c r="AX246"/>
      <c r="AY246"/>
      <c r="AZ246"/>
      <c r="BA246"/>
      <c r="BB246"/>
      <c r="BC246"/>
      <c r="BD246"/>
      <c r="BE246"/>
    </row>
    <row r="247" ht="18" customHeight="1" spans="2:57">
      <c r="B247" s="1176" t="s">
        <v>1399</v>
      </c>
      <c r="D247" s="1162" t="s">
        <v>1374</v>
      </c>
      <c r="M247" s="1479" t="s">
        <v>1400</v>
      </c>
      <c r="N247" s="1478">
        <v>5</v>
      </c>
      <c r="O247" s="1480" t="str">
        <f>IF(ISBLANK(人物卡!AU34),"",人物卡!AU34)</f>
        <v>自定义</v>
      </c>
      <c r="P247" s="1481">
        <f>IF(ISBLANK(人物卡!BA26),"",人物卡!BA26)</f>
        <v>0</v>
      </c>
      <c r="Y247" s="1239"/>
      <c r="Z247" s="1582" t="s">
        <v>1401</v>
      </c>
      <c r="AA247" s="1581">
        <f>Z227*AD247</f>
        <v>320</v>
      </c>
      <c r="AB247" s="1581">
        <f>Z231*AD247</f>
        <v>320</v>
      </c>
      <c r="AC247" s="1579" t="str">
        <f>IF(Z229="没有","没有",Z229*AD247)</f>
        <v>没有</v>
      </c>
      <c r="AD247" s="1239">
        <v>32</v>
      </c>
      <c r="AE247" s="1582" t="s">
        <v>1401</v>
      </c>
      <c r="AF247" s="1579">
        <f t="shared" si="2"/>
        <v>320</v>
      </c>
      <c r="AG247" s="1579">
        <f t="shared" si="3"/>
        <v>320</v>
      </c>
      <c r="AH247" s="1589" t="str">
        <f t="shared" si="4"/>
        <v>没有</v>
      </c>
      <c r="AV247"/>
      <c r="AW247"/>
      <c r="AX247"/>
      <c r="AY247"/>
      <c r="AZ247"/>
      <c r="BA247"/>
      <c r="BB247"/>
      <c r="BC247"/>
      <c r="BD247"/>
      <c r="BE247"/>
    </row>
    <row r="248" ht="18" customHeight="1" spans="2:57">
      <c r="B248" s="1176" t="s">
        <v>1402</v>
      </c>
      <c r="D248" s="1162" t="s">
        <v>1374</v>
      </c>
      <c r="M248" s="1479" t="s">
        <v>1403</v>
      </c>
      <c r="N248" s="1478">
        <v>5</v>
      </c>
      <c r="Y248" s="1239"/>
      <c r="Z248" s="1582" t="s">
        <v>236</v>
      </c>
      <c r="AA248" s="1578">
        <f>Z227*AD248</f>
        <v>1500</v>
      </c>
      <c r="AB248" s="1578">
        <f>Z231*AD248</f>
        <v>1500</v>
      </c>
      <c r="AC248" s="1578" t="str">
        <f>IF(Z229="没有","没有",Z229*AD248)</f>
        <v>没有</v>
      </c>
      <c r="AD248" s="1239">
        <v>150</v>
      </c>
      <c r="AE248" s="1582" t="s">
        <v>236</v>
      </c>
      <c r="AF248" s="1579">
        <f t="shared" si="2"/>
        <v>1500</v>
      </c>
      <c r="AG248" s="1579">
        <f t="shared" si="3"/>
        <v>1500</v>
      </c>
      <c r="AH248" s="1589" t="str">
        <f t="shared" si="4"/>
        <v>没有</v>
      </c>
      <c r="AI248" s="1239"/>
      <c r="AV248"/>
      <c r="AW248"/>
      <c r="AX248"/>
      <c r="AY248"/>
      <c r="AZ248"/>
      <c r="BA248"/>
      <c r="BB248"/>
      <c r="BC248"/>
      <c r="BD248"/>
      <c r="BE248"/>
    </row>
    <row r="249" ht="18" customHeight="1" spans="2:57">
      <c r="B249" s="1176" t="s">
        <v>1404</v>
      </c>
      <c r="D249" s="1162" t="s">
        <v>1374</v>
      </c>
      <c r="M249" s="1479" t="s">
        <v>1405</v>
      </c>
      <c r="N249" s="1478">
        <v>5</v>
      </c>
      <c r="Y249" s="1239"/>
      <c r="Z249" s="1582" t="s">
        <v>1406</v>
      </c>
      <c r="AA249" s="1581">
        <f>Z227*AD249</f>
        <v>14000</v>
      </c>
      <c r="AB249" s="1581">
        <f>Z231*AD249</f>
        <v>14000</v>
      </c>
      <c r="AC249" s="1579" t="str">
        <f>IF(Z229="没有","没有",Z229*AD249)</f>
        <v>没有</v>
      </c>
      <c r="AD249" s="1228">
        <v>1400</v>
      </c>
      <c r="AE249" s="1582" t="s">
        <v>1406</v>
      </c>
      <c r="AF249" s="1579">
        <f t="shared" si="2"/>
        <v>14000</v>
      </c>
      <c r="AG249" s="1579">
        <f t="shared" si="3"/>
        <v>14000</v>
      </c>
      <c r="AH249" s="1589" t="str">
        <f t="shared" si="4"/>
        <v>没有</v>
      </c>
      <c r="AI249" s="1239"/>
      <c r="AV249"/>
      <c r="AW249"/>
      <c r="AX249"/>
      <c r="AY249"/>
      <c r="AZ249"/>
      <c r="BA249"/>
      <c r="BB249"/>
      <c r="BC249"/>
      <c r="BD249"/>
      <c r="BE249"/>
    </row>
    <row r="250" ht="18" customHeight="1" spans="2:57">
      <c r="B250" s="1176" t="s">
        <v>1407</v>
      </c>
      <c r="D250" s="1162" t="s">
        <v>1374</v>
      </c>
      <c r="M250" s="1479" t="s">
        <v>1408</v>
      </c>
      <c r="N250" s="1478">
        <v>5</v>
      </c>
      <c r="O250" s="1466" t="s">
        <v>173</v>
      </c>
      <c r="P250" s="1467"/>
      <c r="Q250" s="1487" t="s">
        <v>1409</v>
      </c>
      <c r="R250" s="1487"/>
      <c r="S250" s="1488" t="s">
        <v>169</v>
      </c>
      <c r="T250" s="1487"/>
      <c r="U250" s="1510" t="s">
        <v>75</v>
      </c>
      <c r="V250" s="1511"/>
      <c r="W250" s="1512" t="s">
        <v>174</v>
      </c>
      <c r="X250" s="1466"/>
      <c r="Y250" s="1239"/>
      <c r="Z250" s="1582" t="s">
        <v>1410</v>
      </c>
      <c r="AA250" s="1578">
        <f>Z227*AD250</f>
        <v>300</v>
      </c>
      <c r="AB250" s="1578">
        <f>Z231*AD250</f>
        <v>300</v>
      </c>
      <c r="AC250" s="1578" t="str">
        <f>IF(Z229="没有","没有",Z229*AD250)</f>
        <v>没有</v>
      </c>
      <c r="AD250" s="1239">
        <v>30</v>
      </c>
      <c r="AE250" s="1582" t="s">
        <v>1410</v>
      </c>
      <c r="AF250" s="1579">
        <f t="shared" si="2"/>
        <v>300</v>
      </c>
      <c r="AG250" s="1579">
        <f t="shared" si="3"/>
        <v>300</v>
      </c>
      <c r="AH250" s="1589" t="str">
        <f t="shared" si="4"/>
        <v>没有</v>
      </c>
      <c r="AI250" s="1239"/>
      <c r="AV250"/>
      <c r="AW250"/>
      <c r="AX250"/>
      <c r="AY250"/>
      <c r="AZ250"/>
      <c r="BA250"/>
      <c r="BB250"/>
      <c r="BC250"/>
      <c r="BD250"/>
      <c r="BE250"/>
    </row>
    <row r="251" ht="18" customHeight="1" spans="2:57">
      <c r="B251" s="1176" t="s">
        <v>1411</v>
      </c>
      <c r="D251" s="1162" t="s">
        <v>1374</v>
      </c>
      <c r="M251" s="1479" t="s">
        <v>1412</v>
      </c>
      <c r="N251" s="1478">
        <v>5</v>
      </c>
      <c r="O251" s="1470" t="s">
        <v>328</v>
      </c>
      <c r="P251" s="1470" t="s">
        <v>90</v>
      </c>
      <c r="Q251" s="1470" t="s">
        <v>328</v>
      </c>
      <c r="R251" s="1470" t="s">
        <v>90</v>
      </c>
      <c r="S251" s="1513" t="s">
        <v>328</v>
      </c>
      <c r="T251" s="1470" t="s">
        <v>90</v>
      </c>
      <c r="U251" s="1513" t="s">
        <v>328</v>
      </c>
      <c r="V251" s="1471" t="s">
        <v>90</v>
      </c>
      <c r="W251" s="1513" t="s">
        <v>328</v>
      </c>
      <c r="X251" s="1470" t="s">
        <v>90</v>
      </c>
      <c r="Y251" s="1239"/>
      <c r="Z251" s="1580" t="s">
        <v>1413</v>
      </c>
      <c r="AA251" s="1578">
        <f>Z227*AD251</f>
        <v>13.7</v>
      </c>
      <c r="AB251" s="1578">
        <f>Z231*AD251</f>
        <v>13.7</v>
      </c>
      <c r="AC251" s="1578" t="str">
        <f>IF(Z229="没有","没有",Z229*AD251)</f>
        <v>没有</v>
      </c>
      <c r="AD251" s="1228">
        <v>1.37</v>
      </c>
      <c r="AE251" s="1580" t="s">
        <v>1413</v>
      </c>
      <c r="AF251" s="1579">
        <f t="shared" si="2"/>
        <v>13.7</v>
      </c>
      <c r="AG251" s="1579">
        <f t="shared" si="3"/>
        <v>13.7</v>
      </c>
      <c r="AH251" s="1589" t="str">
        <f t="shared" si="4"/>
        <v>没有</v>
      </c>
      <c r="AI251" s="1239"/>
      <c r="AV251"/>
      <c r="AW251"/>
      <c r="AX251"/>
      <c r="AY251"/>
      <c r="AZ251"/>
      <c r="BA251"/>
      <c r="BB251"/>
      <c r="BC251"/>
      <c r="BD251"/>
      <c r="BE251"/>
    </row>
    <row r="252" ht="18" customHeight="1" spans="2:57">
      <c r="B252" s="1176" t="s">
        <v>1414</v>
      </c>
      <c r="D252" s="1162" t="s">
        <v>1374</v>
      </c>
      <c r="M252" s="1482" t="str">
        <f>IF(ISBLANK(人物卡!AU26),"",人物卡!AU26)</f>
        <v>自定义</v>
      </c>
      <c r="N252" s="1483">
        <f>IF(ISBLANK(人物卡!BA26),"",人物卡!BA26)</f>
        <v>0</v>
      </c>
      <c r="O252" s="1484" t="s">
        <v>1373</v>
      </c>
      <c r="P252" s="1478">
        <v>5</v>
      </c>
      <c r="Q252" t="s">
        <v>1415</v>
      </c>
      <c r="R252" s="1162">
        <v>5</v>
      </c>
      <c r="S252" s="1462" t="s">
        <v>1416</v>
      </c>
      <c r="T252" s="1239">
        <v>5</v>
      </c>
      <c r="U252" s="1514" t="s">
        <v>1417</v>
      </c>
      <c r="V252" s="1240">
        <v>5</v>
      </c>
      <c r="W252" s="1460" t="s">
        <v>1343</v>
      </c>
      <c r="X252" s="1515">
        <v>5</v>
      </c>
      <c r="Y252" s="1239"/>
      <c r="Z252" s="1176" t="s">
        <v>1418</v>
      </c>
      <c r="AA252" s="1239"/>
      <c r="AB252" s="1239"/>
      <c r="AC252" s="1239"/>
      <c r="AD252" s="1239"/>
      <c r="AE252" s="1176" t="s">
        <v>1419</v>
      </c>
      <c r="AF252" s="1239"/>
      <c r="AG252" s="1239"/>
      <c r="AH252" s="1240"/>
      <c r="AI252" s="1239"/>
      <c r="AV252"/>
      <c r="AW252"/>
      <c r="AX252"/>
      <c r="AY252"/>
      <c r="AZ252"/>
      <c r="BA252"/>
      <c r="BB252"/>
      <c r="BC252"/>
      <c r="BD252"/>
      <c r="BE252"/>
    </row>
    <row r="253" ht="18" customHeight="1" spans="2:57">
      <c r="B253" s="1176" t="s">
        <v>1420</v>
      </c>
      <c r="D253" s="1162" t="s">
        <v>1374</v>
      </c>
      <c r="O253" s="1479" t="s">
        <v>1380</v>
      </c>
      <c r="P253" s="1478">
        <v>5</v>
      </c>
      <c r="Q253" s="1162" t="s">
        <v>1421</v>
      </c>
      <c r="R253" s="1162">
        <v>5</v>
      </c>
      <c r="S253" s="1462" t="s">
        <v>1422</v>
      </c>
      <c r="T253" s="1515">
        <v>5</v>
      </c>
      <c r="U253" s="1176" t="s">
        <v>330</v>
      </c>
      <c r="V253" s="1516">
        <v>5</v>
      </c>
      <c r="W253" s="1176" t="s">
        <v>1345</v>
      </c>
      <c r="X253" s="1515">
        <v>5</v>
      </c>
      <c r="Y253" s="1239"/>
      <c r="Z253" s="1580" t="s">
        <v>1423</v>
      </c>
      <c r="AA253" s="1581">
        <f>附表!Z227*AD253</f>
        <v>9</v>
      </c>
      <c r="AB253" s="1581">
        <f>附表!Z231*AD253</f>
        <v>9</v>
      </c>
      <c r="AC253" s="1579" t="str">
        <f>IF(Z229="没有","没有",Z229*AD253)</f>
        <v>没有</v>
      </c>
      <c r="AD253" s="1239">
        <v>0.9</v>
      </c>
      <c r="AE253" s="1580" t="s">
        <v>1423</v>
      </c>
      <c r="AF253" s="1579">
        <f>AA253</f>
        <v>9</v>
      </c>
      <c r="AG253" s="1579">
        <f>AB253</f>
        <v>9</v>
      </c>
      <c r="AH253" s="1589" t="str">
        <f>AC253</f>
        <v>没有</v>
      </c>
      <c r="AI253" s="1590"/>
      <c r="AV253"/>
      <c r="AW253"/>
      <c r="AX253"/>
      <c r="AY253"/>
      <c r="AZ253"/>
      <c r="BA253"/>
      <c r="BB253"/>
      <c r="BC253"/>
      <c r="BD253"/>
      <c r="BE253"/>
    </row>
    <row r="254" ht="18" customHeight="1" spans="2:57">
      <c r="B254" s="1176" t="s">
        <v>1424</v>
      </c>
      <c r="D254" s="1162" t="s">
        <v>1374</v>
      </c>
      <c r="O254" s="1479" t="s">
        <v>1383</v>
      </c>
      <c r="P254" s="1478">
        <v>5</v>
      </c>
      <c r="Q254" s="1162" t="s">
        <v>1425</v>
      </c>
      <c r="R254" s="1162">
        <v>5</v>
      </c>
      <c r="S254" s="1462" t="s">
        <v>1426</v>
      </c>
      <c r="T254" s="1515">
        <v>5</v>
      </c>
      <c r="U254" s="1176" t="s">
        <v>1427</v>
      </c>
      <c r="V254" s="1516">
        <v>5</v>
      </c>
      <c r="W254" s="1176" t="s">
        <v>1347</v>
      </c>
      <c r="X254" s="1515">
        <v>5</v>
      </c>
      <c r="Z254" s="1582" t="s">
        <v>1428</v>
      </c>
      <c r="AA254" s="1581">
        <f>附表!Z227*AD254</f>
        <v>7.5</v>
      </c>
      <c r="AB254" s="1581">
        <f>附表!Z231*AD254</f>
        <v>7.5</v>
      </c>
      <c r="AC254" s="1579" t="str">
        <f>IF(Z229="没有","没有",Z229*AD254)</f>
        <v>没有</v>
      </c>
      <c r="AD254" s="1239">
        <v>0.75</v>
      </c>
      <c r="AE254" s="1582" t="s">
        <v>1428</v>
      </c>
      <c r="AF254" s="1579">
        <f>AA254</f>
        <v>7.5</v>
      </c>
      <c r="AG254" s="1579">
        <f>AB254</f>
        <v>7.5</v>
      </c>
      <c r="AH254" s="1589" t="str">
        <f>AC254</f>
        <v>没有</v>
      </c>
      <c r="AV254"/>
      <c r="AW254"/>
      <c r="AX254"/>
      <c r="AY254"/>
      <c r="AZ254"/>
      <c r="BA254"/>
      <c r="BB254"/>
      <c r="BC254"/>
      <c r="BD254"/>
      <c r="BE254"/>
    </row>
    <row r="255" ht="18" customHeight="1" spans="2:57">
      <c r="B255" s="1176" t="s">
        <v>1429</v>
      </c>
      <c r="D255" s="1162" t="s">
        <v>1374</v>
      </c>
      <c r="O255" s="1485" t="s">
        <v>1385</v>
      </c>
      <c r="P255" s="1478">
        <v>5</v>
      </c>
      <c r="Q255" s="1162" t="s">
        <v>1430</v>
      </c>
      <c r="R255" s="1162">
        <v>5</v>
      </c>
      <c r="S255" s="1462" t="s">
        <v>1431</v>
      </c>
      <c r="T255" s="1515">
        <v>5</v>
      </c>
      <c r="U255" s="1176" t="s">
        <v>1432</v>
      </c>
      <c r="V255" s="1516">
        <v>5</v>
      </c>
      <c r="W255" s="1176" t="s">
        <v>1349</v>
      </c>
      <c r="X255" s="1515">
        <v>5</v>
      </c>
      <c r="Z255" s="1582" t="s">
        <v>1433</v>
      </c>
      <c r="AA255" s="1581">
        <f>附表!Z227*AD255</f>
        <v>820</v>
      </c>
      <c r="AB255" s="1581">
        <f>附表!Z231*AD255</f>
        <v>820</v>
      </c>
      <c r="AC255" s="1579" t="str">
        <f>IF(Z229="没有","没有",Z229*AD255)</f>
        <v>没有</v>
      </c>
      <c r="AD255" s="1583">
        <v>82</v>
      </c>
      <c r="AE255" s="1582" t="s">
        <v>1433</v>
      </c>
      <c r="AF255" s="1579">
        <f>AA255</f>
        <v>820</v>
      </c>
      <c r="AG255" s="1579">
        <f>AB255</f>
        <v>820</v>
      </c>
      <c r="AH255" s="1589" t="str">
        <f>AC255</f>
        <v>没有</v>
      </c>
      <c r="AV255"/>
      <c r="AW255"/>
      <c r="AX255"/>
      <c r="AY255"/>
      <c r="AZ255"/>
      <c r="BA255"/>
      <c r="BB255"/>
      <c r="BC255"/>
      <c r="BD255"/>
      <c r="BE255"/>
    </row>
    <row r="256" ht="18" customHeight="1" spans="2:57">
      <c r="B256" s="1176" t="s">
        <v>1434</v>
      </c>
      <c r="D256" s="1162" t="s">
        <v>1374</v>
      </c>
      <c r="O256" s="1486" t="s">
        <v>1388</v>
      </c>
      <c r="P256" s="1478">
        <v>5</v>
      </c>
      <c r="Q256" s="1162" t="s">
        <v>1435</v>
      </c>
      <c r="R256" s="1162">
        <v>5</v>
      </c>
      <c r="S256" s="1462" t="s">
        <v>1436</v>
      </c>
      <c r="T256" s="1515">
        <v>5</v>
      </c>
      <c r="U256" s="1176" t="s">
        <v>1437</v>
      </c>
      <c r="V256" s="1516">
        <v>5</v>
      </c>
      <c r="W256" s="1176" t="s">
        <v>1353</v>
      </c>
      <c r="X256" s="1515">
        <v>5</v>
      </c>
      <c r="Z256" s="1176" t="s">
        <v>1438</v>
      </c>
      <c r="AA256" s="1239"/>
      <c r="AB256" s="1239"/>
      <c r="AC256" s="1239"/>
      <c r="AD256" s="1239"/>
      <c r="AE256" s="1176" t="s">
        <v>1439</v>
      </c>
      <c r="AF256" s="1239"/>
      <c r="AG256" s="1239"/>
      <c r="AH256" s="1240"/>
      <c r="AV256"/>
      <c r="AW256"/>
      <c r="AX256"/>
      <c r="AY256"/>
      <c r="AZ256"/>
      <c r="BA256"/>
      <c r="BB256"/>
      <c r="BC256"/>
      <c r="BD256"/>
      <c r="BE256"/>
    </row>
    <row r="257" ht="18" customHeight="1" spans="2:57">
      <c r="B257" s="1176" t="s">
        <v>1440</v>
      </c>
      <c r="D257" s="1162" t="s">
        <v>1374</v>
      </c>
      <c r="O257" s="1479" t="s">
        <v>1392</v>
      </c>
      <c r="P257" s="1478">
        <v>5</v>
      </c>
      <c r="Q257" s="1162" t="s">
        <v>1441</v>
      </c>
      <c r="R257" s="1162">
        <v>5</v>
      </c>
      <c r="S257" s="1462" t="s">
        <v>1442</v>
      </c>
      <c r="T257" s="1515">
        <v>5</v>
      </c>
      <c r="U257" s="1176" t="s">
        <v>1443</v>
      </c>
      <c r="V257" s="1516">
        <v>5</v>
      </c>
      <c r="W257" s="1176" t="s">
        <v>1357</v>
      </c>
      <c r="X257" s="1515">
        <v>5</v>
      </c>
      <c r="Z257" s="1580" t="s">
        <v>1444</v>
      </c>
      <c r="AA257" s="1581">
        <f>Z227*AD257</f>
        <v>13</v>
      </c>
      <c r="AB257" s="1581">
        <f>Z231*AD257</f>
        <v>13</v>
      </c>
      <c r="AC257" s="1579" t="str">
        <f>IF(Z229="没有","没有",Z229*AD257)</f>
        <v>没有</v>
      </c>
      <c r="AD257" s="1598">
        <v>1.3</v>
      </c>
      <c r="AE257" s="1580" t="s">
        <v>1444</v>
      </c>
      <c r="AF257" s="1579">
        <f>AA257</f>
        <v>13</v>
      </c>
      <c r="AG257" s="1579">
        <f>AB257</f>
        <v>13</v>
      </c>
      <c r="AH257" s="1589" t="str">
        <f>AC257</f>
        <v>没有</v>
      </c>
      <c r="AV257"/>
      <c r="AW257"/>
      <c r="AX257"/>
      <c r="AY257"/>
      <c r="AZ257"/>
      <c r="BA257"/>
      <c r="BB257"/>
      <c r="BC257"/>
      <c r="BD257"/>
      <c r="BE257"/>
    </row>
    <row r="258" ht="18" customHeight="1" spans="2:57">
      <c r="B258" s="1176" t="s">
        <v>738</v>
      </c>
      <c r="O258" s="1479" t="s">
        <v>1396</v>
      </c>
      <c r="P258" s="1478">
        <v>5</v>
      </c>
      <c r="Q258" s="1592" t="s">
        <v>1445</v>
      </c>
      <c r="R258" s="1162">
        <v>5</v>
      </c>
      <c r="S258" s="1462" t="s">
        <v>1446</v>
      </c>
      <c r="T258" s="1515">
        <v>5</v>
      </c>
      <c r="U258" s="1595" t="s">
        <v>1447</v>
      </c>
      <c r="V258" s="1516">
        <v>5</v>
      </c>
      <c r="W258" s="1176" t="s">
        <v>1360</v>
      </c>
      <c r="X258" s="1515">
        <v>5</v>
      </c>
      <c r="Z258" s="1580" t="s">
        <v>1448</v>
      </c>
      <c r="AA258" s="1578">
        <f>Z227*AD258</f>
        <v>200</v>
      </c>
      <c r="AB258" s="1578">
        <f>Z231*AD258</f>
        <v>200</v>
      </c>
      <c r="AC258" s="1578" t="str">
        <f>IF(Z229="没有","没有",Z229*AD258)</f>
        <v>没有</v>
      </c>
      <c r="AD258" s="1599">
        <v>20</v>
      </c>
      <c r="AE258" s="1580" t="s">
        <v>1448</v>
      </c>
      <c r="AF258" s="1579">
        <f>AA258</f>
        <v>200</v>
      </c>
      <c r="AG258" s="1579">
        <f>AB258</f>
        <v>200</v>
      </c>
      <c r="AH258" s="1589" t="str">
        <f>AC258</f>
        <v>没有</v>
      </c>
      <c r="AV258"/>
      <c r="AW258"/>
      <c r="AX258"/>
      <c r="AY258"/>
      <c r="AZ258"/>
      <c r="BA258"/>
      <c r="BB258"/>
      <c r="BC258"/>
      <c r="BD258"/>
      <c r="BE258"/>
    </row>
    <row r="259" ht="18" customHeight="1" spans="2:57">
      <c r="B259" t="s">
        <v>1415</v>
      </c>
      <c r="D259" s="1162" t="s">
        <v>1409</v>
      </c>
      <c r="O259" s="1479" t="s">
        <v>1399</v>
      </c>
      <c r="P259" s="1478">
        <v>5</v>
      </c>
      <c r="Q259" s="1162" t="s">
        <v>1449</v>
      </c>
      <c r="R259" s="1162">
        <v>5</v>
      </c>
      <c r="S259" s="1593" t="s">
        <v>1450</v>
      </c>
      <c r="T259" s="1515">
        <v>5</v>
      </c>
      <c r="U259" s="1176" t="s">
        <v>1451</v>
      </c>
      <c r="V259" s="1516">
        <v>5</v>
      </c>
      <c r="W259" s="1176" t="s">
        <v>1364</v>
      </c>
      <c r="X259" s="1515">
        <v>5</v>
      </c>
      <c r="Z259" s="1582" t="s">
        <v>1452</v>
      </c>
      <c r="AA259" s="1578">
        <f>Z227*AD259</f>
        <v>60</v>
      </c>
      <c r="AB259" s="1578">
        <f>Z231*AD259</f>
        <v>60</v>
      </c>
      <c r="AC259" s="1578" t="str">
        <f>IF(Z229="没有","没有",Z229*AD259)</f>
        <v>没有</v>
      </c>
      <c r="AD259" s="1239">
        <v>6</v>
      </c>
      <c r="AE259" s="1582" t="s">
        <v>1452</v>
      </c>
      <c r="AF259" s="1579">
        <f>AA259</f>
        <v>60</v>
      </c>
      <c r="AG259" s="1579">
        <f>AB259</f>
        <v>60</v>
      </c>
      <c r="AH259" s="1589" t="str">
        <f>AC259</f>
        <v>没有</v>
      </c>
      <c r="AV259"/>
      <c r="AW259"/>
      <c r="AX259"/>
      <c r="AY259"/>
      <c r="AZ259"/>
      <c r="BA259"/>
      <c r="BB259"/>
      <c r="BC259"/>
      <c r="BD259"/>
      <c r="BE259"/>
    </row>
    <row r="260" ht="18" customHeight="1" spans="2:57">
      <c r="B260" s="1162" t="s">
        <v>1421</v>
      </c>
      <c r="D260" s="1162" t="s">
        <v>1409</v>
      </c>
      <c r="O260" s="1479" t="s">
        <v>1402</v>
      </c>
      <c r="P260" s="1478">
        <v>5</v>
      </c>
      <c r="Q260" s="1162" t="s">
        <v>1453</v>
      </c>
      <c r="R260" s="1162">
        <v>5</v>
      </c>
      <c r="S260" s="1462" t="s">
        <v>1454</v>
      </c>
      <c r="T260" s="1515">
        <v>5</v>
      </c>
      <c r="U260" s="1176" t="s">
        <v>1455</v>
      </c>
      <c r="V260" s="1516">
        <v>5</v>
      </c>
      <c r="W260" s="1176" t="s">
        <v>1367</v>
      </c>
      <c r="X260" s="1239">
        <v>5</v>
      </c>
      <c r="Z260" s="1176" t="s">
        <v>1456</v>
      </c>
      <c r="AA260" s="1239"/>
      <c r="AB260" s="1239"/>
      <c r="AC260" s="1239"/>
      <c r="AD260" s="1239"/>
      <c r="AE260" s="1176" t="s">
        <v>1457</v>
      </c>
      <c r="AF260" s="1239"/>
      <c r="AG260" s="1239"/>
      <c r="AH260" s="1240"/>
      <c r="AV260"/>
      <c r="AW260"/>
      <c r="AX260"/>
      <c r="AY260"/>
      <c r="AZ260"/>
      <c r="BA260"/>
      <c r="BB260"/>
      <c r="BC260"/>
      <c r="BD260"/>
      <c r="BE260"/>
    </row>
    <row r="261" ht="18" customHeight="1" spans="2:57">
      <c r="B261" s="1162" t="s">
        <v>1425</v>
      </c>
      <c r="D261" s="1162" t="s">
        <v>1409</v>
      </c>
      <c r="O261" s="1479" t="s">
        <v>1404</v>
      </c>
      <c r="P261" s="1478">
        <v>5</v>
      </c>
      <c r="Q261" s="1187"/>
      <c r="R261" s="1187">
        <v>0</v>
      </c>
      <c r="S261" s="1462" t="s">
        <v>1458</v>
      </c>
      <c r="T261" s="1515">
        <v>5</v>
      </c>
      <c r="U261" s="1176" t="s">
        <v>1459</v>
      </c>
      <c r="V261" s="1516">
        <v>5</v>
      </c>
      <c r="W261" s="1186"/>
      <c r="X261" s="1187">
        <v>0</v>
      </c>
      <c r="Y261" s="1205"/>
      <c r="Z261" s="1580" t="s">
        <v>1460</v>
      </c>
      <c r="AA261" s="1578">
        <f>Z227*AD261</f>
        <v>15</v>
      </c>
      <c r="AB261" s="1578">
        <f>Z231*AD261</f>
        <v>15</v>
      </c>
      <c r="AC261" s="1578" t="str">
        <f>IF(Z229="没有","没有",Z229*AD261)</f>
        <v>没有</v>
      </c>
      <c r="AD261" s="1239">
        <v>1.5</v>
      </c>
      <c r="AE261" s="1580" t="s">
        <v>1460</v>
      </c>
      <c r="AF261" s="1579">
        <f>AA261</f>
        <v>15</v>
      </c>
      <c r="AG261" s="1579">
        <f>AB261</f>
        <v>15</v>
      </c>
      <c r="AH261" s="1589" t="str">
        <f>AC261</f>
        <v>没有</v>
      </c>
      <c r="AI261" s="1205"/>
      <c r="AV261"/>
      <c r="AW261"/>
      <c r="AX261"/>
      <c r="AY261"/>
      <c r="AZ261"/>
      <c r="BA261"/>
      <c r="BB261"/>
      <c r="BC261"/>
      <c r="BD261"/>
      <c r="BE261"/>
    </row>
    <row r="262" ht="18" customHeight="1" spans="2:57">
      <c r="B262" s="1162" t="s">
        <v>1461</v>
      </c>
      <c r="D262" s="1162" t="s">
        <v>1409</v>
      </c>
      <c r="O262" s="1479" t="s">
        <v>1462</v>
      </c>
      <c r="P262" s="1478">
        <v>5</v>
      </c>
      <c r="S262" s="1462" t="s">
        <v>1463</v>
      </c>
      <c r="T262" s="1515">
        <v>5</v>
      </c>
      <c r="U262" s="1176" t="s">
        <v>1464</v>
      </c>
      <c r="V262" s="1516">
        <v>5</v>
      </c>
      <c r="Z262" s="1580" t="s">
        <v>1465</v>
      </c>
      <c r="AA262" s="1578">
        <f>Z227*AD262</f>
        <v>190</v>
      </c>
      <c r="AB262" s="1578">
        <f>Z231*AD262</f>
        <v>190</v>
      </c>
      <c r="AC262" s="1578" t="str">
        <f>IF(Z229="没有","没有",Z229*AD262)</f>
        <v>没有</v>
      </c>
      <c r="AD262" s="1228">
        <v>19</v>
      </c>
      <c r="AE262" s="1580" t="s">
        <v>1465</v>
      </c>
      <c r="AF262" s="1579">
        <f>AA262</f>
        <v>190</v>
      </c>
      <c r="AG262" s="1579">
        <f>AB262</f>
        <v>190</v>
      </c>
      <c r="AH262" s="1589" t="str">
        <f>AC262</f>
        <v>没有</v>
      </c>
      <c r="AV262"/>
      <c r="AW262"/>
      <c r="AX262"/>
      <c r="AY262"/>
      <c r="AZ262"/>
      <c r="BA262"/>
      <c r="BB262"/>
      <c r="BC262"/>
      <c r="BD262"/>
      <c r="BE262"/>
    </row>
    <row r="263" ht="18" customHeight="1" spans="2:57">
      <c r="B263" s="1162" t="s">
        <v>1466</v>
      </c>
      <c r="D263" s="1162" t="s">
        <v>1409</v>
      </c>
      <c r="F263" s="1591"/>
      <c r="O263" s="1479" t="s">
        <v>1467</v>
      </c>
      <c r="P263" s="1478">
        <v>5</v>
      </c>
      <c r="S263" s="1462" t="s">
        <v>1468</v>
      </c>
      <c r="T263" s="1515">
        <v>5</v>
      </c>
      <c r="U263" s="1176" t="s">
        <v>1469</v>
      </c>
      <c r="V263" s="1516">
        <v>5</v>
      </c>
      <c r="Z263" s="1600" t="str">
        <f>IF(ISBLANK(人物卡!BK37),"",人物卡!BK37)</f>
        <v/>
      </c>
      <c r="AA263" s="1601">
        <f>Z227*AD263</f>
        <v>0</v>
      </c>
      <c r="AB263" s="1601">
        <f>Z231*AD263</f>
        <v>0</v>
      </c>
      <c r="AC263" s="1601" t="str">
        <f>IF(Z229="没有","没有",Z229*AD263)</f>
        <v>没有</v>
      </c>
      <c r="AD263" s="1225">
        <f>人物卡!BO37</f>
        <v>0</v>
      </c>
      <c r="AE263" s="1600" t="str">
        <f>IF(ISBLANK(人物卡!BK37),"",人物卡!BK37)</f>
        <v/>
      </c>
      <c r="AF263" s="1602">
        <f>AA263/20</f>
        <v>0</v>
      </c>
      <c r="AG263" s="1602">
        <f>AB263/20</f>
        <v>0</v>
      </c>
      <c r="AH263" s="1607" t="str">
        <f>AC263</f>
        <v>没有</v>
      </c>
      <c r="AV263"/>
      <c r="AW263"/>
      <c r="AX263"/>
      <c r="AY263"/>
      <c r="AZ263"/>
      <c r="BA263"/>
      <c r="BB263"/>
      <c r="BC263"/>
      <c r="BD263"/>
      <c r="BE263"/>
    </row>
    <row r="264" ht="18" customHeight="1" spans="2:57">
      <c r="B264" s="1162" t="s">
        <v>1430</v>
      </c>
      <c r="D264" s="1162" t="s">
        <v>1409</v>
      </c>
      <c r="F264" s="1591"/>
      <c r="O264" s="1479" t="s">
        <v>1414</v>
      </c>
      <c r="P264" s="1478">
        <v>5</v>
      </c>
      <c r="S264" s="1462" t="s">
        <v>1470</v>
      </c>
      <c r="T264" s="1515">
        <v>5</v>
      </c>
      <c r="U264" s="1176" t="s">
        <v>1471</v>
      </c>
      <c r="V264" s="1516">
        <v>5</v>
      </c>
      <c r="AV264"/>
      <c r="AW264"/>
      <c r="AX264"/>
      <c r="AY264"/>
      <c r="AZ264"/>
      <c r="BA264"/>
      <c r="BB264"/>
      <c r="BC264"/>
      <c r="BD264"/>
      <c r="BE264"/>
    </row>
    <row r="265" ht="18" customHeight="1" spans="2:57">
      <c r="B265" s="1592" t="s">
        <v>1472</v>
      </c>
      <c r="D265" s="1162" t="s">
        <v>1409</v>
      </c>
      <c r="O265" s="1479" t="s">
        <v>1420</v>
      </c>
      <c r="P265" s="1478">
        <v>5</v>
      </c>
      <c r="S265" s="1186"/>
      <c r="T265" s="1557">
        <v>0</v>
      </c>
      <c r="U265" s="1176" t="s">
        <v>1473</v>
      </c>
      <c r="V265" s="1240">
        <v>5</v>
      </c>
      <c r="AV265"/>
      <c r="AW265"/>
      <c r="AX265"/>
      <c r="AY265"/>
      <c r="AZ265"/>
      <c r="BA265"/>
      <c r="BB265"/>
      <c r="BC265"/>
      <c r="BD265"/>
      <c r="BE265"/>
    </row>
    <row r="266" ht="18" customHeight="1" spans="2:57">
      <c r="B266" s="1162" t="s">
        <v>1449</v>
      </c>
      <c r="D266" s="1162" t="s">
        <v>1409</v>
      </c>
      <c r="F266" s="1591"/>
      <c r="O266" s="1479" t="s">
        <v>1424</v>
      </c>
      <c r="P266" s="1478">
        <v>5</v>
      </c>
      <c r="U266" s="1176" t="s">
        <v>1474</v>
      </c>
      <c r="V266" s="1516">
        <v>5</v>
      </c>
      <c r="AV266"/>
      <c r="AW266"/>
      <c r="AX266"/>
      <c r="AY266"/>
      <c r="AZ266"/>
      <c r="BA266"/>
      <c r="BB266"/>
      <c r="BC266"/>
      <c r="BD266"/>
      <c r="BE266"/>
    </row>
    <row r="267" ht="18" customHeight="1" spans="2:57">
      <c r="B267" s="1162" t="s">
        <v>1453</v>
      </c>
      <c r="D267" s="1162" t="s">
        <v>1409</v>
      </c>
      <c r="F267" s="1591"/>
      <c r="O267" s="1479" t="s">
        <v>1429</v>
      </c>
      <c r="P267" s="1478">
        <v>5</v>
      </c>
      <c r="U267" s="1176" t="s">
        <v>1475</v>
      </c>
      <c r="V267" s="1516">
        <v>5</v>
      </c>
      <c r="Z267" s="1205"/>
      <c r="AA267" s="1228"/>
      <c r="AB267" s="1228"/>
      <c r="AC267" s="1228"/>
      <c r="AD267" s="1598"/>
      <c r="AE267" s="1205"/>
      <c r="AF267" s="1228"/>
      <c r="AG267" s="1228"/>
      <c r="AH267" s="1228"/>
      <c r="AI267" s="1598"/>
      <c r="AJ267" s="1205"/>
      <c r="AV267"/>
      <c r="AW267"/>
      <c r="AX267"/>
      <c r="AY267"/>
      <c r="AZ267"/>
      <c r="BA267"/>
      <c r="BB267"/>
      <c r="BC267"/>
      <c r="BD267"/>
      <c r="BE267"/>
    </row>
    <row r="268" ht="18" customHeight="1" spans="2:57">
      <c r="B268" s="1176" t="s">
        <v>738</v>
      </c>
      <c r="F268" s="1591"/>
      <c r="O268" s="1479" t="s">
        <v>1434</v>
      </c>
      <c r="P268" s="1478">
        <v>5</v>
      </c>
      <c r="U268" s="1176" t="s">
        <v>1476</v>
      </c>
      <c r="V268" s="1516">
        <v>5</v>
      </c>
      <c r="Z268" s="1205"/>
      <c r="AJ268" s="1205"/>
      <c r="AV268"/>
      <c r="AW268"/>
      <c r="AX268"/>
      <c r="AY268"/>
      <c r="AZ268"/>
      <c r="BA268"/>
      <c r="BB268"/>
      <c r="BC268"/>
      <c r="BD268"/>
      <c r="BE268"/>
    </row>
    <row r="269" ht="18" customHeight="1" spans="2:57">
      <c r="B269" s="1462" t="s">
        <v>1416</v>
      </c>
      <c r="D269" s="1162" t="s">
        <v>1477</v>
      </c>
      <c r="O269" s="1479" t="s">
        <v>1440</v>
      </c>
      <c r="P269" s="1478">
        <v>5</v>
      </c>
      <c r="U269" s="1176" t="s">
        <v>1478</v>
      </c>
      <c r="V269" s="1516">
        <v>5</v>
      </c>
      <c r="Z269" s="1205"/>
      <c r="AA269" s="1228"/>
      <c r="AB269" s="1228"/>
      <c r="AC269" s="1228"/>
      <c r="AD269" s="1228"/>
      <c r="AE269" s="1228"/>
      <c r="AF269" s="1228"/>
      <c r="AG269" s="1228"/>
      <c r="AH269" s="1228"/>
      <c r="AI269" s="1228"/>
      <c r="AJ269" s="1205"/>
      <c r="AM269" s="1441"/>
      <c r="AV269"/>
      <c r="AW269"/>
      <c r="AX269"/>
      <c r="AY269"/>
      <c r="AZ269"/>
      <c r="BA269"/>
      <c r="BB269"/>
      <c r="BC269"/>
      <c r="BD269"/>
      <c r="BE269"/>
    </row>
    <row r="270" ht="18" customHeight="1" spans="2:57">
      <c r="B270" s="1462" t="s">
        <v>1422</v>
      </c>
      <c r="D270" s="1162" t="s">
        <v>1477</v>
      </c>
      <c r="O270" s="1479" t="s">
        <v>1479</v>
      </c>
      <c r="P270" s="1478">
        <v>5</v>
      </c>
      <c r="U270" s="1176" t="s">
        <v>1480</v>
      </c>
      <c r="V270" s="1516">
        <v>5</v>
      </c>
      <c r="Y270" t="s">
        <v>1481</v>
      </c>
      <c r="AA270" s="1228" t="s">
        <v>1482</v>
      </c>
      <c r="AB270" s="1603">
        <v>-1</v>
      </c>
      <c r="AC270" s="1228" t="s">
        <v>330</v>
      </c>
      <c r="AD270" t="s">
        <v>1483</v>
      </c>
      <c r="AE270" s="1228" t="s">
        <v>320</v>
      </c>
      <c r="AF270" s="1228" t="s">
        <v>1484</v>
      </c>
      <c r="AG270" s="1228" t="s">
        <v>1485</v>
      </c>
      <c r="AH270" s="1228"/>
      <c r="AI270" s="1228"/>
      <c r="AV270"/>
      <c r="AW270"/>
      <c r="AX270"/>
      <c r="AY270"/>
      <c r="AZ270"/>
      <c r="BA270"/>
      <c r="BB270"/>
      <c r="BC270"/>
      <c r="BD270"/>
      <c r="BE270"/>
    </row>
    <row r="271" ht="18" customHeight="1" spans="2:57">
      <c r="B271" s="1462" t="s">
        <v>1426</v>
      </c>
      <c r="D271" s="1162" t="s">
        <v>1477</v>
      </c>
      <c r="U271" s="1176" t="s">
        <v>1486</v>
      </c>
      <c r="V271" s="1516">
        <v>5</v>
      </c>
      <c r="Y271" t="s">
        <v>1487</v>
      </c>
      <c r="AA271" s="1228" t="s">
        <v>1488</v>
      </c>
      <c r="AB271" s="1603">
        <v>-0.75</v>
      </c>
      <c r="AC271" s="1228" t="s">
        <v>1489</v>
      </c>
      <c r="AD271" t="s">
        <v>1490</v>
      </c>
      <c r="AE271" s="1162" t="s">
        <v>1491</v>
      </c>
      <c r="AF271" s="1228" t="s">
        <v>1492</v>
      </c>
      <c r="AG271" s="1228" t="s">
        <v>1493</v>
      </c>
      <c r="AH271" s="1228"/>
      <c r="AI271" s="1598"/>
      <c r="AV271"/>
      <c r="AW271"/>
      <c r="AX271"/>
      <c r="AY271"/>
      <c r="AZ271"/>
      <c r="BA271"/>
      <c r="BB271"/>
      <c r="BC271"/>
      <c r="BD271"/>
      <c r="BE271"/>
    </row>
    <row r="272" ht="18" customHeight="1" spans="2:57">
      <c r="B272" s="1462" t="s">
        <v>1431</v>
      </c>
      <c r="D272" s="1162" t="s">
        <v>1477</v>
      </c>
      <c r="U272" s="1176" t="s">
        <v>1494</v>
      </c>
      <c r="V272" s="1516">
        <v>5</v>
      </c>
      <c r="Y272" t="s">
        <v>1495</v>
      </c>
      <c r="AA272" s="1604" t="s">
        <v>1496</v>
      </c>
      <c r="AB272" s="1603">
        <v>-0.5</v>
      </c>
      <c r="AC272" s="1228" t="s">
        <v>1497</v>
      </c>
      <c r="AD272" t="s">
        <v>380</v>
      </c>
      <c r="AE272" s="1205" t="s">
        <v>1498</v>
      </c>
      <c r="AF272" s="1604" t="s">
        <v>1499</v>
      </c>
      <c r="AG272" s="1228" t="s">
        <v>1500</v>
      </c>
      <c r="AH272" s="1228"/>
      <c r="AI272" s="1598"/>
      <c r="AV272"/>
      <c r="AW272"/>
      <c r="AX272"/>
      <c r="AY272"/>
      <c r="AZ272"/>
      <c r="BA272"/>
      <c r="BB272"/>
      <c r="BC272"/>
      <c r="BD272"/>
      <c r="BE272"/>
    </row>
    <row r="273" ht="18" customHeight="1" spans="2:57">
      <c r="B273" s="1462" t="s">
        <v>1436</v>
      </c>
      <c r="D273" s="1162" t="s">
        <v>1477</v>
      </c>
      <c r="U273" s="1176" t="s">
        <v>1501</v>
      </c>
      <c r="V273" s="1516">
        <v>5</v>
      </c>
      <c r="AA273" s="1228" t="s">
        <v>1502</v>
      </c>
      <c r="AB273" s="1603">
        <v>-0.25</v>
      </c>
      <c r="AC273" s="1228" t="s">
        <v>1503</v>
      </c>
      <c r="AD273" t="s">
        <v>18</v>
      </c>
      <c r="AE273" s="1205" t="s">
        <v>1504</v>
      </c>
      <c r="AF273" s="1228" t="s">
        <v>1505</v>
      </c>
      <c r="AG273" s="1228" t="s">
        <v>1506</v>
      </c>
      <c r="AH273" s="1228"/>
      <c r="AI273" s="1598"/>
      <c r="AV273"/>
      <c r="AW273"/>
      <c r="AX273"/>
      <c r="AY273"/>
      <c r="AZ273"/>
      <c r="BA273"/>
      <c r="BB273"/>
      <c r="BC273"/>
      <c r="BD273"/>
      <c r="BE273"/>
    </row>
    <row r="274" ht="18" customHeight="1" spans="2:57">
      <c r="B274" s="1462" t="s">
        <v>1442</v>
      </c>
      <c r="D274" s="1162" t="s">
        <v>1477</v>
      </c>
      <c r="N274"/>
      <c r="O274"/>
      <c r="P274"/>
      <c r="Q274"/>
      <c r="U274" s="1186"/>
      <c r="V274" s="1243">
        <v>0</v>
      </c>
      <c r="AA274" s="1604" t="s">
        <v>329</v>
      </c>
      <c r="AB274" s="1603">
        <v>0</v>
      </c>
      <c r="AC274" s="1228" t="s">
        <v>1507</v>
      </c>
      <c r="AD274" t="s">
        <v>370</v>
      </c>
      <c r="AE274" s="1205" t="s">
        <v>52</v>
      </c>
      <c r="AF274" s="1604" t="s">
        <v>1508</v>
      </c>
      <c r="AG274" s="1228" t="s">
        <v>1509</v>
      </c>
      <c r="AH274" s="1228"/>
      <c r="AI274" s="1598"/>
      <c r="AV274"/>
      <c r="AW274"/>
      <c r="AX274"/>
      <c r="AY274"/>
      <c r="AZ274"/>
      <c r="BA274"/>
      <c r="BB274"/>
      <c r="BC274"/>
      <c r="BD274"/>
      <c r="BE274"/>
    </row>
    <row r="275" ht="18" customHeight="1" spans="2:57">
      <c r="B275" s="1462" t="s">
        <v>1446</v>
      </c>
      <c r="D275" s="1162" t="s">
        <v>1477</v>
      </c>
      <c r="N275"/>
      <c r="O275"/>
      <c r="P275"/>
      <c r="Q275"/>
      <c r="AA275" s="1162" t="s">
        <v>1510</v>
      </c>
      <c r="AB275" s="1605">
        <v>0.25</v>
      </c>
      <c r="AC275" s="1228" t="s">
        <v>1511</v>
      </c>
      <c r="AD275" t="s">
        <v>374</v>
      </c>
      <c r="AE275" s="1162" t="s">
        <v>1512</v>
      </c>
      <c r="AF275" s="1162" t="s">
        <v>1513</v>
      </c>
      <c r="AG275" s="1228" t="s">
        <v>1514</v>
      </c>
      <c r="AV275"/>
      <c r="AW275"/>
      <c r="AX275"/>
      <c r="AY275"/>
      <c r="AZ275"/>
      <c r="BA275"/>
      <c r="BB275"/>
      <c r="BC275"/>
      <c r="BD275"/>
      <c r="BE275"/>
    </row>
    <row r="276" ht="18" customHeight="1" spans="2:57">
      <c r="B276" s="1593" t="s">
        <v>1450</v>
      </c>
      <c r="D276" s="1162" t="s">
        <v>1477</v>
      </c>
      <c r="N276"/>
      <c r="O276"/>
      <c r="P276"/>
      <c r="Q276"/>
      <c r="AA276" s="1162" t="s">
        <v>1515</v>
      </c>
      <c r="AB276" s="1605">
        <v>0.5</v>
      </c>
      <c r="AC276" s="1162" t="s">
        <v>1516</v>
      </c>
      <c r="AD276" t="s">
        <v>369</v>
      </c>
      <c r="AE276" s="1162" t="s">
        <v>1517</v>
      </c>
      <c r="AF276" s="1162" t="s">
        <v>1518</v>
      </c>
      <c r="AG276" s="1228" t="s">
        <v>1519</v>
      </c>
      <c r="AV276"/>
      <c r="AW276"/>
      <c r="AX276"/>
      <c r="AY276"/>
      <c r="AZ276"/>
      <c r="BA276"/>
      <c r="BB276"/>
      <c r="BC276"/>
      <c r="BD276"/>
      <c r="BE276"/>
    </row>
    <row r="277" ht="18" customHeight="1" spans="2:57">
      <c r="B277" s="1462" t="s">
        <v>1454</v>
      </c>
      <c r="D277" s="1162" t="s">
        <v>1477</v>
      </c>
      <c r="N277"/>
      <c r="O277"/>
      <c r="P277"/>
      <c r="Q277"/>
      <c r="AA277" s="1162" t="s">
        <v>1520</v>
      </c>
      <c r="AB277" s="1605">
        <v>0.75</v>
      </c>
      <c r="AC277" s="1162" t="s">
        <v>1521</v>
      </c>
      <c r="AD277" t="s">
        <v>377</v>
      </c>
      <c r="AE277" s="1162" t="s">
        <v>1522</v>
      </c>
      <c r="AF277" s="1162" t="s">
        <v>1523</v>
      </c>
      <c r="AG277" s="1162" t="s">
        <v>1524</v>
      </c>
      <c r="AV277"/>
      <c r="AW277"/>
      <c r="AX277"/>
      <c r="AY277"/>
      <c r="AZ277"/>
      <c r="BA277"/>
      <c r="BB277"/>
      <c r="BC277"/>
      <c r="BD277"/>
      <c r="BE277"/>
    </row>
    <row r="278" ht="18" customHeight="1" spans="2:57">
      <c r="B278" s="1462" t="s">
        <v>1458</v>
      </c>
      <c r="D278" s="1162" t="s">
        <v>1477</v>
      </c>
      <c r="AA278" s="1162" t="s">
        <v>1525</v>
      </c>
      <c r="AB278" s="1605">
        <v>1</v>
      </c>
      <c r="AC278" s="1162" t="s">
        <v>1526</v>
      </c>
      <c r="AD278" t="s">
        <v>372</v>
      </c>
      <c r="AE278" s="1162" t="s">
        <v>1527</v>
      </c>
      <c r="AG278" s="1162" t="s">
        <v>1528</v>
      </c>
      <c r="AV278"/>
      <c r="AW278"/>
      <c r="AX278"/>
      <c r="AY278"/>
      <c r="AZ278"/>
      <c r="BA278"/>
      <c r="BB278"/>
      <c r="BC278"/>
      <c r="BD278"/>
      <c r="BE278"/>
    </row>
    <row r="279" ht="18" customHeight="1" spans="2:57">
      <c r="B279" s="1462" t="s">
        <v>1463</v>
      </c>
      <c r="D279" s="1162" t="s">
        <v>1477</v>
      </c>
      <c r="AA279" s="1162" t="s">
        <v>1529</v>
      </c>
      <c r="AB279" s="1605">
        <v>1.5</v>
      </c>
      <c r="AC279" s="1606" t="s">
        <v>1530</v>
      </c>
      <c r="AD279" t="s">
        <v>373</v>
      </c>
      <c r="AG279" s="1162" t="s">
        <v>1508</v>
      </c>
      <c r="AV279"/>
      <c r="AW279"/>
      <c r="AX279"/>
      <c r="AY279"/>
      <c r="AZ279"/>
      <c r="BA279"/>
      <c r="BB279"/>
      <c r="BC279"/>
      <c r="BD279"/>
      <c r="BE279"/>
    </row>
    <row r="280" ht="18" customHeight="1" spans="2:57">
      <c r="B280" s="1462" t="s">
        <v>1468</v>
      </c>
      <c r="D280" s="1162" t="s">
        <v>1477</v>
      </c>
      <c r="AA280" s="1162" t="s">
        <v>1531</v>
      </c>
      <c r="AB280" s="1605">
        <v>2</v>
      </c>
      <c r="AC280" s="1606" t="s">
        <v>1532</v>
      </c>
      <c r="AD280" t="s">
        <v>371</v>
      </c>
      <c r="AG280" s="1162" t="s">
        <v>1513</v>
      </c>
      <c r="AV280"/>
      <c r="AW280"/>
      <c r="AX280"/>
      <c r="AY280"/>
      <c r="AZ280"/>
      <c r="BA280"/>
      <c r="BB280"/>
      <c r="BC280"/>
      <c r="BD280"/>
      <c r="BE280"/>
    </row>
    <row r="281" ht="18" customHeight="1" spans="2:57">
      <c r="B281" s="1462" t="s">
        <v>1470</v>
      </c>
      <c r="D281" s="1162" t="s">
        <v>1477</v>
      </c>
      <c r="AA281" s="1162" t="s">
        <v>1533</v>
      </c>
      <c r="AB281" s="1605">
        <v>3</v>
      </c>
      <c r="AC281" s="1606" t="s">
        <v>165</v>
      </c>
      <c r="AD281" t="s">
        <v>365</v>
      </c>
      <c r="AG281" s="1162" t="s">
        <v>1534</v>
      </c>
      <c r="AV281"/>
      <c r="AW281"/>
      <c r="AX281"/>
      <c r="AY281"/>
      <c r="AZ281"/>
      <c r="BA281"/>
      <c r="BB281"/>
      <c r="BC281"/>
      <c r="BD281"/>
      <c r="BE281"/>
    </row>
    <row r="282" ht="18" customHeight="1" spans="2:57">
      <c r="B282" s="1176" t="s">
        <v>738</v>
      </c>
      <c r="AA282" s="1162" t="s">
        <v>1535</v>
      </c>
      <c r="AB282" s="1605">
        <v>4</v>
      </c>
      <c r="AC282" s="1606" t="s">
        <v>1536</v>
      </c>
      <c r="AD282" t="s">
        <v>378</v>
      </c>
      <c r="AG282" s="1162" t="s">
        <v>1537</v>
      </c>
      <c r="AV282"/>
      <c r="AW282"/>
      <c r="AX282"/>
      <c r="AY282"/>
      <c r="AZ282"/>
      <c r="BA282"/>
      <c r="BB282"/>
      <c r="BC282"/>
      <c r="BD282"/>
      <c r="BE282"/>
    </row>
    <row r="283" ht="18" customHeight="1" spans="2:57">
      <c r="B283" s="1514" t="s">
        <v>1417</v>
      </c>
      <c r="D283" s="1162" t="s">
        <v>1538</v>
      </c>
      <c r="AA283" s="1162" t="s">
        <v>1539</v>
      </c>
      <c r="AB283" s="1605">
        <v>5</v>
      </c>
      <c r="AC283" s="1606" t="s">
        <v>468</v>
      </c>
      <c r="AD283" t="s">
        <v>379</v>
      </c>
      <c r="AG283" s="1162" t="s">
        <v>1540</v>
      </c>
      <c r="AV283"/>
      <c r="AW283"/>
      <c r="AX283"/>
      <c r="AY283"/>
      <c r="AZ283"/>
      <c r="BA283"/>
      <c r="BB283"/>
      <c r="BC283"/>
      <c r="BD283"/>
      <c r="BE283"/>
    </row>
    <row r="284" ht="18" customHeight="1" spans="2:57">
      <c r="B284" s="1176" t="s">
        <v>330</v>
      </c>
      <c r="D284" s="1162" t="s">
        <v>1538</v>
      </c>
      <c r="H284" s="1594"/>
      <c r="AB284" s="1416">
        <v>0</v>
      </c>
      <c r="AC284" s="1606" t="s">
        <v>1541</v>
      </c>
      <c r="AD284" t="s">
        <v>1542</v>
      </c>
      <c r="AG284" s="1162" t="s">
        <v>1543</v>
      </c>
      <c r="AV284"/>
      <c r="AW284"/>
      <c r="AX284"/>
      <c r="AY284"/>
      <c r="AZ284"/>
      <c r="BA284"/>
      <c r="BB284"/>
      <c r="BC284"/>
      <c r="BD284"/>
      <c r="BE284"/>
    </row>
    <row r="285" ht="18" customHeight="1" spans="2:57">
      <c r="B285" s="1176" t="s">
        <v>1427</v>
      </c>
      <c r="D285" s="1162" t="s">
        <v>1538</v>
      </c>
      <c r="AC285" s="1606" t="s">
        <v>1544</v>
      </c>
      <c r="AD285" t="s">
        <v>1545</v>
      </c>
      <c r="AG285" s="1162" t="s">
        <v>1546</v>
      </c>
      <c r="AV285"/>
      <c r="AW285"/>
      <c r="AX285"/>
      <c r="AY285"/>
      <c r="AZ285"/>
      <c r="BA285"/>
      <c r="BB285"/>
      <c r="BC285"/>
      <c r="BD285"/>
      <c r="BE285"/>
    </row>
    <row r="286" ht="18" customHeight="1" spans="2:57">
      <c r="B286" s="1176" t="s">
        <v>1432</v>
      </c>
      <c r="D286" s="1162" t="s">
        <v>1538</v>
      </c>
      <c r="AC286" s="1606" t="s">
        <v>1547</v>
      </c>
      <c r="AD286" s="1162" t="s">
        <v>1548</v>
      </c>
      <c r="AG286" s="1162" t="s">
        <v>1549</v>
      </c>
      <c r="AV286"/>
      <c r="AW286"/>
      <c r="AX286"/>
      <c r="AY286"/>
      <c r="AZ286"/>
      <c r="BA286"/>
      <c r="BB286"/>
      <c r="BC286"/>
      <c r="BD286"/>
      <c r="BE286"/>
    </row>
    <row r="287" ht="18" customHeight="1" spans="2:57">
      <c r="B287" s="1176" t="s">
        <v>1437</v>
      </c>
      <c r="D287" s="1162" t="s">
        <v>1538</v>
      </c>
      <c r="AC287" s="1606" t="s">
        <v>1550</v>
      </c>
      <c r="AD287" s="1162" t="s">
        <v>523</v>
      </c>
      <c r="AG287" s="1162" t="s">
        <v>1551</v>
      </c>
      <c r="AV287"/>
      <c r="AW287"/>
      <c r="AX287"/>
      <c r="AY287"/>
      <c r="AZ287"/>
      <c r="BA287"/>
      <c r="BB287"/>
      <c r="BC287"/>
      <c r="BD287"/>
      <c r="BE287"/>
    </row>
    <row r="288" ht="18" customHeight="1" spans="2:57">
      <c r="B288" s="1176" t="s">
        <v>1443</v>
      </c>
      <c r="D288" s="1162" t="s">
        <v>1538</v>
      </c>
      <c r="AC288" s="1606" t="s">
        <v>1552</v>
      </c>
      <c r="AD288" s="1162" t="s">
        <v>521</v>
      </c>
      <c r="AG288" s="1162" t="s">
        <v>1484</v>
      </c>
      <c r="AV288"/>
      <c r="AW288"/>
      <c r="AX288"/>
      <c r="AY288"/>
      <c r="AZ288"/>
      <c r="BA288"/>
      <c r="BB288"/>
      <c r="BC288"/>
      <c r="BD288"/>
      <c r="BE288"/>
    </row>
    <row r="289" ht="18" customHeight="1" spans="2:57">
      <c r="B289" s="1595" t="s">
        <v>1447</v>
      </c>
      <c r="D289" s="1162" t="s">
        <v>1538</v>
      </c>
      <c r="W289"/>
      <c r="X289"/>
      <c r="AC289" s="1606" t="s">
        <v>379</v>
      </c>
      <c r="AD289" s="1162" t="s">
        <v>1553</v>
      </c>
      <c r="AV289"/>
      <c r="AW289"/>
      <c r="AX289"/>
      <c r="AY289"/>
      <c r="AZ289"/>
      <c r="BA289"/>
      <c r="BB289"/>
      <c r="BC289"/>
      <c r="BD289"/>
      <c r="BE289"/>
    </row>
    <row r="290" ht="18" customHeight="1" spans="2:57">
      <c r="B290" s="1176" t="s">
        <v>1451</v>
      </c>
      <c r="D290" s="1162" t="s">
        <v>1538</v>
      </c>
      <c r="I290" s="1594"/>
      <c r="M290" s="1510" t="s">
        <v>177</v>
      </c>
      <c r="N290" s="1511"/>
      <c r="O290" s="1597" t="s">
        <v>179</v>
      </c>
      <c r="P290" s="1511"/>
      <c r="Q290" s="1597" t="s">
        <v>1554</v>
      </c>
      <c r="R290" s="1511"/>
      <c r="S290" s="1597" t="s">
        <v>487</v>
      </c>
      <c r="T290" s="1511"/>
      <c r="U290" s="1597" t="s">
        <v>1555</v>
      </c>
      <c r="V290" s="1511"/>
      <c r="W290"/>
      <c r="X290"/>
      <c r="AC290" s="1606" t="s">
        <v>1556</v>
      </c>
      <c r="AD290" s="1162" t="s">
        <v>1557</v>
      </c>
      <c r="AV290"/>
      <c r="AW290"/>
      <c r="AX290"/>
      <c r="AY290"/>
      <c r="AZ290"/>
      <c r="BA290"/>
      <c r="BB290"/>
      <c r="BC290"/>
      <c r="BD290"/>
      <c r="BE290"/>
    </row>
    <row r="291" ht="18" customHeight="1" spans="2:57">
      <c r="B291" s="1176" t="s">
        <v>1455</v>
      </c>
      <c r="D291" s="1162" t="s">
        <v>1538</v>
      </c>
      <c r="M291" s="1513" t="s">
        <v>328</v>
      </c>
      <c r="N291" s="1471" t="s">
        <v>90</v>
      </c>
      <c r="O291" s="1470" t="s">
        <v>328</v>
      </c>
      <c r="P291" s="1471" t="s">
        <v>90</v>
      </c>
      <c r="Q291" s="1470" t="s">
        <v>328</v>
      </c>
      <c r="R291" s="1471" t="s">
        <v>90</v>
      </c>
      <c r="S291" s="1470" t="s">
        <v>328</v>
      </c>
      <c r="T291" s="1471" t="s">
        <v>90</v>
      </c>
      <c r="U291" s="1470" t="s">
        <v>328</v>
      </c>
      <c r="V291" s="1471" t="s">
        <v>90</v>
      </c>
      <c r="W291"/>
      <c r="X291"/>
      <c r="AC291" s="1606" t="s">
        <v>1558</v>
      </c>
      <c r="AV291"/>
      <c r="AW291"/>
      <c r="AX291"/>
      <c r="AY291"/>
      <c r="AZ291"/>
      <c r="BA291"/>
      <c r="BB291"/>
      <c r="BC291"/>
      <c r="BD291"/>
      <c r="BE291"/>
    </row>
    <row r="292" ht="18" customHeight="1" spans="2:57">
      <c r="B292" s="1176" t="s">
        <v>1459</v>
      </c>
      <c r="D292" s="1162" t="s">
        <v>1538</v>
      </c>
      <c r="G292" s="1596"/>
      <c r="M292" s="1162" t="s">
        <v>1559</v>
      </c>
      <c r="N292" s="1162">
        <v>1</v>
      </c>
      <c r="O292" s="1162" t="s">
        <v>180</v>
      </c>
      <c r="P292" s="1240">
        <v>1</v>
      </c>
      <c r="Q292" s="1162" t="s">
        <v>1560</v>
      </c>
      <c r="R292" s="1162">
        <v>0</v>
      </c>
      <c r="S292" s="1162" t="s">
        <v>1561</v>
      </c>
      <c r="U292" s="1162" t="s">
        <v>1562</v>
      </c>
      <c r="W292"/>
      <c r="X292"/>
      <c r="AC292" s="1162" t="s">
        <v>1563</v>
      </c>
      <c r="AV292"/>
      <c r="AW292"/>
      <c r="AX292"/>
      <c r="AY292"/>
      <c r="AZ292"/>
      <c r="BA292"/>
      <c r="BB292"/>
      <c r="BC292"/>
      <c r="BD292"/>
      <c r="BE292"/>
    </row>
    <row r="293" ht="18" customHeight="1" spans="2:57">
      <c r="B293" s="1176" t="s">
        <v>1464</v>
      </c>
      <c r="D293" s="1162" t="s">
        <v>1538</v>
      </c>
      <c r="M293" s="1162" t="s">
        <v>1564</v>
      </c>
      <c r="N293" s="1162">
        <v>1</v>
      </c>
      <c r="O293" s="1162" t="s">
        <v>1565</v>
      </c>
      <c r="P293" s="1240">
        <v>1</v>
      </c>
      <c r="Q293" s="1162" t="s">
        <v>1566</v>
      </c>
      <c r="R293" s="1162">
        <v>0</v>
      </c>
      <c r="S293" s="1162" t="s">
        <v>1567</v>
      </c>
      <c r="U293" s="1162" t="s">
        <v>1568</v>
      </c>
      <c r="W293"/>
      <c r="X293"/>
      <c r="AC293" s="1162" t="s">
        <v>1569</v>
      </c>
      <c r="AV293"/>
      <c r="AW293"/>
      <c r="AX293"/>
      <c r="AY293"/>
      <c r="AZ293"/>
      <c r="BA293"/>
      <c r="BB293"/>
      <c r="BC293"/>
      <c r="BD293"/>
      <c r="BE293"/>
    </row>
    <row r="294" ht="18" customHeight="1" spans="2:57">
      <c r="B294" s="1176" t="s">
        <v>1469</v>
      </c>
      <c r="D294" s="1162" t="s">
        <v>1538</v>
      </c>
      <c r="M294" s="1162" t="s">
        <v>1570</v>
      </c>
      <c r="N294" s="1162">
        <v>1</v>
      </c>
      <c r="O294" s="1162" t="s">
        <v>1571</v>
      </c>
      <c r="P294" s="1240">
        <v>1</v>
      </c>
      <c r="Q294" s="1162" t="s">
        <v>1572</v>
      </c>
      <c r="R294" s="1162">
        <v>0</v>
      </c>
      <c r="S294" s="1162" t="s">
        <v>1573</v>
      </c>
      <c r="U294" s="1162" t="s">
        <v>1574</v>
      </c>
      <c r="W294"/>
      <c r="X294"/>
      <c r="AC294" s="1162" t="s">
        <v>1575</v>
      </c>
      <c r="AV294"/>
      <c r="AW294"/>
      <c r="AX294"/>
      <c r="AY294"/>
      <c r="AZ294"/>
      <c r="BA294"/>
      <c r="BB294"/>
      <c r="BC294"/>
      <c r="BD294"/>
      <c r="BE294"/>
    </row>
    <row r="295" ht="18" customHeight="1" spans="2:57">
      <c r="B295" s="1176" t="s">
        <v>1471</v>
      </c>
      <c r="D295" s="1162" t="s">
        <v>1538</v>
      </c>
      <c r="M295" s="1162" t="s">
        <v>1576</v>
      </c>
      <c r="N295" s="1162">
        <v>1</v>
      </c>
      <c r="O295" s="1162" t="s">
        <v>1577</v>
      </c>
      <c r="P295" s="1240">
        <v>1</v>
      </c>
      <c r="Q295" s="1162" t="s">
        <v>1578</v>
      </c>
      <c r="R295" s="1162">
        <v>0</v>
      </c>
      <c r="S295" s="1162" t="s">
        <v>1579</v>
      </c>
      <c r="U295" s="1162" t="s">
        <v>1580</v>
      </c>
      <c r="W295"/>
      <c r="X295"/>
      <c r="AC295" s="1162" t="s">
        <v>1581</v>
      </c>
      <c r="AV295"/>
      <c r="AW295"/>
      <c r="AX295"/>
      <c r="AY295"/>
      <c r="AZ295"/>
      <c r="BA295"/>
      <c r="BB295"/>
      <c r="BC295"/>
      <c r="BD295"/>
      <c r="BE295"/>
    </row>
    <row r="296" ht="18" customHeight="1" spans="2:57">
      <c r="B296" s="1176" t="s">
        <v>1473</v>
      </c>
      <c r="D296" s="1162" t="s">
        <v>1538</v>
      </c>
      <c r="M296" s="1162" t="s">
        <v>1582</v>
      </c>
      <c r="N296" s="1162">
        <v>1</v>
      </c>
      <c r="O296" s="1162" t="s">
        <v>1583</v>
      </c>
      <c r="P296" s="1240">
        <v>1</v>
      </c>
      <c r="Q296" s="1162" t="s">
        <v>1584</v>
      </c>
      <c r="R296" s="1162">
        <v>0</v>
      </c>
      <c r="S296" s="1162" t="s">
        <v>1558</v>
      </c>
      <c r="U296" s="1162" t="s">
        <v>1585</v>
      </c>
      <c r="W296"/>
      <c r="X296"/>
      <c r="AC296" s="1162" t="s">
        <v>1586</v>
      </c>
      <c r="AV296"/>
      <c r="AW296"/>
      <c r="AX296"/>
      <c r="AY296"/>
      <c r="AZ296"/>
      <c r="BA296"/>
      <c r="BB296"/>
      <c r="BC296"/>
      <c r="BD296"/>
      <c r="BE296"/>
    </row>
    <row r="297" ht="18" customHeight="1" spans="2:57">
      <c r="B297" s="1176" t="s">
        <v>1474</v>
      </c>
      <c r="D297" s="1162" t="s">
        <v>1538</v>
      </c>
      <c r="M297" s="1162" t="s">
        <v>1587</v>
      </c>
      <c r="N297" s="1162">
        <v>1</v>
      </c>
      <c r="O297" s="1162" t="s">
        <v>1588</v>
      </c>
      <c r="P297" s="1240">
        <v>1</v>
      </c>
      <c r="Q297" s="1162" t="s">
        <v>1589</v>
      </c>
      <c r="R297" s="1162">
        <v>0</v>
      </c>
      <c r="S297" s="1162" t="s">
        <v>1590</v>
      </c>
      <c r="U297" s="1162" t="s">
        <v>1591</v>
      </c>
      <c r="W297"/>
      <c r="X297"/>
      <c r="AA297" s="1394" t="s">
        <v>1592</v>
      </c>
      <c r="AC297" s="1162" t="s">
        <v>1593</v>
      </c>
      <c r="AV297"/>
      <c r="AW297"/>
      <c r="AX297"/>
      <c r="AY297"/>
      <c r="AZ297"/>
      <c r="BA297"/>
      <c r="BB297"/>
      <c r="BC297"/>
      <c r="BD297"/>
      <c r="BE297"/>
    </row>
    <row r="298" ht="18" customHeight="1" spans="2:57">
      <c r="B298" s="1176" t="s">
        <v>1475</v>
      </c>
      <c r="D298" s="1162" t="s">
        <v>1538</v>
      </c>
      <c r="M298" s="1162" t="s">
        <v>1594</v>
      </c>
      <c r="N298" s="1162">
        <v>1</v>
      </c>
      <c r="O298" s="1162" t="s">
        <v>1595</v>
      </c>
      <c r="P298" s="1240">
        <v>1</v>
      </c>
      <c r="Q298" s="1162" t="s">
        <v>1596</v>
      </c>
      <c r="R298" s="1162">
        <v>0</v>
      </c>
      <c r="S298" s="1162" t="s">
        <v>1597</v>
      </c>
      <c r="U298" s="1162" t="s">
        <v>1598</v>
      </c>
      <c r="W298"/>
      <c r="X298"/>
      <c r="AA298" s="1394" t="s">
        <v>1599</v>
      </c>
      <c r="AC298" s="1162" t="s">
        <v>1600</v>
      </c>
      <c r="AV298"/>
      <c r="AW298"/>
      <c r="AX298"/>
      <c r="AY298"/>
      <c r="AZ298"/>
      <c r="BA298"/>
      <c r="BB298"/>
      <c r="BC298"/>
      <c r="BD298"/>
      <c r="BE298"/>
    </row>
    <row r="299" ht="18" customHeight="1" spans="2:57">
      <c r="B299" s="1176" t="s">
        <v>1601</v>
      </c>
      <c r="D299" s="1162" t="s">
        <v>1538</v>
      </c>
      <c r="M299" s="1162" t="s">
        <v>1602</v>
      </c>
      <c r="N299" s="1162">
        <v>1</v>
      </c>
      <c r="O299" s="1162" t="s">
        <v>1603</v>
      </c>
      <c r="P299" s="1240">
        <v>1</v>
      </c>
      <c r="Q299" s="1162" t="s">
        <v>1604</v>
      </c>
      <c r="R299" s="1162">
        <v>0</v>
      </c>
      <c r="S299" s="1162" t="s">
        <v>1605</v>
      </c>
      <c r="U299" s="1162" t="s">
        <v>1606</v>
      </c>
      <c r="W299"/>
      <c r="X299"/>
      <c r="AA299" s="1394" t="s">
        <v>1607</v>
      </c>
      <c r="AC299" s="1162" t="s">
        <v>1608</v>
      </c>
      <c r="AV299"/>
      <c r="AW299"/>
      <c r="AX299"/>
      <c r="AY299"/>
      <c r="AZ299"/>
      <c r="BA299"/>
      <c r="BB299"/>
      <c r="BC299"/>
      <c r="BD299"/>
      <c r="BE299"/>
    </row>
    <row r="300" ht="18" customHeight="1" spans="2:57">
      <c r="B300" s="1176" t="s">
        <v>1478</v>
      </c>
      <c r="D300" s="1162" t="s">
        <v>1538</v>
      </c>
      <c r="M300" s="1162" t="s">
        <v>1609</v>
      </c>
      <c r="N300" s="1162">
        <v>1</v>
      </c>
      <c r="O300" s="1162" t="s">
        <v>1610</v>
      </c>
      <c r="P300" s="1240">
        <v>1</v>
      </c>
      <c r="Q300" s="1162" t="s">
        <v>1611</v>
      </c>
      <c r="R300" s="1162">
        <v>0</v>
      </c>
      <c r="S300" s="1162" t="s">
        <v>1612</v>
      </c>
      <c r="U300" s="1162" t="s">
        <v>1613</v>
      </c>
      <c r="W300"/>
      <c r="X300"/>
      <c r="AA300" s="1162" t="s">
        <v>1614</v>
      </c>
      <c r="AC300" s="1162" t="s">
        <v>1615</v>
      </c>
      <c r="AV300"/>
      <c r="AW300"/>
      <c r="AX300"/>
      <c r="AY300"/>
      <c r="AZ300"/>
      <c r="BA300"/>
      <c r="BB300"/>
      <c r="BC300"/>
      <c r="BD300"/>
      <c r="BE300"/>
    </row>
    <row r="301" ht="18" customHeight="1" spans="2:57">
      <c r="B301" s="1176" t="s">
        <v>1480</v>
      </c>
      <c r="D301" s="1162" t="s">
        <v>1538</v>
      </c>
      <c r="M301" s="1162" t="s">
        <v>1616</v>
      </c>
      <c r="N301" s="1162">
        <v>1</v>
      </c>
      <c r="O301" s="1162" t="s">
        <v>1617</v>
      </c>
      <c r="P301" s="1240">
        <v>1</v>
      </c>
      <c r="Q301" s="1162" t="s">
        <v>1618</v>
      </c>
      <c r="R301" s="1162">
        <v>0</v>
      </c>
      <c r="S301" s="1162" t="s">
        <v>1619</v>
      </c>
      <c r="U301" s="1162" t="s">
        <v>1620</v>
      </c>
      <c r="W301"/>
      <c r="X301"/>
      <c r="AC301" s="1162" t="s">
        <v>1621</v>
      </c>
      <c r="AV301"/>
      <c r="AW301"/>
      <c r="AX301"/>
      <c r="AY301"/>
      <c r="AZ301"/>
      <c r="BA301"/>
      <c r="BB301"/>
      <c r="BC301"/>
      <c r="BD301"/>
      <c r="BE301"/>
    </row>
    <row r="302" ht="18" customHeight="1" spans="2:57">
      <c r="B302" s="1176" t="s">
        <v>1486</v>
      </c>
      <c r="D302" s="1162" t="s">
        <v>1538</v>
      </c>
      <c r="M302" s="1162" t="s">
        <v>1622</v>
      </c>
      <c r="N302" s="1162">
        <v>1</v>
      </c>
      <c r="O302" s="1162" t="s">
        <v>1623</v>
      </c>
      <c r="P302" s="1240">
        <v>1</v>
      </c>
      <c r="Q302" s="1162" t="s">
        <v>1624</v>
      </c>
      <c r="R302" s="1162">
        <v>0</v>
      </c>
      <c r="S302" s="1162" t="s">
        <v>1625</v>
      </c>
      <c r="U302" s="1162" t="s">
        <v>1626</v>
      </c>
      <c r="W302"/>
      <c r="X302"/>
      <c r="AC302" s="1162" t="s">
        <v>1627</v>
      </c>
      <c r="AV302"/>
      <c r="AW302"/>
      <c r="AX302"/>
      <c r="AY302"/>
      <c r="AZ302"/>
      <c r="BA302"/>
      <c r="BB302"/>
      <c r="BC302"/>
      <c r="BD302"/>
      <c r="BE302"/>
    </row>
    <row r="303" ht="18" customHeight="1" spans="2:57">
      <c r="B303" s="1176" t="s">
        <v>1494</v>
      </c>
      <c r="D303" s="1162" t="s">
        <v>1538</v>
      </c>
      <c r="M303" s="1162" t="s">
        <v>1628</v>
      </c>
      <c r="N303" s="1162">
        <v>1</v>
      </c>
      <c r="O303" s="1239" t="s">
        <v>1629</v>
      </c>
      <c r="P303" s="1240">
        <v>1</v>
      </c>
      <c r="Q303" s="1162" t="s">
        <v>1630</v>
      </c>
      <c r="R303" s="1162">
        <v>0</v>
      </c>
      <c r="S303" s="1162" t="s">
        <v>1631</v>
      </c>
      <c r="U303" s="1162" t="s">
        <v>1632</v>
      </c>
      <c r="W303"/>
      <c r="X303"/>
      <c r="AC303" s="1162" t="s">
        <v>1218</v>
      </c>
      <c r="AV303"/>
      <c r="AW303"/>
      <c r="AX303"/>
      <c r="AY303"/>
      <c r="AZ303"/>
      <c r="BA303"/>
      <c r="BB303"/>
      <c r="BC303"/>
      <c r="BD303"/>
      <c r="BE303"/>
    </row>
    <row r="304" ht="18" customHeight="1" spans="2:57">
      <c r="B304" s="1176" t="s">
        <v>1501</v>
      </c>
      <c r="D304" s="1162" t="s">
        <v>1538</v>
      </c>
      <c r="M304" s="1162" t="s">
        <v>1633</v>
      </c>
      <c r="N304" s="1162">
        <v>1</v>
      </c>
      <c r="O304" s="1162" t="s">
        <v>1634</v>
      </c>
      <c r="P304" s="1240">
        <v>1</v>
      </c>
      <c r="Q304" s="1162" t="s">
        <v>1635</v>
      </c>
      <c r="R304" s="1162">
        <v>0</v>
      </c>
      <c r="S304" s="1162" t="s">
        <v>1636</v>
      </c>
      <c r="U304" s="1162" t="s">
        <v>1637</v>
      </c>
      <c r="W304"/>
      <c r="X304"/>
      <c r="AC304" s="1162" t="s">
        <v>1638</v>
      </c>
      <c r="AV304"/>
      <c r="AW304"/>
      <c r="AX304"/>
      <c r="AY304"/>
      <c r="AZ304"/>
      <c r="BA304"/>
      <c r="BB304"/>
      <c r="BC304"/>
      <c r="BD304"/>
      <c r="BE304"/>
    </row>
    <row r="305" ht="18" customHeight="1" spans="2:57">
      <c r="B305" s="1176" t="s">
        <v>738</v>
      </c>
      <c r="M305" s="1162" t="s">
        <v>1639</v>
      </c>
      <c r="N305" s="1162">
        <v>1</v>
      </c>
      <c r="O305" s="1162" t="s">
        <v>1640</v>
      </c>
      <c r="P305" s="1240">
        <v>1</v>
      </c>
      <c r="Q305" s="1162" t="s">
        <v>1641</v>
      </c>
      <c r="R305" s="1162">
        <v>0</v>
      </c>
      <c r="S305" s="1162" t="s">
        <v>1642</v>
      </c>
      <c r="U305" s="1162" t="s">
        <v>1643</v>
      </c>
      <c r="W305"/>
      <c r="X305"/>
      <c r="AC305" s="1162" t="s">
        <v>1644</v>
      </c>
      <c r="AV305"/>
      <c r="AW305"/>
      <c r="AX305"/>
      <c r="AY305"/>
      <c r="AZ305"/>
      <c r="BA305"/>
      <c r="BB305"/>
      <c r="BC305"/>
      <c r="BD305"/>
      <c r="BE305"/>
    </row>
    <row r="306" ht="18" customHeight="1" spans="2:57">
      <c r="B306" s="1162" t="s">
        <v>1559</v>
      </c>
      <c r="D306" s="1162" t="s">
        <v>1645</v>
      </c>
      <c r="E306" s="1162" t="s">
        <v>1646</v>
      </c>
      <c r="F306" s="1394" t="s">
        <v>1647</v>
      </c>
      <c r="M306" s="1162" t="s">
        <v>1648</v>
      </c>
      <c r="N306" s="1162">
        <v>1</v>
      </c>
      <c r="O306" s="1162" t="s">
        <v>1649</v>
      </c>
      <c r="P306" s="1240">
        <v>1</v>
      </c>
      <c r="Q306" s="1162" t="s">
        <v>1650</v>
      </c>
      <c r="R306" s="1162">
        <v>0</v>
      </c>
      <c r="S306" s="1162" t="s">
        <v>1651</v>
      </c>
      <c r="U306" s="1162" t="s">
        <v>1652</v>
      </c>
      <c r="W306"/>
      <c r="X306"/>
      <c r="AC306" s="1162" t="s">
        <v>1653</v>
      </c>
      <c r="AV306"/>
      <c r="AW306"/>
      <c r="AX306"/>
      <c r="AY306"/>
      <c r="AZ306"/>
      <c r="BA306"/>
      <c r="BB306"/>
      <c r="BC306"/>
      <c r="BD306"/>
      <c r="BE306"/>
    </row>
    <row r="307" ht="18" customHeight="1" spans="1:57">
      <c r="A307" s="1162" t="s">
        <v>1564</v>
      </c>
      <c r="B307" s="1162" t="s">
        <v>1564</v>
      </c>
      <c r="D307" s="1162" t="s">
        <v>1645</v>
      </c>
      <c r="E307" s="1162" t="s">
        <v>1646</v>
      </c>
      <c r="F307" s="1394" t="s">
        <v>1647</v>
      </c>
      <c r="O307" s="1162" t="s">
        <v>1654</v>
      </c>
      <c r="P307" s="1240">
        <v>1</v>
      </c>
      <c r="Q307" s="1162" t="s">
        <v>1655</v>
      </c>
      <c r="R307" s="1162">
        <v>0</v>
      </c>
      <c r="S307" s="1162" t="s">
        <v>1656</v>
      </c>
      <c r="U307" s="1162" t="s">
        <v>1657</v>
      </c>
      <c r="W307"/>
      <c r="X307"/>
      <c r="AC307" s="1162" t="s">
        <v>1658</v>
      </c>
      <c r="AV307"/>
      <c r="AW307"/>
      <c r="AX307"/>
      <c r="AY307"/>
      <c r="AZ307"/>
      <c r="BA307"/>
      <c r="BB307"/>
      <c r="BC307"/>
      <c r="BD307"/>
      <c r="BE307"/>
    </row>
    <row r="308" ht="18" customHeight="1" spans="1:57">
      <c r="A308" s="1162" t="s">
        <v>675</v>
      </c>
      <c r="B308" s="1162" t="s">
        <v>1570</v>
      </c>
      <c r="D308" s="1162" t="s">
        <v>1645</v>
      </c>
      <c r="F308" s="1394" t="s">
        <v>1659</v>
      </c>
      <c r="O308" s="1162" t="s">
        <v>1660</v>
      </c>
      <c r="P308" s="1240">
        <v>1</v>
      </c>
      <c r="Q308" s="1162" t="s">
        <v>1661</v>
      </c>
      <c r="R308" s="1162">
        <v>0</v>
      </c>
      <c r="S308" s="1162" t="s">
        <v>1575</v>
      </c>
      <c r="U308" s="1162" t="s">
        <v>1662</v>
      </c>
      <c r="W308"/>
      <c r="X308"/>
      <c r="AC308" s="1162" t="s">
        <v>1663</v>
      </c>
      <c r="AV308"/>
      <c r="AW308"/>
      <c r="AX308"/>
      <c r="AY308"/>
      <c r="AZ308"/>
      <c r="BA308"/>
      <c r="BB308"/>
      <c r="BC308"/>
      <c r="BD308"/>
      <c r="BE308"/>
    </row>
    <row r="309" ht="18" customHeight="1" spans="1:57">
      <c r="A309" s="1162" t="s">
        <v>1559</v>
      </c>
      <c r="B309" s="1162" t="s">
        <v>1576</v>
      </c>
      <c r="D309" s="1162" t="s">
        <v>1645</v>
      </c>
      <c r="F309" s="1394" t="s">
        <v>1659</v>
      </c>
      <c r="O309" s="1162" t="s">
        <v>1664</v>
      </c>
      <c r="P309" s="1240">
        <v>1</v>
      </c>
      <c r="Q309" s="1162" t="s">
        <v>1665</v>
      </c>
      <c r="R309" s="1162">
        <v>0</v>
      </c>
      <c r="S309" s="1162" t="s">
        <v>1658</v>
      </c>
      <c r="U309" s="1162" t="s">
        <v>1666</v>
      </c>
      <c r="W309"/>
      <c r="X309"/>
      <c r="Y309" s="1162" t="s">
        <v>644</v>
      </c>
      <c r="AC309" s="1162" t="s">
        <v>1667</v>
      </c>
      <c r="AV309"/>
      <c r="AW309"/>
      <c r="AX309"/>
      <c r="AY309"/>
      <c r="AZ309"/>
      <c r="BA309"/>
      <c r="BB309"/>
      <c r="BC309"/>
      <c r="BD309"/>
      <c r="BE309"/>
    </row>
    <row r="310" ht="18" customHeight="1" spans="1:57">
      <c r="A310" s="1162" t="s">
        <v>1602</v>
      </c>
      <c r="B310" s="1162" t="s">
        <v>1582</v>
      </c>
      <c r="D310" s="1162" t="s">
        <v>1645</v>
      </c>
      <c r="F310" s="1394" t="s">
        <v>1659</v>
      </c>
      <c r="O310" s="1162" t="s">
        <v>1668</v>
      </c>
      <c r="P310" s="1240">
        <v>1</v>
      </c>
      <c r="Q310" s="1162" t="s">
        <v>1669</v>
      </c>
      <c r="R310" s="1162">
        <v>0</v>
      </c>
      <c r="S310" s="1162" t="s">
        <v>1670</v>
      </c>
      <c r="U310" s="1162" t="s">
        <v>1671</v>
      </c>
      <c r="W310"/>
      <c r="X310"/>
      <c r="AC310" s="1162" t="s">
        <v>1672</v>
      </c>
      <c r="AV310"/>
      <c r="AW310"/>
      <c r="AX310"/>
      <c r="AY310"/>
      <c r="AZ310"/>
      <c r="BA310"/>
      <c r="BB310"/>
      <c r="BC310"/>
      <c r="BD310"/>
      <c r="BE310"/>
    </row>
    <row r="311" ht="18" customHeight="1" spans="1:57">
      <c r="A311" s="1162" t="s">
        <v>1673</v>
      </c>
      <c r="B311" s="1162" t="s">
        <v>1587</v>
      </c>
      <c r="D311" s="1162" t="s">
        <v>1645</v>
      </c>
      <c r="F311" s="1394" t="s">
        <v>1674</v>
      </c>
      <c r="O311" s="1162" t="s">
        <v>1675</v>
      </c>
      <c r="P311" s="1240">
        <v>1</v>
      </c>
      <c r="Q311" s="1162" t="s">
        <v>1676</v>
      </c>
      <c r="R311" s="1162">
        <v>0</v>
      </c>
      <c r="S311" s="1162" t="s">
        <v>1677</v>
      </c>
      <c r="U311" s="1162" t="s">
        <v>1678</v>
      </c>
      <c r="W311"/>
      <c r="X311"/>
      <c r="AC311" s="1162" t="s">
        <v>1679</v>
      </c>
      <c r="AV311"/>
      <c r="AW311"/>
      <c r="AX311"/>
      <c r="AY311"/>
      <c r="AZ311"/>
      <c r="BA311"/>
      <c r="BB311"/>
      <c r="BC311"/>
      <c r="BD311"/>
      <c r="BE311"/>
    </row>
    <row r="312" ht="18" customHeight="1" spans="1:57">
      <c r="A312" s="1162" t="s">
        <v>671</v>
      </c>
      <c r="B312" s="1162" t="s">
        <v>1594</v>
      </c>
      <c r="D312" s="1162" t="s">
        <v>1645</v>
      </c>
      <c r="F312" s="1394" t="s">
        <v>1659</v>
      </c>
      <c r="O312" s="1162" t="s">
        <v>1680</v>
      </c>
      <c r="P312" s="1240">
        <v>1</v>
      </c>
      <c r="Q312" s="1162" t="s">
        <v>1681</v>
      </c>
      <c r="R312" s="1162">
        <v>0</v>
      </c>
      <c r="U312" s="1162" t="s">
        <v>1682</v>
      </c>
      <c r="W312"/>
      <c r="X312"/>
      <c r="AC312" s="1162" t="s">
        <v>1683</v>
      </c>
      <c r="AV312"/>
      <c r="AW312"/>
      <c r="AX312"/>
      <c r="AY312"/>
      <c r="AZ312"/>
      <c r="BA312"/>
      <c r="BB312"/>
      <c r="BC312"/>
      <c r="BD312"/>
      <c r="BE312"/>
    </row>
    <row r="313" ht="18" customHeight="1" spans="1:57">
      <c r="A313" s="1162" t="s">
        <v>1684</v>
      </c>
      <c r="B313" s="1162" t="s">
        <v>1602</v>
      </c>
      <c r="D313" s="1162" t="s">
        <v>1645</v>
      </c>
      <c r="F313" s="1394" t="s">
        <v>1685</v>
      </c>
      <c r="O313" s="1162" t="s">
        <v>1686</v>
      </c>
      <c r="P313" s="1240">
        <v>1</v>
      </c>
      <c r="Q313" s="1162" t="s">
        <v>1687</v>
      </c>
      <c r="R313" s="1162">
        <v>0</v>
      </c>
      <c r="U313" s="1162" t="s">
        <v>1688</v>
      </c>
      <c r="W313"/>
      <c r="X313"/>
      <c r="AC313" s="1162" t="s">
        <v>1689</v>
      </c>
      <c r="AV313"/>
      <c r="AW313"/>
      <c r="AX313"/>
      <c r="AY313"/>
      <c r="AZ313"/>
      <c r="BA313"/>
      <c r="BB313"/>
      <c r="BC313"/>
      <c r="BD313"/>
      <c r="BE313"/>
    </row>
    <row r="314" ht="18" customHeight="1" spans="1:57">
      <c r="A314" s="1162" t="s">
        <v>1587</v>
      </c>
      <c r="B314" s="1162" t="s">
        <v>1609</v>
      </c>
      <c r="D314" s="1162" t="s">
        <v>1645</v>
      </c>
      <c r="F314" s="1394" t="s">
        <v>1690</v>
      </c>
      <c r="O314" s="1162" t="s">
        <v>1691</v>
      </c>
      <c r="P314" s="1240">
        <v>1</v>
      </c>
      <c r="Q314" s="1162" t="s">
        <v>1692</v>
      </c>
      <c r="R314" s="1162">
        <v>0</v>
      </c>
      <c r="U314" s="1162" t="s">
        <v>1693</v>
      </c>
      <c r="W314"/>
      <c r="X314"/>
      <c r="AC314" s="1162" t="s">
        <v>1694</v>
      </c>
      <c r="AV314"/>
      <c r="AW314"/>
      <c r="AX314"/>
      <c r="AY314"/>
      <c r="AZ314"/>
      <c r="BA314"/>
      <c r="BB314"/>
      <c r="BC314"/>
      <c r="BD314"/>
      <c r="BE314"/>
    </row>
    <row r="315" ht="18" customHeight="1" spans="2:57">
      <c r="B315" s="1162" t="s">
        <v>1616</v>
      </c>
      <c r="D315" s="1162" t="s">
        <v>1645</v>
      </c>
      <c r="F315" s="1394" t="s">
        <v>1695</v>
      </c>
      <c r="Q315" s="1394" t="s">
        <v>1696</v>
      </c>
      <c r="R315" s="1162">
        <v>0</v>
      </c>
      <c r="U315" s="1162" t="s">
        <v>1697</v>
      </c>
      <c r="W315"/>
      <c r="X315"/>
      <c r="AC315" s="1162" t="s">
        <v>1698</v>
      </c>
      <c r="AV315"/>
      <c r="AW315"/>
      <c r="AX315"/>
      <c r="AY315"/>
      <c r="AZ315"/>
      <c r="BA315"/>
      <c r="BB315"/>
      <c r="BC315"/>
      <c r="BD315"/>
      <c r="BE315"/>
    </row>
    <row r="316" ht="18" customHeight="1" spans="2:57">
      <c r="B316" s="1162" t="s">
        <v>1622</v>
      </c>
      <c r="D316" s="1162" t="s">
        <v>1645</v>
      </c>
      <c r="F316" s="1394" t="s">
        <v>1699</v>
      </c>
      <c r="Q316" s="1162" t="s">
        <v>1700</v>
      </c>
      <c r="R316" s="1162">
        <v>0</v>
      </c>
      <c r="U316" s="1162" t="s">
        <v>1701</v>
      </c>
      <c r="W316"/>
      <c r="X316"/>
      <c r="AC316" s="1162" t="s">
        <v>1702</v>
      </c>
      <c r="AV316"/>
      <c r="AW316"/>
      <c r="AX316"/>
      <c r="AY316"/>
      <c r="AZ316"/>
      <c r="BA316"/>
      <c r="BB316"/>
      <c r="BC316"/>
      <c r="BD316"/>
      <c r="BE316"/>
    </row>
    <row r="317" ht="18" customHeight="1" spans="2:57">
      <c r="B317" s="1162" t="s">
        <v>1628</v>
      </c>
      <c r="D317" s="1162" t="s">
        <v>1645</v>
      </c>
      <c r="F317" s="1394" t="s">
        <v>1695</v>
      </c>
      <c r="Q317" s="1162" t="s">
        <v>1703</v>
      </c>
      <c r="R317" s="1162">
        <v>0</v>
      </c>
      <c r="U317" s="1162" t="s">
        <v>1704</v>
      </c>
      <c r="W317"/>
      <c r="X317"/>
      <c r="AC317" s="1162" t="s">
        <v>1705</v>
      </c>
      <c r="AV317"/>
      <c r="AW317"/>
      <c r="AX317"/>
      <c r="AY317"/>
      <c r="AZ317"/>
      <c r="BA317"/>
      <c r="BB317"/>
      <c r="BC317"/>
      <c r="BD317"/>
      <c r="BE317"/>
    </row>
    <row r="318" ht="18" customHeight="1" spans="2:57">
      <c r="B318" s="1162" t="s">
        <v>1633</v>
      </c>
      <c r="D318" s="1162" t="s">
        <v>1645</v>
      </c>
      <c r="F318" s="1394" t="s">
        <v>1695</v>
      </c>
      <c r="O318" s="1187"/>
      <c r="P318" s="1187"/>
      <c r="Q318" s="1162" t="s">
        <v>1706</v>
      </c>
      <c r="R318" s="1162">
        <v>0</v>
      </c>
      <c r="U318" s="1162" t="s">
        <v>1707</v>
      </c>
      <c r="W318"/>
      <c r="X318"/>
      <c r="AC318" s="1162" t="s">
        <v>1708</v>
      </c>
      <c r="AV318"/>
      <c r="AW318"/>
      <c r="AX318"/>
      <c r="AY318"/>
      <c r="AZ318"/>
      <c r="BA318"/>
      <c r="BB318"/>
      <c r="BC318"/>
      <c r="BD318"/>
      <c r="BE318"/>
    </row>
    <row r="319" ht="18" customHeight="1" spans="2:57">
      <c r="B319" s="1162" t="s">
        <v>1709</v>
      </c>
      <c r="D319" s="1162" t="s">
        <v>1645</v>
      </c>
      <c r="F319" s="1394" t="s">
        <v>1710</v>
      </c>
      <c r="Q319" s="1162" t="s">
        <v>1711</v>
      </c>
      <c r="R319" s="1162">
        <v>0</v>
      </c>
      <c r="U319" s="1162" t="s">
        <v>1712</v>
      </c>
      <c r="W319"/>
      <c r="X319"/>
      <c r="AC319" s="1162" t="s">
        <v>1713</v>
      </c>
      <c r="AV319"/>
      <c r="AW319"/>
      <c r="AX319"/>
      <c r="AY319"/>
      <c r="AZ319"/>
      <c r="BA319"/>
      <c r="BB319"/>
      <c r="BC319"/>
      <c r="BD319"/>
      <c r="BE319"/>
    </row>
    <row r="320" ht="18" customHeight="1" spans="2:57">
      <c r="B320" s="1176" t="s">
        <v>668</v>
      </c>
      <c r="D320" s="1162" t="s">
        <v>1645</v>
      </c>
      <c r="F320" s="1394" t="s">
        <v>1714</v>
      </c>
      <c r="Q320" s="1162" t="s">
        <v>1715</v>
      </c>
      <c r="R320" s="1162">
        <v>0</v>
      </c>
      <c r="U320" s="1162" t="s">
        <v>1716</v>
      </c>
      <c r="AC320" s="1162" t="s">
        <v>1717</v>
      </c>
      <c r="AV320"/>
      <c r="AW320"/>
      <c r="AX320"/>
      <c r="AY320"/>
      <c r="AZ320"/>
      <c r="BA320"/>
      <c r="BB320"/>
      <c r="BC320"/>
      <c r="BD320"/>
      <c r="BE320"/>
    </row>
    <row r="321" ht="18" customHeight="1" spans="2:57">
      <c r="B321" s="1495" t="s">
        <v>662</v>
      </c>
      <c r="C321" s="1495">
        <v>25</v>
      </c>
      <c r="D321" s="1162" t="s">
        <v>1645</v>
      </c>
      <c r="F321" s="1162" t="s">
        <v>1718</v>
      </c>
      <c r="Q321" s="1162" t="s">
        <v>1719</v>
      </c>
      <c r="R321" s="1162">
        <v>0</v>
      </c>
      <c r="U321" s="1162" t="s">
        <v>1720</v>
      </c>
      <c r="AC321" s="1162" t="s">
        <v>1721</v>
      </c>
      <c r="AV321"/>
      <c r="AW321"/>
      <c r="AX321"/>
      <c r="AY321"/>
      <c r="AZ321"/>
      <c r="BA321"/>
      <c r="BB321"/>
      <c r="BC321"/>
      <c r="BD321"/>
      <c r="BE321"/>
    </row>
    <row r="322" ht="18" customHeight="1" spans="2:57">
      <c r="B322" s="1495" t="s">
        <v>663</v>
      </c>
      <c r="C322" s="1495">
        <v>15</v>
      </c>
      <c r="D322" s="1162" t="s">
        <v>1645</v>
      </c>
      <c r="F322" s="1162" t="s">
        <v>1722</v>
      </c>
      <c r="Q322" s="1162" t="s">
        <v>1723</v>
      </c>
      <c r="R322" s="1162">
        <v>0</v>
      </c>
      <c r="U322" s="1162" t="s">
        <v>1724</v>
      </c>
      <c r="AC322" s="1162" t="s">
        <v>1725</v>
      </c>
      <c r="AV322"/>
      <c r="AW322"/>
      <c r="AX322"/>
      <c r="AY322"/>
      <c r="AZ322"/>
      <c r="BA322"/>
      <c r="BB322"/>
      <c r="BC322"/>
      <c r="BD322"/>
      <c r="BE322"/>
    </row>
    <row r="323" ht="18" customHeight="1" spans="2:57">
      <c r="B323" s="1495" t="s">
        <v>664</v>
      </c>
      <c r="C323" s="1495">
        <v>10</v>
      </c>
      <c r="D323" s="1162" t="s">
        <v>1645</v>
      </c>
      <c r="F323" s="1162" t="s">
        <v>1718</v>
      </c>
      <c r="AC323" s="1162" t="s">
        <v>1726</v>
      </c>
      <c r="AV323"/>
      <c r="AW323"/>
      <c r="AX323"/>
      <c r="AY323"/>
      <c r="AZ323"/>
      <c r="BA323"/>
      <c r="BB323"/>
      <c r="BC323"/>
      <c r="BD323"/>
      <c r="BE323"/>
    </row>
    <row r="324" spans="2:57">
      <c r="B324" s="1162" t="s">
        <v>1727</v>
      </c>
      <c r="C324" s="1162">
        <v>20</v>
      </c>
      <c r="D324" s="1162" t="s">
        <v>1645</v>
      </c>
      <c r="F324" s="1162" t="s">
        <v>1728</v>
      </c>
      <c r="AC324" s="1162" t="s">
        <v>1729</v>
      </c>
      <c r="AV324"/>
      <c r="AW324"/>
      <c r="AX324"/>
      <c r="AY324"/>
      <c r="AZ324"/>
      <c r="BA324"/>
      <c r="BB324"/>
      <c r="BC324"/>
      <c r="BD324"/>
      <c r="BE324"/>
    </row>
    <row r="325" spans="2:57">
      <c r="B325" s="1162" t="s">
        <v>666</v>
      </c>
      <c r="C325" s="1162">
        <v>15</v>
      </c>
      <c r="D325" s="1162" t="s">
        <v>1645</v>
      </c>
      <c r="F325" s="1162" t="s">
        <v>1730</v>
      </c>
      <c r="M325"/>
      <c r="N325"/>
      <c r="AC325" s="1162" t="s">
        <v>1731</v>
      </c>
      <c r="AV325"/>
      <c r="AW325"/>
      <c r="AX325"/>
      <c r="AY325"/>
      <c r="AZ325"/>
      <c r="BA325"/>
      <c r="BB325"/>
      <c r="BC325"/>
      <c r="BD325"/>
      <c r="BE325"/>
    </row>
    <row r="326" spans="2:57">
      <c r="B326" s="1162" t="s">
        <v>667</v>
      </c>
      <c r="C326" s="1162">
        <v>25</v>
      </c>
      <c r="D326" s="1162" t="s">
        <v>1645</v>
      </c>
      <c r="F326" s="1162" t="s">
        <v>1732</v>
      </c>
      <c r="M326"/>
      <c r="N326"/>
      <c r="AC326" s="1162" t="s">
        <v>1733</v>
      </c>
      <c r="AV326"/>
      <c r="AW326"/>
      <c r="AX326"/>
      <c r="AY326"/>
      <c r="AZ326"/>
      <c r="BA326"/>
      <c r="BB326"/>
      <c r="BC326"/>
      <c r="BD326"/>
      <c r="BE326"/>
    </row>
    <row r="327" customFormat="1" spans="2:29">
      <c r="B327" t="s">
        <v>668</v>
      </c>
      <c r="C327">
        <v>15</v>
      </c>
      <c r="D327" s="1162" t="s">
        <v>1645</v>
      </c>
      <c r="F327" t="s">
        <v>1734</v>
      </c>
      <c r="AC327" t="s">
        <v>1735</v>
      </c>
    </row>
    <row r="328" spans="2:57">
      <c r="B328" s="1162" t="s">
        <v>669</v>
      </c>
      <c r="C328" s="1162">
        <v>10</v>
      </c>
      <c r="D328" s="1162" t="s">
        <v>1645</v>
      </c>
      <c r="F328" s="1162" t="s">
        <v>1736</v>
      </c>
      <c r="M328"/>
      <c r="N328"/>
      <c r="AC328" s="1162" t="s">
        <v>1737</v>
      </c>
      <c r="AV328"/>
      <c r="AW328"/>
      <c r="AX328"/>
      <c r="AY328"/>
      <c r="AZ328"/>
      <c r="BA328"/>
      <c r="BB328"/>
      <c r="BC328"/>
      <c r="BD328"/>
      <c r="BE328"/>
    </row>
    <row r="329" spans="2:57">
      <c r="B329" s="1162" t="s">
        <v>670</v>
      </c>
      <c r="C329" s="1162">
        <v>10</v>
      </c>
      <c r="D329" s="1162" t="s">
        <v>1645</v>
      </c>
      <c r="F329" s="1162" t="s">
        <v>1738</v>
      </c>
      <c r="M329"/>
      <c r="N329"/>
      <c r="AC329" s="1162" t="s">
        <v>1739</v>
      </c>
      <c r="AV329"/>
      <c r="AW329"/>
      <c r="AX329"/>
      <c r="AY329"/>
      <c r="AZ329"/>
      <c r="BA329"/>
      <c r="BB329"/>
      <c r="BC329"/>
      <c r="BD329"/>
      <c r="BE329"/>
    </row>
    <row r="330" customFormat="1" spans="2:33">
      <c r="B330" s="1162" t="s">
        <v>671</v>
      </c>
      <c r="C330" s="1162">
        <v>10</v>
      </c>
      <c r="D330" s="1162" t="s">
        <v>1645</v>
      </c>
      <c r="F330" t="s">
        <v>1740</v>
      </c>
      <c r="AC330" s="1162" t="s">
        <v>1741</v>
      </c>
      <c r="AG330" s="1162"/>
    </row>
    <row r="331" customFormat="1" spans="2:29">
      <c r="B331" t="s">
        <v>672</v>
      </c>
      <c r="C331">
        <v>5</v>
      </c>
      <c r="D331" s="1162" t="s">
        <v>1645</v>
      </c>
      <c r="F331" t="s">
        <v>1742</v>
      </c>
      <c r="AC331" t="s">
        <v>1743</v>
      </c>
    </row>
    <row r="332" customFormat="1" spans="2:29">
      <c r="B332" s="1162" t="s">
        <v>673</v>
      </c>
      <c r="C332" s="1162">
        <v>5</v>
      </c>
      <c r="D332" s="1162" t="s">
        <v>1645</v>
      </c>
      <c r="F332" t="s">
        <v>1744</v>
      </c>
      <c r="AC332" s="1162" t="s">
        <v>1745</v>
      </c>
    </row>
    <row r="333" customFormat="1" spans="2:29">
      <c r="B333" t="s">
        <v>1746</v>
      </c>
      <c r="C333">
        <v>5</v>
      </c>
      <c r="D333" s="1162" t="s">
        <v>1645</v>
      </c>
      <c r="F333" t="s">
        <v>1747</v>
      </c>
      <c r="AC333" t="s">
        <v>1748</v>
      </c>
    </row>
    <row r="334" customFormat="1" spans="2:29">
      <c r="B334" t="s">
        <v>675</v>
      </c>
      <c r="C334">
        <v>1</v>
      </c>
      <c r="D334" s="1162" t="s">
        <v>1645</v>
      </c>
      <c r="F334" t="s">
        <v>1749</v>
      </c>
      <c r="AC334" t="s">
        <v>1750</v>
      </c>
    </row>
    <row r="335" customFormat="1" spans="2:29">
      <c r="B335" s="1162" t="s">
        <v>676</v>
      </c>
      <c r="C335" s="1162">
        <v>25</v>
      </c>
      <c r="D335" s="1162" t="s">
        <v>1645</v>
      </c>
      <c r="F335" t="s">
        <v>1751</v>
      </c>
      <c r="AC335" s="1162" t="s">
        <v>1752</v>
      </c>
    </row>
    <row r="336" customFormat="1" spans="2:29">
      <c r="B336" s="1162" t="s">
        <v>1753</v>
      </c>
      <c r="C336" s="1162">
        <v>5</v>
      </c>
      <c r="D336" s="1162" t="s">
        <v>1645</v>
      </c>
      <c r="F336" t="s">
        <v>1754</v>
      </c>
      <c r="P336" t="s">
        <v>668</v>
      </c>
      <c r="Q336" s="1162"/>
      <c r="R336" s="1162" t="s">
        <v>1755</v>
      </c>
      <c r="S336" s="1162"/>
      <c r="T336" s="1162" t="s">
        <v>1756</v>
      </c>
      <c r="AC336" s="1606" t="s">
        <v>1757</v>
      </c>
    </row>
    <row r="337" customFormat="1" spans="1:29">
      <c r="A337" s="1162"/>
      <c r="B337" s="1162" t="s">
        <v>652</v>
      </c>
      <c r="C337" s="1162">
        <v>5</v>
      </c>
      <c r="D337" s="1162" t="s">
        <v>1645</v>
      </c>
      <c r="F337" t="s">
        <v>1758</v>
      </c>
      <c r="P337" t="s">
        <v>1673</v>
      </c>
      <c r="Q337" s="1162"/>
      <c r="R337" s="1162" t="s">
        <v>1755</v>
      </c>
      <c r="S337" s="1162"/>
      <c r="T337" s="1162" t="s">
        <v>1759</v>
      </c>
      <c r="AC337" s="1606" t="s">
        <v>1618</v>
      </c>
    </row>
    <row r="338" customFormat="1" spans="1:29">
      <c r="A338" s="1162"/>
      <c r="B338" s="1162" t="s">
        <v>1760</v>
      </c>
      <c r="C338" s="1162">
        <v>10</v>
      </c>
      <c r="D338" s="1162" t="s">
        <v>1645</v>
      </c>
      <c r="F338" t="s">
        <v>1761</v>
      </c>
      <c r="P338" t="s">
        <v>1559</v>
      </c>
      <c r="Q338" s="1162"/>
      <c r="R338" s="1162" t="s">
        <v>1755</v>
      </c>
      <c r="S338" s="1162"/>
      <c r="T338" s="1162" t="s">
        <v>1762</v>
      </c>
      <c r="AC338" s="1606" t="s">
        <v>1763</v>
      </c>
    </row>
    <row r="339" customFormat="1" spans="1:29">
      <c r="A339" s="1162"/>
      <c r="B339" s="1162" t="s">
        <v>1764</v>
      </c>
      <c r="C339" s="1162">
        <v>15</v>
      </c>
      <c r="D339" s="1162" t="s">
        <v>1645</v>
      </c>
      <c r="F339" t="s">
        <v>1765</v>
      </c>
      <c r="P339" t="s">
        <v>1587</v>
      </c>
      <c r="Q339" s="1162"/>
      <c r="R339" s="1162" t="s">
        <v>1755</v>
      </c>
      <c r="S339" s="1162"/>
      <c r="T339" s="1162" t="s">
        <v>1766</v>
      </c>
      <c r="AC339" s="1606" t="s">
        <v>1767</v>
      </c>
    </row>
    <row r="340" customFormat="1" spans="1:29">
      <c r="A340" s="1162"/>
      <c r="B340" s="1162" t="s">
        <v>1768</v>
      </c>
      <c r="C340" s="1162">
        <v>5</v>
      </c>
      <c r="D340" s="1162" t="s">
        <v>1645</v>
      </c>
      <c r="F340" t="s">
        <v>1769</v>
      </c>
      <c r="P340" t="s">
        <v>1770</v>
      </c>
      <c r="Q340" s="1162"/>
      <c r="R340" s="1162" t="s">
        <v>1755</v>
      </c>
      <c r="S340" s="1162"/>
      <c r="T340" s="1162" t="s">
        <v>1771</v>
      </c>
      <c r="AC340" s="1606" t="s">
        <v>1772</v>
      </c>
    </row>
    <row r="341" customFormat="1" spans="1:29">
      <c r="A341" s="1162"/>
      <c r="B341" s="1162" t="s">
        <v>1773</v>
      </c>
      <c r="C341" s="1162">
        <v>5</v>
      </c>
      <c r="D341" s="1162" t="s">
        <v>1645</v>
      </c>
      <c r="F341" t="s">
        <v>1774</v>
      </c>
      <c r="P341" t="s">
        <v>1775</v>
      </c>
      <c r="Q341" s="1162"/>
      <c r="R341" s="1162" t="s">
        <v>1755</v>
      </c>
      <c r="S341" s="1162"/>
      <c r="T341" s="1162" t="s">
        <v>1776</v>
      </c>
      <c r="AC341" s="1606" t="s">
        <v>1777</v>
      </c>
    </row>
    <row r="342" customFormat="1" spans="1:29">
      <c r="A342" s="1162"/>
      <c r="B342" t="s">
        <v>1778</v>
      </c>
      <c r="C342" s="1162">
        <v>5</v>
      </c>
      <c r="D342" s="1162" t="s">
        <v>1645</v>
      </c>
      <c r="E342"/>
      <c r="F342" t="s">
        <v>1779</v>
      </c>
      <c r="G342" s="1162"/>
      <c r="H342" s="1162"/>
      <c r="I342" s="1162"/>
      <c r="J342" s="1162"/>
      <c r="K342" s="1162"/>
      <c r="L342" s="1162"/>
      <c r="P342" t="s">
        <v>1780</v>
      </c>
      <c r="Q342" s="1162"/>
      <c r="R342" s="1162" t="s">
        <v>1755</v>
      </c>
      <c r="S342" s="1162"/>
      <c r="T342" s="1162" t="s">
        <v>1781</v>
      </c>
      <c r="AC342" s="1606" t="s">
        <v>1782</v>
      </c>
    </row>
    <row r="343" spans="2:57">
      <c r="B343" s="1176" t="s">
        <v>738</v>
      </c>
      <c r="P343" t="s">
        <v>1684</v>
      </c>
      <c r="R343" s="1162" t="s">
        <v>1755</v>
      </c>
      <c r="T343" s="1162" t="s">
        <v>1783</v>
      </c>
      <c r="AC343" s="1606" t="s">
        <v>1784</v>
      </c>
      <c r="AG343"/>
      <c r="AV343"/>
      <c r="AW343"/>
      <c r="AX343"/>
      <c r="AY343"/>
      <c r="AZ343"/>
      <c r="BA343"/>
      <c r="BB343"/>
      <c r="BC343"/>
      <c r="BD343"/>
      <c r="BE343"/>
    </row>
    <row r="344" customFormat="1" ht="14" spans="2:29">
      <c r="B344" t="s">
        <v>180</v>
      </c>
      <c r="D344" t="s">
        <v>1785</v>
      </c>
      <c r="F344" t="s">
        <v>1786</v>
      </c>
      <c r="G344" t="s">
        <v>1787</v>
      </c>
      <c r="H344" t="s">
        <v>1788</v>
      </c>
      <c r="I344"/>
      <c r="P344" t="s">
        <v>1789</v>
      </c>
      <c r="R344" t="s">
        <v>1755</v>
      </c>
      <c r="T344" t="s">
        <v>1790</v>
      </c>
      <c r="AC344" t="s">
        <v>1791</v>
      </c>
    </row>
    <row r="345" spans="2:57">
      <c r="B345" s="1162" t="s">
        <v>1565</v>
      </c>
      <c r="D345" s="1162" t="s">
        <v>1785</v>
      </c>
      <c r="F345" s="1162" t="s">
        <v>1792</v>
      </c>
      <c r="G345" s="1162" t="s">
        <v>1793</v>
      </c>
      <c r="H345" s="1162" t="s">
        <v>1794</v>
      </c>
      <c r="P345" t="s">
        <v>1795</v>
      </c>
      <c r="R345" s="1162" t="s">
        <v>1755</v>
      </c>
      <c r="T345" s="1162" t="s">
        <v>1796</v>
      </c>
      <c r="AC345" s="1606" t="s">
        <v>1797</v>
      </c>
      <c r="AV345"/>
      <c r="AW345"/>
      <c r="AX345"/>
      <c r="AY345"/>
      <c r="AZ345"/>
      <c r="BA345"/>
      <c r="BB345"/>
      <c r="BC345"/>
      <c r="BD345"/>
      <c r="BE345"/>
    </row>
    <row r="346" spans="2:57">
      <c r="B346" s="1162" t="s">
        <v>1571</v>
      </c>
      <c r="D346" s="1162" t="s">
        <v>1785</v>
      </c>
      <c r="F346" s="1162" t="s">
        <v>1798</v>
      </c>
      <c r="G346" s="1162" t="s">
        <v>1799</v>
      </c>
      <c r="H346" s="1162" t="s">
        <v>1800</v>
      </c>
      <c r="P346" t="s">
        <v>1801</v>
      </c>
      <c r="R346" s="1162" t="s">
        <v>1755</v>
      </c>
      <c r="T346" s="1162" t="s">
        <v>1802</v>
      </c>
      <c r="AC346" s="1606" t="s">
        <v>1803</v>
      </c>
      <c r="AV346"/>
      <c r="AW346"/>
      <c r="AX346"/>
      <c r="AY346"/>
      <c r="AZ346"/>
      <c r="BA346"/>
      <c r="BB346"/>
      <c r="BC346"/>
      <c r="BD346"/>
      <c r="BE346"/>
    </row>
    <row r="347" spans="2:57">
      <c r="B347" s="1162" t="s">
        <v>1577</v>
      </c>
      <c r="D347" s="1162" t="s">
        <v>1785</v>
      </c>
      <c r="F347" s="1162" t="s">
        <v>1804</v>
      </c>
      <c r="G347" s="1162" t="s">
        <v>1805</v>
      </c>
      <c r="H347" s="1162" t="s">
        <v>1806</v>
      </c>
      <c r="P347" t="s">
        <v>1807</v>
      </c>
      <c r="R347" s="1162" t="s">
        <v>1755</v>
      </c>
      <c r="T347" s="1162" t="s">
        <v>1808</v>
      </c>
      <c r="AC347" s="1606" t="s">
        <v>1809</v>
      </c>
      <c r="AV347"/>
      <c r="AW347"/>
      <c r="AX347"/>
      <c r="AY347"/>
      <c r="AZ347"/>
      <c r="BA347"/>
      <c r="BB347"/>
      <c r="BC347"/>
      <c r="BD347"/>
      <c r="BE347"/>
    </row>
    <row r="348" spans="2:57">
      <c r="B348" s="1162" t="s">
        <v>1583</v>
      </c>
      <c r="D348" s="1162" t="s">
        <v>1785</v>
      </c>
      <c r="F348" s="1162" t="s">
        <v>1810</v>
      </c>
      <c r="G348" s="1162" t="s">
        <v>1811</v>
      </c>
      <c r="H348" s="1162" t="s">
        <v>1812</v>
      </c>
      <c r="P348" t="s">
        <v>1602</v>
      </c>
      <c r="R348" s="1162" t="s">
        <v>1755</v>
      </c>
      <c r="T348" s="1162" t="s">
        <v>1813</v>
      </c>
      <c r="AC348" s="1606" t="s">
        <v>1814</v>
      </c>
      <c r="AV348"/>
      <c r="AW348"/>
      <c r="AX348"/>
      <c r="AY348"/>
      <c r="AZ348"/>
      <c r="BA348"/>
      <c r="BB348"/>
      <c r="BC348"/>
      <c r="BD348"/>
      <c r="BE348"/>
    </row>
    <row r="349" spans="2:57">
      <c r="B349" s="1162" t="s">
        <v>1588</v>
      </c>
      <c r="D349" s="1162" t="s">
        <v>1785</v>
      </c>
      <c r="F349" s="1162" t="s">
        <v>1815</v>
      </c>
      <c r="G349" s="1162" t="s">
        <v>1816</v>
      </c>
      <c r="H349" s="1162" t="s">
        <v>1817</v>
      </c>
      <c r="P349" t="s">
        <v>1564</v>
      </c>
      <c r="R349" s="1162" t="s">
        <v>1755</v>
      </c>
      <c r="T349" s="1162" t="s">
        <v>1818</v>
      </c>
      <c r="AC349" s="1162" t="s">
        <v>1819</v>
      </c>
      <c r="AV349"/>
      <c r="AW349"/>
      <c r="AX349"/>
      <c r="AY349"/>
      <c r="AZ349"/>
      <c r="BA349"/>
      <c r="BB349"/>
      <c r="BC349"/>
      <c r="BD349"/>
      <c r="BE349"/>
    </row>
    <row r="350" spans="2:57">
      <c r="B350" s="1162" t="s">
        <v>1595</v>
      </c>
      <c r="D350" s="1162" t="s">
        <v>1785</v>
      </c>
      <c r="F350" s="1162" t="s">
        <v>1820</v>
      </c>
      <c r="G350" s="1162" t="s">
        <v>1821</v>
      </c>
      <c r="H350" s="1162" t="s">
        <v>1822</v>
      </c>
      <c r="P350" t="s">
        <v>1823</v>
      </c>
      <c r="R350" s="1162" t="s">
        <v>1755</v>
      </c>
      <c r="T350" s="1162" t="s">
        <v>1824</v>
      </c>
      <c r="AC350" s="1162" t="s">
        <v>374</v>
      </c>
      <c r="AV350"/>
      <c r="AW350"/>
      <c r="AX350"/>
      <c r="AY350"/>
      <c r="AZ350"/>
      <c r="BA350"/>
      <c r="BB350"/>
      <c r="BC350"/>
      <c r="BD350"/>
      <c r="BE350"/>
    </row>
    <row r="351" spans="2:57">
      <c r="B351" s="1162" t="s">
        <v>1825</v>
      </c>
      <c r="D351" s="1162" t="s">
        <v>1785</v>
      </c>
      <c r="F351" s="1162" t="s">
        <v>1826</v>
      </c>
      <c r="G351" s="1162" t="s">
        <v>1827</v>
      </c>
      <c r="H351" s="1162" t="s">
        <v>1828</v>
      </c>
      <c r="P351" t="s">
        <v>1616</v>
      </c>
      <c r="R351" s="1162" t="s">
        <v>1755</v>
      </c>
      <c r="T351" s="1162" t="s">
        <v>1829</v>
      </c>
      <c r="AC351" s="1162" t="s">
        <v>1830</v>
      </c>
      <c r="AV351"/>
      <c r="AW351"/>
      <c r="AX351"/>
      <c r="AY351"/>
      <c r="AZ351"/>
      <c r="BA351"/>
      <c r="BB351"/>
      <c r="BC351"/>
      <c r="BD351"/>
      <c r="BE351"/>
    </row>
    <row r="352" spans="2:57">
      <c r="B352" s="1162" t="s">
        <v>1610</v>
      </c>
      <c r="D352" s="1162" t="s">
        <v>1785</v>
      </c>
      <c r="F352" s="1162" t="s">
        <v>1831</v>
      </c>
      <c r="G352" s="1162" t="s">
        <v>1832</v>
      </c>
      <c r="H352" s="1162" t="s">
        <v>1833</v>
      </c>
      <c r="P352" t="s">
        <v>1834</v>
      </c>
      <c r="R352" s="1162" t="s">
        <v>1755</v>
      </c>
      <c r="T352" s="1162" t="s">
        <v>1835</v>
      </c>
      <c r="AC352" s="1162" t="s">
        <v>1836</v>
      </c>
      <c r="AV352"/>
      <c r="AW352"/>
      <c r="AX352"/>
      <c r="AY352"/>
      <c r="AZ352"/>
      <c r="BA352"/>
      <c r="BB352"/>
      <c r="BC352"/>
      <c r="BD352"/>
      <c r="BE352"/>
    </row>
    <row r="353" spans="2:57">
      <c r="B353" s="1162" t="s">
        <v>1617</v>
      </c>
      <c r="D353" s="1162" t="s">
        <v>1785</v>
      </c>
      <c r="F353" s="1162" t="s">
        <v>1837</v>
      </c>
      <c r="G353" s="1162" t="s">
        <v>1838</v>
      </c>
      <c r="H353" s="1162" t="s">
        <v>1839</v>
      </c>
      <c r="P353" t="s">
        <v>1840</v>
      </c>
      <c r="R353" s="1162" t="s">
        <v>1755</v>
      </c>
      <c r="T353" s="1162" t="s">
        <v>1841</v>
      </c>
      <c r="AC353" s="1162" t="s">
        <v>1842</v>
      </c>
      <c r="AV353"/>
      <c r="AW353"/>
      <c r="AX353"/>
      <c r="AY353"/>
      <c r="AZ353"/>
      <c r="BA353"/>
      <c r="BB353"/>
      <c r="BC353"/>
      <c r="BD353"/>
      <c r="BE353"/>
    </row>
    <row r="354" spans="2:57">
      <c r="B354" s="1162" t="s">
        <v>1623</v>
      </c>
      <c r="D354" s="1162" t="s">
        <v>1785</v>
      </c>
      <c r="F354" s="1162" t="s">
        <v>1843</v>
      </c>
      <c r="G354" s="1162" t="s">
        <v>1844</v>
      </c>
      <c r="H354" s="1162" t="s">
        <v>1845</v>
      </c>
      <c r="P354" t="s">
        <v>1846</v>
      </c>
      <c r="R354" s="1162" t="s">
        <v>1755</v>
      </c>
      <c r="T354" s="1162" t="s">
        <v>1847</v>
      </c>
      <c r="AC354" s="1162" t="s">
        <v>1848</v>
      </c>
      <c r="AV354"/>
      <c r="AW354"/>
      <c r="AX354"/>
      <c r="AY354"/>
      <c r="AZ354"/>
      <c r="BA354"/>
      <c r="BB354"/>
      <c r="BC354"/>
      <c r="BD354"/>
      <c r="BE354"/>
    </row>
    <row r="355" spans="2:57">
      <c r="B355" s="1239" t="s">
        <v>1629</v>
      </c>
      <c r="D355" s="1162" t="s">
        <v>1785</v>
      </c>
      <c r="F355" s="1162" t="s">
        <v>1849</v>
      </c>
      <c r="G355" s="1162" t="s">
        <v>1850</v>
      </c>
      <c r="H355" s="1162" t="s">
        <v>1851</v>
      </c>
      <c r="P355" t="s">
        <v>1852</v>
      </c>
      <c r="R355" s="1162" t="s">
        <v>1755</v>
      </c>
      <c r="T355" s="1162" t="s">
        <v>1853</v>
      </c>
      <c r="AC355" s="1162" t="s">
        <v>1854</v>
      </c>
      <c r="AV355"/>
      <c r="AW355"/>
      <c r="AX355"/>
      <c r="AY355"/>
      <c r="AZ355"/>
      <c r="BA355"/>
      <c r="BB355"/>
      <c r="BC355"/>
      <c r="BD355"/>
      <c r="BE355"/>
    </row>
    <row r="356" spans="2:57">
      <c r="B356" s="1162" t="s">
        <v>1634</v>
      </c>
      <c r="D356" s="1162" t="s">
        <v>1785</v>
      </c>
      <c r="F356" s="1162" t="s">
        <v>1855</v>
      </c>
      <c r="P356" t="s">
        <v>1856</v>
      </c>
      <c r="R356" s="1162" t="s">
        <v>1755</v>
      </c>
      <c r="T356" s="1162" t="s">
        <v>1857</v>
      </c>
      <c r="AC356" s="1162" t="s">
        <v>1858</v>
      </c>
      <c r="AV356"/>
      <c r="AW356"/>
      <c r="AX356"/>
      <c r="AY356"/>
      <c r="AZ356"/>
      <c r="BA356"/>
      <c r="BB356"/>
      <c r="BC356"/>
      <c r="BD356"/>
      <c r="BE356"/>
    </row>
    <row r="357" spans="2:57">
      <c r="B357" s="1162" t="s">
        <v>1640</v>
      </c>
      <c r="D357" s="1162" t="s">
        <v>1785</v>
      </c>
      <c r="F357" s="1162" t="s">
        <v>1859</v>
      </c>
      <c r="P357" t="s">
        <v>1860</v>
      </c>
      <c r="R357" s="1162" t="s">
        <v>1755</v>
      </c>
      <c r="T357" s="1162" t="s">
        <v>1861</v>
      </c>
      <c r="AC357" s="1162" t="s">
        <v>1862</v>
      </c>
      <c r="AV357"/>
      <c r="AW357"/>
      <c r="AX357"/>
      <c r="AY357"/>
      <c r="AZ357"/>
      <c r="BA357"/>
      <c r="BB357"/>
      <c r="BC357"/>
      <c r="BD357"/>
      <c r="BE357"/>
    </row>
    <row r="358" spans="2:57">
      <c r="B358" s="1162" t="s">
        <v>1649</v>
      </c>
      <c r="D358" s="1162" t="s">
        <v>1785</v>
      </c>
      <c r="F358" s="1162" t="s">
        <v>1863</v>
      </c>
      <c r="P358" t="s">
        <v>1864</v>
      </c>
      <c r="R358" s="1162" t="s">
        <v>1755</v>
      </c>
      <c r="T358" s="1162" t="s">
        <v>1865</v>
      </c>
      <c r="AC358" s="1162" t="s">
        <v>1866</v>
      </c>
      <c r="AV358"/>
      <c r="AW358"/>
      <c r="AX358"/>
      <c r="AY358"/>
      <c r="AZ358"/>
      <c r="BA358"/>
      <c r="BB358"/>
      <c r="BC358"/>
      <c r="BD358"/>
      <c r="BE358"/>
    </row>
    <row r="359" spans="2:57">
      <c r="B359" s="1162" t="s">
        <v>1654</v>
      </c>
      <c r="D359" s="1162" t="s">
        <v>1785</v>
      </c>
      <c r="F359" s="1162" t="s">
        <v>1867</v>
      </c>
      <c r="P359" t="s">
        <v>1868</v>
      </c>
      <c r="R359" s="1162" t="s">
        <v>1755</v>
      </c>
      <c r="T359" s="1162" t="s">
        <v>1869</v>
      </c>
      <c r="AC359" s="1162" t="s">
        <v>1870</v>
      </c>
      <c r="AV359"/>
      <c r="AW359"/>
      <c r="AX359"/>
      <c r="AY359"/>
      <c r="AZ359"/>
      <c r="BA359"/>
      <c r="BB359"/>
      <c r="BC359"/>
      <c r="BD359"/>
      <c r="BE359"/>
    </row>
    <row r="360" spans="2:57">
      <c r="B360" s="1162" t="s">
        <v>1660</v>
      </c>
      <c r="D360" s="1162" t="s">
        <v>1785</v>
      </c>
      <c r="F360" s="1162" t="s">
        <v>1871</v>
      </c>
      <c r="P360" t="s">
        <v>1872</v>
      </c>
      <c r="Q360"/>
      <c r="R360" s="1162" t="s">
        <v>1755</v>
      </c>
      <c r="S360"/>
      <c r="T360" s="1162" t="s">
        <v>1873</v>
      </c>
      <c r="AC360" s="1162" t="s">
        <v>1874</v>
      </c>
      <c r="AV360"/>
      <c r="AW360"/>
      <c r="AX360"/>
      <c r="AY360"/>
      <c r="AZ360"/>
      <c r="BA360"/>
      <c r="BB360"/>
      <c r="BC360"/>
      <c r="BD360"/>
      <c r="BE360"/>
    </row>
    <row r="361" spans="2:57">
      <c r="B361" s="1162" t="s">
        <v>1664</v>
      </c>
      <c r="D361" s="1162" t="s">
        <v>1785</v>
      </c>
      <c r="F361" s="1162" t="s">
        <v>1875</v>
      </c>
      <c r="P361" t="s">
        <v>1876</v>
      </c>
      <c r="Q361"/>
      <c r="R361" s="1162" t="s">
        <v>1755</v>
      </c>
      <c r="S361"/>
      <c r="T361" s="1162" t="s">
        <v>1877</v>
      </c>
      <c r="AC361" s="1162" t="s">
        <v>1878</v>
      </c>
      <c r="AV361"/>
      <c r="AW361"/>
      <c r="AX361"/>
      <c r="AY361"/>
      <c r="AZ361"/>
      <c r="BA361"/>
      <c r="BB361"/>
      <c r="BC361"/>
      <c r="BD361"/>
      <c r="BE361"/>
    </row>
    <row r="362" spans="2:57">
      <c r="B362" s="1162" t="s">
        <v>1879</v>
      </c>
      <c r="D362" s="1162" t="s">
        <v>1785</v>
      </c>
      <c r="F362" s="1162" t="s">
        <v>1880</v>
      </c>
      <c r="P362" t="s">
        <v>1881</v>
      </c>
      <c r="Q362"/>
      <c r="R362" s="1162" t="s">
        <v>1755</v>
      </c>
      <c r="S362"/>
      <c r="T362" s="1162" t="s">
        <v>1882</v>
      </c>
      <c r="AC362" s="1162" t="s">
        <v>1883</v>
      </c>
      <c r="AV362"/>
      <c r="AW362"/>
      <c r="AX362"/>
      <c r="AY362"/>
      <c r="AZ362"/>
      <c r="BA362"/>
      <c r="BB362"/>
      <c r="BC362"/>
      <c r="BD362"/>
      <c r="BE362"/>
    </row>
    <row r="363" spans="2:57">
      <c r="B363" s="1162" t="s">
        <v>1675</v>
      </c>
      <c r="D363" s="1162" t="s">
        <v>1785</v>
      </c>
      <c r="F363" s="1162" t="s">
        <v>1884</v>
      </c>
      <c r="P363" t="s">
        <v>1885</v>
      </c>
      <c r="Q363"/>
      <c r="R363" s="1162" t="s">
        <v>1755</v>
      </c>
      <c r="S363"/>
      <c r="T363" s="1162" t="s">
        <v>1886</v>
      </c>
      <c r="AC363" s="1162" t="s">
        <v>1887</v>
      </c>
      <c r="AV363"/>
      <c r="AW363"/>
      <c r="AX363"/>
      <c r="AY363"/>
      <c r="AZ363"/>
      <c r="BA363"/>
      <c r="BB363"/>
      <c r="BC363"/>
      <c r="BD363"/>
      <c r="BE363"/>
    </row>
    <row r="364" spans="2:57">
      <c r="B364" s="1162" t="s">
        <v>1680</v>
      </c>
      <c r="D364" s="1162" t="s">
        <v>1785</v>
      </c>
      <c r="F364" s="1162" t="s">
        <v>1888</v>
      </c>
      <c r="P364" t="s">
        <v>1889</v>
      </c>
      <c r="Q364"/>
      <c r="R364" s="1162" t="s">
        <v>1755</v>
      </c>
      <c r="S364"/>
      <c r="T364" s="1162" t="s">
        <v>1890</v>
      </c>
      <c r="AC364" s="1162" t="s">
        <v>1891</v>
      </c>
      <c r="AV364"/>
      <c r="AW364"/>
      <c r="AX364"/>
      <c r="AY364"/>
      <c r="AZ364"/>
      <c r="BA364"/>
      <c r="BB364"/>
      <c r="BC364"/>
      <c r="BD364"/>
      <c r="BE364"/>
    </row>
    <row r="365" spans="2:57">
      <c r="B365" s="1162" t="s">
        <v>1686</v>
      </c>
      <c r="D365" s="1162" t="s">
        <v>1785</v>
      </c>
      <c r="F365" s="1162" t="s">
        <v>1892</v>
      </c>
      <c r="G365" s="1162" t="s">
        <v>1893</v>
      </c>
      <c r="H365" s="1162" t="s">
        <v>1894</v>
      </c>
      <c r="P365" t="s">
        <v>1895</v>
      </c>
      <c r="Q365"/>
      <c r="R365" s="1162" t="s">
        <v>1755</v>
      </c>
      <c r="S365"/>
      <c r="T365" s="1162" t="s">
        <v>1896</v>
      </c>
      <c r="AC365" s="1162" t="s">
        <v>1523</v>
      </c>
      <c r="AV365"/>
      <c r="AW365"/>
      <c r="AX365"/>
      <c r="AY365"/>
      <c r="AZ365"/>
      <c r="BA365"/>
      <c r="BB365"/>
      <c r="BC365"/>
      <c r="BD365"/>
      <c r="BE365"/>
    </row>
    <row r="366" spans="2:57">
      <c r="B366" s="1162" t="s">
        <v>1691</v>
      </c>
      <c r="D366" s="1162" t="s">
        <v>1785</v>
      </c>
      <c r="F366" s="1162" t="s">
        <v>1897</v>
      </c>
      <c r="G366" s="1162" t="s">
        <v>1898</v>
      </c>
      <c r="H366" s="1162" t="s">
        <v>1899</v>
      </c>
      <c r="I366"/>
      <c r="P366" t="s">
        <v>1900</v>
      </c>
      <c r="Q366"/>
      <c r="R366" s="1162" t="s">
        <v>1755</v>
      </c>
      <c r="S366"/>
      <c r="T366" s="1162" t="s">
        <v>1901</v>
      </c>
      <c r="AC366" s="1162" t="s">
        <v>1604</v>
      </c>
      <c r="AV366"/>
      <c r="AW366"/>
      <c r="AX366"/>
      <c r="AY366"/>
      <c r="AZ366"/>
      <c r="BA366"/>
      <c r="BB366"/>
      <c r="BC366"/>
      <c r="BD366"/>
      <c r="BE366"/>
    </row>
    <row r="367" spans="2:57">
      <c r="B367" s="1162" t="s">
        <v>1902</v>
      </c>
      <c r="D367" s="1162" t="s">
        <v>1785</v>
      </c>
      <c r="F367" s="1162" t="s">
        <v>1903</v>
      </c>
      <c r="P367" t="s">
        <v>1904</v>
      </c>
      <c r="Q367"/>
      <c r="R367" s="1162" t="s">
        <v>1755</v>
      </c>
      <c r="S367"/>
      <c r="T367" t="s">
        <v>1905</v>
      </c>
      <c r="AC367" s="1162" t="s">
        <v>1906</v>
      </c>
      <c r="AV367"/>
      <c r="AW367"/>
      <c r="AX367"/>
      <c r="AY367"/>
      <c r="AZ367"/>
      <c r="BA367"/>
      <c r="BB367"/>
      <c r="BC367"/>
      <c r="BD367"/>
      <c r="BE367"/>
    </row>
    <row r="368" spans="2:57">
      <c r="B368" s="1162" t="s">
        <v>1907</v>
      </c>
      <c r="D368" s="1162" t="s">
        <v>1785</v>
      </c>
      <c r="F368" s="1162" t="s">
        <v>1908</v>
      </c>
      <c r="G368" s="1162" t="s">
        <v>1909</v>
      </c>
      <c r="H368" s="1162" t="s">
        <v>1910</v>
      </c>
      <c r="P368" t="s">
        <v>1911</v>
      </c>
      <c r="Q368"/>
      <c r="R368" s="1162" t="s">
        <v>1755</v>
      </c>
      <c r="S368"/>
      <c r="T368" t="s">
        <v>1912</v>
      </c>
      <c r="AC368" s="1162" t="s">
        <v>1913</v>
      </c>
      <c r="AV368"/>
      <c r="AW368"/>
      <c r="AX368"/>
      <c r="AY368"/>
      <c r="AZ368"/>
      <c r="BA368"/>
      <c r="BB368"/>
      <c r="BC368"/>
      <c r="BD368"/>
      <c r="BE368"/>
    </row>
    <row r="369" spans="2:57">
      <c r="B369" s="1162" t="s">
        <v>1914</v>
      </c>
      <c r="D369" s="1162" t="s">
        <v>1785</v>
      </c>
      <c r="F369" s="1162" t="s">
        <v>1915</v>
      </c>
      <c r="P369" t="s">
        <v>1768</v>
      </c>
      <c r="Q369"/>
      <c r="R369" s="1162" t="s">
        <v>1755</v>
      </c>
      <c r="S369"/>
      <c r="T369" t="s">
        <v>1916</v>
      </c>
      <c r="AC369" s="1162" t="s">
        <v>1917</v>
      </c>
      <c r="AV369"/>
      <c r="AW369"/>
      <c r="AX369"/>
      <c r="AY369"/>
      <c r="AZ369"/>
      <c r="BA369"/>
      <c r="BB369"/>
      <c r="BC369"/>
      <c r="BD369"/>
      <c r="BE369"/>
    </row>
    <row r="370" spans="2:57">
      <c r="B370" s="1162" t="s">
        <v>1918</v>
      </c>
      <c r="D370" s="1162" t="s">
        <v>1785</v>
      </c>
      <c r="F370" s="1162" t="s">
        <v>1919</v>
      </c>
      <c r="G370" s="1162" t="s">
        <v>1920</v>
      </c>
      <c r="H370" s="1162" t="s">
        <v>1921</v>
      </c>
      <c r="P370" t="s">
        <v>1922</v>
      </c>
      <c r="Q370"/>
      <c r="R370" s="1162" t="s">
        <v>1755</v>
      </c>
      <c r="S370"/>
      <c r="T370" t="s">
        <v>1774</v>
      </c>
      <c r="AC370" s="1162" t="s">
        <v>1923</v>
      </c>
      <c r="AV370"/>
      <c r="AW370"/>
      <c r="AX370"/>
      <c r="AY370"/>
      <c r="AZ370"/>
      <c r="BA370"/>
      <c r="BB370"/>
      <c r="BC370"/>
      <c r="BD370"/>
      <c r="BE370"/>
    </row>
    <row r="371" spans="2:57">
      <c r="B371" s="1162" t="s">
        <v>1924</v>
      </c>
      <c r="D371" s="1162" t="s">
        <v>1785</v>
      </c>
      <c r="E371"/>
      <c r="F371" s="1162" t="s">
        <v>1925</v>
      </c>
      <c r="G371" s="1162" t="s">
        <v>1926</v>
      </c>
      <c r="H371" s="1162" t="s">
        <v>1927</v>
      </c>
      <c r="I371"/>
      <c r="J371"/>
      <c r="P371" t="s">
        <v>1778</v>
      </c>
      <c r="Q371"/>
      <c r="R371" s="1162" t="s">
        <v>1755</v>
      </c>
      <c r="S371"/>
      <c r="T371" t="s">
        <v>1779</v>
      </c>
      <c r="AC371" s="1162" t="s">
        <v>1928</v>
      </c>
      <c r="AV371"/>
      <c r="AW371"/>
      <c r="AX371"/>
      <c r="AY371"/>
      <c r="AZ371"/>
      <c r="BA371"/>
      <c r="BB371"/>
      <c r="BC371"/>
      <c r="BD371"/>
      <c r="BE371"/>
    </row>
    <row r="372" spans="2:57">
      <c r="B372" s="1162" t="s">
        <v>1929</v>
      </c>
      <c r="D372" s="1162" t="s">
        <v>1785</v>
      </c>
      <c r="F372" s="1162" t="s">
        <v>1930</v>
      </c>
      <c r="P372" t="s">
        <v>1931</v>
      </c>
      <c r="Q372"/>
      <c r="R372" t="s">
        <v>1755</v>
      </c>
      <c r="S372"/>
      <c r="T372" t="s">
        <v>1932</v>
      </c>
      <c r="AC372" s="1162" t="s">
        <v>1933</v>
      </c>
      <c r="AV372"/>
      <c r="AW372"/>
      <c r="AX372"/>
      <c r="AY372"/>
      <c r="AZ372"/>
      <c r="BA372"/>
      <c r="BB372"/>
      <c r="BC372"/>
      <c r="BD372"/>
      <c r="BE372"/>
    </row>
    <row r="373" spans="2:57">
      <c r="B373" s="1162" t="s">
        <v>1934</v>
      </c>
      <c r="D373" s="1162" t="s">
        <v>1785</v>
      </c>
      <c r="F373" s="1162" t="s">
        <v>1935</v>
      </c>
      <c r="AC373" s="1162" t="s">
        <v>1936</v>
      </c>
      <c r="AV373"/>
      <c r="AW373"/>
      <c r="AX373"/>
      <c r="AY373"/>
      <c r="AZ373"/>
      <c r="BA373"/>
      <c r="BB373"/>
      <c r="BC373"/>
      <c r="BD373"/>
      <c r="BE373"/>
    </row>
    <row r="374" spans="2:57">
      <c r="B374" s="1162" t="s">
        <v>1937</v>
      </c>
      <c r="D374" s="1162" t="s">
        <v>1785</v>
      </c>
      <c r="F374" s="1162" t="s">
        <v>1938</v>
      </c>
      <c r="AC374" s="1162" t="s">
        <v>1939</v>
      </c>
      <c r="AV374"/>
      <c r="AW374"/>
      <c r="AX374"/>
      <c r="AY374"/>
      <c r="AZ374"/>
      <c r="BA374"/>
      <c r="BB374"/>
      <c r="BC374"/>
      <c r="BD374"/>
      <c r="BE374"/>
    </row>
    <row r="375" spans="2:57">
      <c r="B375" s="1162" t="s">
        <v>1940</v>
      </c>
      <c r="D375" s="1162" t="s">
        <v>1785</v>
      </c>
      <c r="F375" s="1162" t="s">
        <v>1941</v>
      </c>
      <c r="N375" s="1162" t="s">
        <v>1942</v>
      </c>
      <c r="Q375" s="1162" t="s">
        <v>1943</v>
      </c>
      <c r="AC375" s="1162" t="s">
        <v>1944</v>
      </c>
      <c r="AV375"/>
      <c r="AW375"/>
      <c r="AX375"/>
      <c r="AY375"/>
      <c r="AZ375"/>
      <c r="BA375"/>
      <c r="BB375"/>
      <c r="BC375"/>
      <c r="BD375"/>
      <c r="BE375"/>
    </row>
    <row r="376" spans="2:57">
      <c r="B376" s="1162" t="s">
        <v>1945</v>
      </c>
      <c r="D376" s="1162" t="s">
        <v>1785</v>
      </c>
      <c r="F376" s="1162" t="s">
        <v>1946</v>
      </c>
      <c r="G376" s="1162" t="s">
        <v>1947</v>
      </c>
      <c r="H376" s="1162" t="s">
        <v>1948</v>
      </c>
      <c r="N376" s="1162" t="s">
        <v>1949</v>
      </c>
      <c r="P376" s="1162" t="s">
        <v>1950</v>
      </c>
      <c r="Q376" s="1162" t="s">
        <v>1951</v>
      </c>
      <c r="AC376" s="1162" t="s">
        <v>1656</v>
      </c>
      <c r="AV376"/>
      <c r="AW376"/>
      <c r="AX376"/>
      <c r="AY376"/>
      <c r="AZ376"/>
      <c r="BA376"/>
      <c r="BB376"/>
      <c r="BC376"/>
      <c r="BD376"/>
      <c r="BE376"/>
    </row>
    <row r="377" spans="2:57">
      <c r="B377" s="1162" t="s">
        <v>738</v>
      </c>
      <c r="N377" s="1162" t="s">
        <v>1952</v>
      </c>
      <c r="Q377" s="1162" t="s">
        <v>1953</v>
      </c>
      <c r="AC377" s="1162" t="s">
        <v>1954</v>
      </c>
      <c r="AV377"/>
      <c r="AW377"/>
      <c r="AX377"/>
      <c r="AY377"/>
      <c r="AZ377"/>
      <c r="BA377"/>
      <c r="BB377"/>
      <c r="BC377"/>
      <c r="BD377"/>
      <c r="BE377"/>
    </row>
    <row r="378" spans="2:57">
      <c r="B378" s="1162" t="s">
        <v>1955</v>
      </c>
      <c r="D378" s="1162" t="s">
        <v>1956</v>
      </c>
      <c r="N378" s="1162" t="s">
        <v>1957</v>
      </c>
      <c r="O378" s="1162" t="s">
        <v>1958</v>
      </c>
      <c r="Q378" s="1162" t="s">
        <v>1959</v>
      </c>
      <c r="AC378" s="1162" t="s">
        <v>1960</v>
      </c>
      <c r="AV378"/>
      <c r="AW378"/>
      <c r="AX378"/>
      <c r="AY378"/>
      <c r="AZ378"/>
      <c r="BA378"/>
      <c r="BB378"/>
      <c r="BC378"/>
      <c r="BD378"/>
      <c r="BE378"/>
    </row>
    <row r="379" spans="2:57">
      <c r="B379" s="1162" t="s">
        <v>1961</v>
      </c>
      <c r="D379" s="1162" t="s">
        <v>1956</v>
      </c>
      <c r="N379" s="1162" t="s">
        <v>1962</v>
      </c>
      <c r="Q379" s="1162" t="s">
        <v>1963</v>
      </c>
      <c r="S379" s="1162" t="s">
        <v>1964</v>
      </c>
      <c r="AC379" s="1162" t="s">
        <v>1965</v>
      </c>
      <c r="AV379"/>
      <c r="AW379"/>
      <c r="AX379"/>
      <c r="AY379"/>
      <c r="AZ379"/>
      <c r="BA379"/>
      <c r="BB379"/>
      <c r="BC379"/>
      <c r="BD379"/>
      <c r="BE379"/>
    </row>
    <row r="380" spans="2:57">
      <c r="B380" s="1162" t="s">
        <v>1966</v>
      </c>
      <c r="D380" s="1162" t="s">
        <v>1956</v>
      </c>
      <c r="AC380" s="1162" t="s">
        <v>1967</v>
      </c>
      <c r="AV380"/>
      <c r="AW380"/>
      <c r="AX380"/>
      <c r="AY380"/>
      <c r="AZ380"/>
      <c r="BA380"/>
      <c r="BB380"/>
      <c r="BC380"/>
      <c r="BD380"/>
      <c r="BE380"/>
    </row>
    <row r="381" spans="2:57">
      <c r="B381" s="1162" t="s">
        <v>1968</v>
      </c>
      <c r="D381" s="1162" t="s">
        <v>1956</v>
      </c>
      <c r="M381" s="1162" t="s">
        <v>1969</v>
      </c>
      <c r="N381" s="1162" t="s">
        <v>1970</v>
      </c>
      <c r="O381" s="1162" t="s">
        <v>1971</v>
      </c>
      <c r="Q381" s="1162" t="s">
        <v>1953</v>
      </c>
      <c r="S381" s="1162" t="s">
        <v>1972</v>
      </c>
      <c r="AC381" s="1162" t="s">
        <v>1973</v>
      </c>
      <c r="AV381"/>
      <c r="AW381"/>
      <c r="AX381"/>
      <c r="AY381"/>
      <c r="AZ381"/>
      <c r="BA381"/>
      <c r="BB381"/>
      <c r="BC381"/>
      <c r="BD381"/>
      <c r="BE381"/>
    </row>
    <row r="382" spans="2:57">
      <c r="B382" s="1162" t="s">
        <v>1974</v>
      </c>
      <c r="D382" s="1162" t="s">
        <v>1956</v>
      </c>
      <c r="AC382" s="1162" t="s">
        <v>1975</v>
      </c>
      <c r="AV382"/>
      <c r="AW382"/>
      <c r="AX382"/>
      <c r="AY382"/>
      <c r="AZ382"/>
      <c r="BA382"/>
      <c r="BB382"/>
      <c r="BC382"/>
      <c r="BD382"/>
      <c r="BE382"/>
    </row>
    <row r="383" spans="2:57">
      <c r="B383" s="1162" t="s">
        <v>1976</v>
      </c>
      <c r="D383" s="1162" t="s">
        <v>1956</v>
      </c>
      <c r="M383" s="1162" t="s">
        <v>1977</v>
      </c>
      <c r="N383" s="1162" t="s">
        <v>1978</v>
      </c>
      <c r="O383" s="1162" t="s">
        <v>1979</v>
      </c>
      <c r="Q383" s="1162" t="s">
        <v>1980</v>
      </c>
      <c r="S383" s="1162" t="s">
        <v>1981</v>
      </c>
      <c r="AC383" s="1162" t="s">
        <v>1982</v>
      </c>
      <c r="AV383"/>
      <c r="AW383"/>
      <c r="AX383"/>
      <c r="AY383"/>
      <c r="AZ383"/>
      <c r="BA383"/>
      <c r="BB383"/>
      <c r="BC383"/>
      <c r="BD383"/>
      <c r="BE383"/>
    </row>
    <row r="384" spans="2:57">
      <c r="B384" s="1162" t="s">
        <v>1983</v>
      </c>
      <c r="D384" s="1162" t="s">
        <v>1956</v>
      </c>
      <c r="AC384" s="1162" t="s">
        <v>1984</v>
      </c>
      <c r="AV384"/>
      <c r="AW384"/>
      <c r="AX384"/>
      <c r="AY384"/>
      <c r="AZ384"/>
      <c r="BA384"/>
      <c r="BB384"/>
      <c r="BC384"/>
      <c r="BD384"/>
      <c r="BE384"/>
    </row>
    <row r="385" spans="2:57">
      <c r="B385" s="1162" t="s">
        <v>1985</v>
      </c>
      <c r="D385" s="1162" t="s">
        <v>1956</v>
      </c>
      <c r="S385" s="1162" t="s">
        <v>1986</v>
      </c>
      <c r="AC385" s="1162" t="s">
        <v>1987</v>
      </c>
      <c r="AV385"/>
      <c r="AW385"/>
      <c r="AX385"/>
      <c r="AY385"/>
      <c r="AZ385"/>
      <c r="BA385"/>
      <c r="BB385"/>
      <c r="BC385"/>
      <c r="BD385"/>
      <c r="BE385"/>
    </row>
    <row r="386" spans="2:57">
      <c r="B386" s="1162" t="s">
        <v>1988</v>
      </c>
      <c r="D386" s="1162" t="s">
        <v>1956</v>
      </c>
      <c r="L386" s="1162" t="s">
        <v>1989</v>
      </c>
      <c r="M386" s="1162" t="s">
        <v>1990</v>
      </c>
      <c r="N386" s="1162" t="s">
        <v>1991</v>
      </c>
      <c r="O386" s="1162" t="s">
        <v>1992</v>
      </c>
      <c r="Q386" s="1162" t="s">
        <v>1993</v>
      </c>
      <c r="AC386" s="1162" t="s">
        <v>1994</v>
      </c>
      <c r="AV386"/>
      <c r="AW386"/>
      <c r="AX386"/>
      <c r="AY386"/>
      <c r="AZ386"/>
      <c r="BA386"/>
      <c r="BB386"/>
      <c r="BC386"/>
      <c r="BD386"/>
      <c r="BE386"/>
    </row>
    <row r="387" spans="2:57">
      <c r="B387" s="1162" t="s">
        <v>1995</v>
      </c>
      <c r="D387" s="1162" t="s">
        <v>1956</v>
      </c>
      <c r="M387" s="1162" t="s">
        <v>1996</v>
      </c>
      <c r="N387" s="1162" t="s">
        <v>1997</v>
      </c>
      <c r="O387" s="1162" t="s">
        <v>1998</v>
      </c>
      <c r="Q387" s="1162" t="s">
        <v>495</v>
      </c>
      <c r="S387" s="1162" t="s">
        <v>1999</v>
      </c>
      <c r="AC387" s="1162" t="s">
        <v>2000</v>
      </c>
      <c r="AV387"/>
      <c r="AW387"/>
      <c r="AX387"/>
      <c r="AY387"/>
      <c r="AZ387"/>
      <c r="BA387"/>
      <c r="BB387"/>
      <c r="BC387"/>
      <c r="BD387"/>
      <c r="BE387"/>
    </row>
    <row r="388" spans="2:57">
      <c r="B388" s="1162" t="s">
        <v>2001</v>
      </c>
      <c r="D388" s="1162" t="s">
        <v>1956</v>
      </c>
      <c r="N388" s="1162" t="s">
        <v>2002</v>
      </c>
      <c r="O388" s="1162" t="s">
        <v>2003</v>
      </c>
      <c r="P388" s="1162" t="s">
        <v>2004</v>
      </c>
      <c r="Q388" s="1162" t="s">
        <v>2005</v>
      </c>
      <c r="AC388" s="1162" t="s">
        <v>2006</v>
      </c>
      <c r="AV388"/>
      <c r="AW388"/>
      <c r="AX388"/>
      <c r="AY388"/>
      <c r="AZ388"/>
      <c r="BA388"/>
      <c r="BB388"/>
      <c r="BC388"/>
      <c r="BD388"/>
      <c r="BE388"/>
    </row>
    <row r="389" spans="2:57">
      <c r="B389" s="1162" t="s">
        <v>2007</v>
      </c>
      <c r="D389" s="1162" t="s">
        <v>1956</v>
      </c>
      <c r="N389" s="1162" t="s">
        <v>2008</v>
      </c>
      <c r="O389" s="1162" t="s">
        <v>2009</v>
      </c>
      <c r="Q389" s="1162" t="s">
        <v>2010</v>
      </c>
      <c r="AC389" s="1162" t="s">
        <v>1777</v>
      </c>
      <c r="AV389"/>
      <c r="AW389"/>
      <c r="AX389"/>
      <c r="AY389"/>
      <c r="AZ389"/>
      <c r="BA389"/>
      <c r="BB389"/>
      <c r="BC389"/>
      <c r="BD389"/>
      <c r="BE389"/>
    </row>
    <row r="390" spans="2:57">
      <c r="B390" s="1162" t="s">
        <v>2011</v>
      </c>
      <c r="D390" s="1162" t="s">
        <v>1956</v>
      </c>
      <c r="AC390" s="1162" t="s">
        <v>2012</v>
      </c>
      <c r="AV390"/>
      <c r="AW390"/>
      <c r="AX390"/>
      <c r="AY390"/>
      <c r="AZ390"/>
      <c r="BA390"/>
      <c r="BB390"/>
      <c r="BC390"/>
      <c r="BD390"/>
      <c r="BE390"/>
    </row>
    <row r="391" spans="2:57">
      <c r="B391" s="1162" t="s">
        <v>738</v>
      </c>
      <c r="AC391" s="1162" t="s">
        <v>2013</v>
      </c>
      <c r="AV391"/>
      <c r="AW391"/>
      <c r="AX391"/>
      <c r="AY391"/>
      <c r="AZ391"/>
      <c r="BA391"/>
      <c r="BB391"/>
      <c r="BC391"/>
      <c r="BD391"/>
      <c r="BE391"/>
    </row>
    <row r="392" spans="2:57">
      <c r="B392" s="1162" t="s">
        <v>2014</v>
      </c>
      <c r="D392" s="1162" t="s">
        <v>2015</v>
      </c>
      <c r="AC392" s="1162" t="s">
        <v>2016</v>
      </c>
      <c r="AV392"/>
      <c r="AW392"/>
      <c r="AX392"/>
      <c r="AY392"/>
      <c r="AZ392"/>
      <c r="BA392"/>
      <c r="BB392"/>
      <c r="BC392"/>
      <c r="BD392"/>
      <c r="BE392"/>
    </row>
    <row r="393" spans="2:57">
      <c r="B393" s="1162" t="s">
        <v>2017</v>
      </c>
      <c r="D393" s="1162" t="s">
        <v>2015</v>
      </c>
      <c r="AC393" s="1162" t="s">
        <v>2018</v>
      </c>
      <c r="AV393"/>
      <c r="AW393"/>
      <c r="AX393"/>
      <c r="AY393"/>
      <c r="AZ393"/>
      <c r="BA393"/>
      <c r="BB393"/>
      <c r="BC393"/>
      <c r="BD393"/>
      <c r="BE393"/>
    </row>
    <row r="394" spans="2:57">
      <c r="B394" s="1162" t="s">
        <v>2019</v>
      </c>
      <c r="D394" s="1162" t="s">
        <v>2015</v>
      </c>
      <c r="AC394" s="1162" t="s">
        <v>2020</v>
      </c>
      <c r="AV394"/>
      <c r="AW394"/>
      <c r="AX394"/>
      <c r="AY394"/>
      <c r="AZ394"/>
      <c r="BA394"/>
      <c r="BB394"/>
      <c r="BC394"/>
      <c r="BD394"/>
      <c r="BE394"/>
    </row>
    <row r="395" spans="2:57">
      <c r="B395" s="1162" t="s">
        <v>2021</v>
      </c>
      <c r="D395" s="1162" t="s">
        <v>2015</v>
      </c>
      <c r="AC395" s="1162" t="s">
        <v>2022</v>
      </c>
      <c r="AV395"/>
      <c r="AW395"/>
      <c r="AX395"/>
      <c r="AY395"/>
      <c r="AZ395"/>
      <c r="BA395"/>
      <c r="BB395"/>
      <c r="BC395"/>
      <c r="BD395"/>
      <c r="BE395"/>
    </row>
    <row r="396" spans="2:57">
      <c r="B396" s="1162" t="s">
        <v>2023</v>
      </c>
      <c r="D396" s="1162" t="s">
        <v>2015</v>
      </c>
      <c r="AC396" s="1162" t="s">
        <v>2024</v>
      </c>
      <c r="AV396"/>
      <c r="AW396"/>
      <c r="AX396"/>
      <c r="AY396"/>
      <c r="AZ396"/>
      <c r="BA396"/>
      <c r="BB396"/>
      <c r="BC396"/>
      <c r="BD396"/>
      <c r="BE396"/>
    </row>
    <row r="397" spans="2:57">
      <c r="B397" s="1162" t="s">
        <v>2025</v>
      </c>
      <c r="D397" s="1162" t="s">
        <v>2015</v>
      </c>
      <c r="AC397" s="1162" t="s">
        <v>2026</v>
      </c>
      <c r="AV397"/>
      <c r="AW397"/>
      <c r="AX397"/>
      <c r="AY397"/>
      <c r="AZ397"/>
      <c r="BA397"/>
      <c r="BB397"/>
      <c r="BC397"/>
      <c r="BD397"/>
      <c r="BE397"/>
    </row>
    <row r="398" spans="2:57">
      <c r="B398" s="1162" t="s">
        <v>2027</v>
      </c>
      <c r="D398" s="1162" t="s">
        <v>2015</v>
      </c>
      <c r="AC398" s="1162" t="s">
        <v>2028</v>
      </c>
      <c r="AV398"/>
      <c r="AW398"/>
      <c r="AX398"/>
      <c r="AY398"/>
      <c r="AZ398"/>
      <c r="BA398"/>
      <c r="BB398"/>
      <c r="BC398"/>
      <c r="BD398"/>
      <c r="BE398"/>
    </row>
    <row r="399" spans="2:57">
      <c r="B399" s="1162" t="s">
        <v>2029</v>
      </c>
      <c r="D399" s="1162" t="s">
        <v>2015</v>
      </c>
      <c r="AC399" s="1162" t="s">
        <v>164</v>
      </c>
      <c r="AV399"/>
      <c r="AW399"/>
      <c r="AX399"/>
      <c r="AY399"/>
      <c r="AZ399"/>
      <c r="BA399"/>
      <c r="BB399"/>
      <c r="BC399"/>
      <c r="BD399"/>
      <c r="BE399"/>
    </row>
    <row r="400" spans="2:57">
      <c r="B400" s="1162" t="s">
        <v>2030</v>
      </c>
      <c r="D400" s="1162" t="s">
        <v>2015</v>
      </c>
      <c r="AC400" s="1162" t="s">
        <v>2031</v>
      </c>
      <c r="AV400"/>
      <c r="AW400"/>
      <c r="AX400"/>
      <c r="AY400"/>
      <c r="AZ400"/>
      <c r="BA400"/>
      <c r="BB400"/>
      <c r="BC400"/>
      <c r="BD400"/>
      <c r="BE400"/>
    </row>
    <row r="401" spans="2:57">
      <c r="B401" s="1162" t="s">
        <v>2032</v>
      </c>
      <c r="D401" s="1162" t="s">
        <v>2015</v>
      </c>
      <c r="AC401" s="1162" t="s">
        <v>2033</v>
      </c>
      <c r="AV401"/>
      <c r="AW401"/>
      <c r="AX401"/>
      <c r="AY401"/>
      <c r="AZ401"/>
      <c r="BA401"/>
      <c r="BB401"/>
      <c r="BC401"/>
      <c r="BD401"/>
      <c r="BE401"/>
    </row>
    <row r="402" spans="2:57">
      <c r="B402" s="1162" t="s">
        <v>2034</v>
      </c>
      <c r="D402" s="1162" t="s">
        <v>2015</v>
      </c>
      <c r="AC402" s="1162" t="s">
        <v>348</v>
      </c>
      <c r="AV402"/>
      <c r="AW402"/>
      <c r="AX402"/>
      <c r="AY402"/>
      <c r="AZ402"/>
      <c r="BA402"/>
      <c r="BB402"/>
      <c r="BC402"/>
      <c r="BD402"/>
      <c r="BE402"/>
    </row>
    <row r="403" spans="2:57">
      <c r="B403" s="1162" t="s">
        <v>2035</v>
      </c>
      <c r="D403" s="1162" t="s">
        <v>2015</v>
      </c>
      <c r="AC403" s="1162" t="s">
        <v>2036</v>
      </c>
      <c r="AV403"/>
      <c r="AW403"/>
      <c r="AX403"/>
      <c r="AY403"/>
      <c r="AZ403"/>
      <c r="BA403"/>
      <c r="BB403"/>
      <c r="BC403"/>
      <c r="BD403"/>
      <c r="BE403"/>
    </row>
    <row r="404" spans="2:57">
      <c r="B404" s="1162" t="s">
        <v>2037</v>
      </c>
      <c r="D404" s="1162" t="s">
        <v>2015</v>
      </c>
      <c r="AC404" s="1162" t="s">
        <v>2038</v>
      </c>
      <c r="AV404"/>
      <c r="AW404"/>
      <c r="AX404"/>
      <c r="AY404"/>
      <c r="AZ404"/>
      <c r="BA404"/>
      <c r="BB404"/>
      <c r="BC404"/>
      <c r="BD404"/>
      <c r="BE404"/>
    </row>
    <row r="405" spans="2:57">
      <c r="B405" s="1162" t="s">
        <v>2039</v>
      </c>
      <c r="D405" s="1162" t="s">
        <v>2015</v>
      </c>
      <c r="AC405" s="1162" t="s">
        <v>2040</v>
      </c>
      <c r="AV405"/>
      <c r="AW405"/>
      <c r="AX405"/>
      <c r="AY405"/>
      <c r="AZ405"/>
      <c r="BA405"/>
      <c r="BB405"/>
      <c r="BC405"/>
      <c r="BD405"/>
      <c r="BE405"/>
    </row>
    <row r="406" spans="2:57">
      <c r="B406" s="1162" t="s">
        <v>2041</v>
      </c>
      <c r="D406" s="1162" t="s">
        <v>2015</v>
      </c>
      <c r="AC406" s="1162" t="s">
        <v>2042</v>
      </c>
      <c r="AV406"/>
      <c r="AW406"/>
      <c r="AX406"/>
      <c r="AY406"/>
      <c r="AZ406"/>
      <c r="BA406"/>
      <c r="BB406"/>
      <c r="BC406"/>
      <c r="BD406"/>
      <c r="BE406"/>
    </row>
    <row r="407" spans="2:57">
      <c r="B407" s="1162" t="s">
        <v>2043</v>
      </c>
      <c r="D407" s="1162" t="s">
        <v>2015</v>
      </c>
      <c r="AC407" s="1162" t="s">
        <v>2044</v>
      </c>
      <c r="AV407"/>
      <c r="AW407"/>
      <c r="AX407"/>
      <c r="AY407"/>
      <c r="AZ407"/>
      <c r="BA407"/>
      <c r="BB407"/>
      <c r="BC407"/>
      <c r="BD407"/>
      <c r="BE407"/>
    </row>
    <row r="408" spans="2:57">
      <c r="B408" s="1162" t="s">
        <v>738</v>
      </c>
      <c r="AV408"/>
      <c r="AW408"/>
      <c r="AX408"/>
      <c r="AY408"/>
      <c r="AZ408"/>
      <c r="BA408"/>
      <c r="BB408"/>
      <c r="BC408"/>
      <c r="BD408"/>
      <c r="BE408"/>
    </row>
    <row r="409" spans="2:57">
      <c r="B409" s="1162" t="s">
        <v>2045</v>
      </c>
      <c r="D409" s="1162" t="s">
        <v>2046</v>
      </c>
      <c r="F409" s="1162" t="s">
        <v>2047</v>
      </c>
      <c r="AV409"/>
      <c r="AW409"/>
      <c r="AX409"/>
      <c r="AY409"/>
      <c r="AZ409"/>
      <c r="BA409"/>
      <c r="BB409"/>
      <c r="BC409"/>
      <c r="BD409"/>
      <c r="BE409"/>
    </row>
    <row r="410" spans="2:57">
      <c r="B410" s="1162" t="s">
        <v>2048</v>
      </c>
      <c r="D410" s="1162" t="s">
        <v>2046</v>
      </c>
      <c r="AV410"/>
      <c r="AW410"/>
      <c r="AX410"/>
      <c r="AY410"/>
      <c r="AZ410"/>
      <c r="BA410"/>
      <c r="BB410"/>
      <c r="BC410"/>
      <c r="BD410"/>
      <c r="BE410"/>
    </row>
    <row r="411" spans="2:57">
      <c r="B411" s="1162" t="s">
        <v>2049</v>
      </c>
      <c r="D411" s="1162" t="s">
        <v>2046</v>
      </c>
      <c r="AV411"/>
      <c r="AW411"/>
      <c r="AX411"/>
      <c r="AY411"/>
      <c r="AZ411"/>
      <c r="BA411"/>
      <c r="BB411"/>
      <c r="BC411"/>
      <c r="BD411"/>
      <c r="BE411"/>
    </row>
    <row r="412" spans="2:57">
      <c r="B412" s="1162" t="s">
        <v>2050</v>
      </c>
      <c r="D412" s="1162" t="s">
        <v>2046</v>
      </c>
      <c r="AV412"/>
      <c r="AW412"/>
      <c r="AX412"/>
      <c r="AY412"/>
      <c r="AZ412"/>
      <c r="BA412"/>
      <c r="BB412"/>
      <c r="BC412"/>
      <c r="BD412"/>
      <c r="BE412"/>
    </row>
    <row r="413" spans="2:57">
      <c r="B413" s="1162" t="s">
        <v>2051</v>
      </c>
      <c r="D413" s="1162" t="s">
        <v>2046</v>
      </c>
      <c r="AV413"/>
      <c r="AW413"/>
      <c r="AX413"/>
      <c r="AY413"/>
      <c r="AZ413"/>
      <c r="BA413"/>
      <c r="BB413"/>
      <c r="BC413"/>
      <c r="BD413"/>
      <c r="BE413"/>
    </row>
    <row r="414" spans="2:57">
      <c r="B414" s="1162" t="s">
        <v>2052</v>
      </c>
      <c r="D414" s="1162" t="s">
        <v>2046</v>
      </c>
      <c r="AV414"/>
      <c r="AW414"/>
      <c r="AX414"/>
      <c r="AY414"/>
      <c r="AZ414"/>
      <c r="BA414"/>
      <c r="BB414"/>
      <c r="BC414"/>
      <c r="BD414"/>
      <c r="BE414"/>
    </row>
    <row r="415" spans="2:57">
      <c r="B415" s="1162" t="s">
        <v>2053</v>
      </c>
      <c r="D415" s="1162" t="s">
        <v>2046</v>
      </c>
      <c r="AV415"/>
      <c r="AW415"/>
      <c r="AX415"/>
      <c r="AY415"/>
      <c r="AZ415"/>
      <c r="BA415"/>
      <c r="BB415"/>
      <c r="BC415"/>
      <c r="BD415"/>
      <c r="BE415"/>
    </row>
    <row r="416" spans="2:57">
      <c r="B416" s="1162" t="s">
        <v>1583</v>
      </c>
      <c r="D416" s="1162" t="s">
        <v>2046</v>
      </c>
      <c r="AV416"/>
      <c r="AW416"/>
      <c r="AX416"/>
      <c r="AY416"/>
      <c r="AZ416"/>
      <c r="BA416"/>
      <c r="BB416"/>
      <c r="BC416"/>
      <c r="BD416"/>
      <c r="BE416"/>
    </row>
    <row r="417" spans="2:57">
      <c r="B417" s="1162" t="s">
        <v>2054</v>
      </c>
      <c r="D417" s="1162" t="s">
        <v>2046</v>
      </c>
      <c r="AV417"/>
      <c r="AW417"/>
      <c r="AX417"/>
      <c r="AY417"/>
      <c r="AZ417"/>
      <c r="BA417"/>
      <c r="BB417"/>
      <c r="BC417"/>
      <c r="BD417"/>
      <c r="BE417"/>
    </row>
    <row r="418" spans="2:57">
      <c r="B418" s="1162" t="s">
        <v>2055</v>
      </c>
      <c r="D418" s="1162" t="s">
        <v>2046</v>
      </c>
      <c r="AV418"/>
      <c r="AW418"/>
      <c r="AX418"/>
      <c r="AY418"/>
      <c r="AZ418"/>
      <c r="BA418"/>
      <c r="BB418"/>
      <c r="BC418"/>
      <c r="BD418"/>
      <c r="BE418"/>
    </row>
    <row r="419" spans="2:57">
      <c r="B419" s="1162" t="s">
        <v>2056</v>
      </c>
      <c r="D419" s="1162" t="s">
        <v>2046</v>
      </c>
      <c r="AV419"/>
      <c r="AW419"/>
      <c r="AX419"/>
      <c r="AY419"/>
      <c r="AZ419"/>
      <c r="BA419"/>
      <c r="BB419"/>
      <c r="BC419"/>
      <c r="BD419"/>
      <c r="BE419"/>
    </row>
    <row r="420" spans="2:57">
      <c r="B420" s="1162" t="s">
        <v>2057</v>
      </c>
      <c r="D420" s="1162" t="s">
        <v>2046</v>
      </c>
      <c r="AV420"/>
      <c r="AW420"/>
      <c r="AX420"/>
      <c r="AY420"/>
      <c r="AZ420"/>
      <c r="BA420"/>
      <c r="BB420"/>
      <c r="BC420"/>
      <c r="BD420"/>
      <c r="BE420"/>
    </row>
    <row r="421" spans="2:57">
      <c r="B421" s="1162" t="s">
        <v>1680</v>
      </c>
      <c r="D421" s="1162" t="s">
        <v>2046</v>
      </c>
      <c r="AV421"/>
      <c r="AW421"/>
      <c r="AX421"/>
      <c r="AY421"/>
      <c r="AZ421"/>
      <c r="BA421"/>
      <c r="BB421"/>
      <c r="BC421"/>
      <c r="BD421"/>
      <c r="BE421"/>
    </row>
    <row r="422" spans="2:57">
      <c r="B422" s="1162" t="s">
        <v>2058</v>
      </c>
      <c r="D422" s="1162" t="s">
        <v>2046</v>
      </c>
      <c r="AV422"/>
      <c r="AW422"/>
      <c r="AX422"/>
      <c r="AY422"/>
      <c r="AZ422"/>
      <c r="BA422"/>
      <c r="BB422"/>
      <c r="BC422"/>
      <c r="BD422"/>
      <c r="BE422"/>
    </row>
    <row r="423" spans="2:57">
      <c r="B423" s="1162" t="s">
        <v>2059</v>
      </c>
      <c r="D423" s="1162" t="s">
        <v>2046</v>
      </c>
      <c r="AV423"/>
      <c r="AW423"/>
      <c r="AX423"/>
      <c r="AY423"/>
      <c r="AZ423"/>
      <c r="BA423"/>
      <c r="BB423"/>
      <c r="BC423"/>
      <c r="BD423"/>
      <c r="BE423"/>
    </row>
    <row r="424" spans="2:57">
      <c r="B424" s="1162" t="s">
        <v>2060</v>
      </c>
      <c r="D424" s="1162" t="s">
        <v>2046</v>
      </c>
      <c r="AV424"/>
      <c r="AW424"/>
      <c r="AX424"/>
      <c r="AY424"/>
      <c r="AZ424"/>
      <c r="BA424"/>
      <c r="BB424"/>
      <c r="BC424"/>
      <c r="BD424"/>
      <c r="BE424"/>
    </row>
    <row r="425" spans="2:57">
      <c r="B425" s="1162" t="s">
        <v>2061</v>
      </c>
      <c r="D425" s="1162" t="s">
        <v>2046</v>
      </c>
      <c r="AV425"/>
      <c r="AW425"/>
      <c r="AX425"/>
      <c r="AY425"/>
      <c r="AZ425"/>
      <c r="BA425"/>
      <c r="BB425"/>
      <c r="BC425"/>
      <c r="BD425"/>
      <c r="BE425"/>
    </row>
    <row r="426" spans="2:57">
      <c r="B426" s="1162" t="s">
        <v>2062</v>
      </c>
      <c r="D426" s="1162" t="s">
        <v>2046</v>
      </c>
      <c r="AV426"/>
      <c r="AW426"/>
      <c r="AX426"/>
      <c r="AY426"/>
      <c r="AZ426"/>
      <c r="BA426"/>
      <c r="BB426"/>
      <c r="BC426"/>
      <c r="BD426"/>
      <c r="BE426"/>
    </row>
    <row r="427" spans="2:57">
      <c r="B427" s="1162" t="s">
        <v>2063</v>
      </c>
      <c r="D427" s="1162" t="s">
        <v>2046</v>
      </c>
      <c r="AV427"/>
      <c r="AW427"/>
      <c r="AX427"/>
      <c r="AY427"/>
      <c r="AZ427"/>
      <c r="BA427"/>
      <c r="BB427"/>
      <c r="BC427"/>
      <c r="BD427"/>
      <c r="BE427"/>
    </row>
    <row r="428" spans="2:57">
      <c r="B428" s="1162" t="s">
        <v>2064</v>
      </c>
      <c r="D428" s="1162" t="s">
        <v>2046</v>
      </c>
      <c r="AV428"/>
      <c r="AW428"/>
      <c r="AX428"/>
      <c r="AY428"/>
      <c r="AZ428"/>
      <c r="BA428"/>
      <c r="BB428"/>
      <c r="BC428"/>
      <c r="BD428"/>
      <c r="BE428"/>
    </row>
    <row r="429" spans="2:57">
      <c r="B429" s="1162" t="s">
        <v>2065</v>
      </c>
      <c r="D429" s="1162" t="s">
        <v>2046</v>
      </c>
      <c r="AV429"/>
      <c r="AW429"/>
      <c r="AX429"/>
      <c r="AY429"/>
      <c r="AZ429"/>
      <c r="BA429"/>
      <c r="BB429"/>
      <c r="BC429"/>
      <c r="BD429"/>
      <c r="BE429"/>
    </row>
    <row r="430" spans="2:57">
      <c r="B430" s="1162" t="s">
        <v>738</v>
      </c>
      <c r="AV430"/>
      <c r="AW430"/>
      <c r="AX430"/>
      <c r="AY430"/>
      <c r="AZ430"/>
      <c r="BA430"/>
      <c r="BB430"/>
      <c r="BC430"/>
      <c r="BD430"/>
      <c r="BE430"/>
    </row>
    <row r="431" spans="2:57">
      <c r="B431" s="1162" t="s">
        <v>2066</v>
      </c>
      <c r="D431" s="1162" t="s">
        <v>2067</v>
      </c>
      <c r="AV431"/>
      <c r="AW431"/>
      <c r="AX431"/>
      <c r="AY431"/>
      <c r="AZ431"/>
      <c r="BA431"/>
      <c r="BB431"/>
      <c r="BC431"/>
      <c r="BD431"/>
      <c r="BE431"/>
    </row>
    <row r="432" spans="2:57">
      <c r="B432" s="1162" t="s">
        <v>2068</v>
      </c>
      <c r="D432" s="1162" t="s">
        <v>2067</v>
      </c>
      <c r="AV432"/>
      <c r="AW432"/>
      <c r="AX432"/>
      <c r="AY432"/>
      <c r="AZ432"/>
      <c r="BA432"/>
      <c r="BB432"/>
      <c r="BC432"/>
      <c r="BD432"/>
      <c r="BE432"/>
    </row>
    <row r="433" spans="2:57">
      <c r="B433" s="1162" t="s">
        <v>2069</v>
      </c>
      <c r="D433" s="1162" t="s">
        <v>2067</v>
      </c>
      <c r="AV433"/>
      <c r="AW433"/>
      <c r="AX433"/>
      <c r="AY433"/>
      <c r="AZ433"/>
      <c r="BA433"/>
      <c r="BB433"/>
      <c r="BC433"/>
      <c r="BD433"/>
      <c r="BE433"/>
    </row>
    <row r="434" spans="2:57">
      <c r="B434" s="1162" t="s">
        <v>2070</v>
      </c>
      <c r="D434" s="1162" t="s">
        <v>2067</v>
      </c>
      <c r="AV434"/>
      <c r="AW434"/>
      <c r="AX434"/>
      <c r="AY434"/>
      <c r="AZ434"/>
      <c r="BA434"/>
      <c r="BB434"/>
      <c r="BC434"/>
      <c r="BD434"/>
      <c r="BE434"/>
    </row>
    <row r="435" spans="2:57">
      <c r="B435" s="1162" t="s">
        <v>2071</v>
      </c>
      <c r="D435" s="1162" t="s">
        <v>2067</v>
      </c>
      <c r="AV435"/>
      <c r="AW435"/>
      <c r="AX435"/>
      <c r="AY435"/>
      <c r="AZ435"/>
      <c r="BA435"/>
      <c r="BB435"/>
      <c r="BC435"/>
      <c r="BD435"/>
      <c r="BE435"/>
    </row>
    <row r="436" spans="2:57">
      <c r="B436" s="1162" t="s">
        <v>2072</v>
      </c>
      <c r="D436" s="1162" t="s">
        <v>2067</v>
      </c>
      <c r="AV436"/>
      <c r="AW436"/>
      <c r="AX436"/>
      <c r="AY436"/>
      <c r="AZ436"/>
      <c r="BA436"/>
      <c r="BB436"/>
      <c r="BC436"/>
      <c r="BD436"/>
      <c r="BE436"/>
    </row>
    <row r="437" spans="2:57">
      <c r="B437" s="1162" t="s">
        <v>2073</v>
      </c>
      <c r="D437" s="1162" t="s">
        <v>2067</v>
      </c>
      <c r="AV437"/>
      <c r="AW437"/>
      <c r="AX437"/>
      <c r="AY437"/>
      <c r="AZ437"/>
      <c r="BA437"/>
      <c r="BB437"/>
      <c r="BC437"/>
      <c r="BD437"/>
      <c r="BE437"/>
    </row>
    <row r="438" spans="2:57">
      <c r="B438" s="1162" t="s">
        <v>2074</v>
      </c>
      <c r="D438" s="1162" t="s">
        <v>2067</v>
      </c>
      <c r="AV438"/>
      <c r="AW438"/>
      <c r="AX438"/>
      <c r="AY438"/>
      <c r="AZ438"/>
      <c r="BA438"/>
      <c r="BB438"/>
      <c r="BC438"/>
      <c r="BD438"/>
      <c r="BE438"/>
    </row>
    <row r="439" spans="2:57">
      <c r="B439" s="1162" t="s">
        <v>2075</v>
      </c>
      <c r="D439" s="1162" t="s">
        <v>2067</v>
      </c>
      <c r="AV439"/>
      <c r="AW439"/>
      <c r="AX439"/>
      <c r="AY439"/>
      <c r="AZ439"/>
      <c r="BA439"/>
      <c r="BB439"/>
      <c r="BC439"/>
      <c r="BD439"/>
      <c r="BE439"/>
    </row>
    <row r="440" spans="2:57">
      <c r="B440" s="1162" t="s">
        <v>2076</v>
      </c>
      <c r="D440" s="1162" t="s">
        <v>2067</v>
      </c>
      <c r="AV440"/>
      <c r="AW440"/>
      <c r="AX440"/>
      <c r="AY440"/>
      <c r="AZ440"/>
      <c r="BA440"/>
      <c r="BB440"/>
      <c r="BC440"/>
      <c r="BD440"/>
      <c r="BE440"/>
    </row>
    <row r="441" spans="2:57">
      <c r="B441" s="1162" t="s">
        <v>2077</v>
      </c>
      <c r="D441" s="1162" t="s">
        <v>2067</v>
      </c>
      <c r="AV441"/>
      <c r="AW441"/>
      <c r="AX441"/>
      <c r="AY441"/>
      <c r="AZ441"/>
      <c r="BA441"/>
      <c r="BB441"/>
      <c r="BC441"/>
      <c r="BD441"/>
      <c r="BE441"/>
    </row>
    <row r="442" spans="2:57">
      <c r="B442" s="1162" t="s">
        <v>2078</v>
      </c>
      <c r="D442" s="1162" t="s">
        <v>2067</v>
      </c>
      <c r="AV442"/>
      <c r="AW442"/>
      <c r="AX442"/>
      <c r="AY442"/>
      <c r="AZ442"/>
      <c r="BA442"/>
      <c r="BB442"/>
      <c r="BC442"/>
      <c r="BD442"/>
      <c r="BE442"/>
    </row>
    <row r="443" spans="2:57">
      <c r="B443" s="1162" t="s">
        <v>1571</v>
      </c>
      <c r="D443" s="1162" t="s">
        <v>2067</v>
      </c>
      <c r="AV443"/>
      <c r="AW443"/>
      <c r="AX443"/>
      <c r="AY443"/>
      <c r="AZ443"/>
      <c r="BA443"/>
      <c r="BB443"/>
      <c r="BC443"/>
      <c r="BD443"/>
      <c r="BE443"/>
    </row>
    <row r="444" spans="2:57">
      <c r="B444" s="1162" t="s">
        <v>2053</v>
      </c>
      <c r="D444" s="1162" t="s">
        <v>2067</v>
      </c>
      <c r="AV444"/>
      <c r="AW444"/>
      <c r="AX444"/>
      <c r="AY444"/>
      <c r="AZ444"/>
      <c r="BA444"/>
      <c r="BB444"/>
      <c r="BC444"/>
      <c r="BD444"/>
      <c r="BE444"/>
    </row>
    <row r="445" spans="2:57">
      <c r="B445" s="1162" t="s">
        <v>2079</v>
      </c>
      <c r="D445" s="1162" t="s">
        <v>2067</v>
      </c>
      <c r="AV445"/>
      <c r="AW445"/>
      <c r="AX445"/>
      <c r="AY445"/>
      <c r="AZ445"/>
      <c r="BA445"/>
      <c r="BB445"/>
      <c r="BC445"/>
      <c r="BD445"/>
      <c r="BE445"/>
    </row>
    <row r="446" spans="2:57">
      <c r="B446" s="1162" t="s">
        <v>1691</v>
      </c>
      <c r="D446" s="1162" t="s">
        <v>2067</v>
      </c>
      <c r="AV446"/>
      <c r="AW446"/>
      <c r="AX446"/>
      <c r="AY446"/>
      <c r="AZ446"/>
      <c r="BA446"/>
      <c r="BB446"/>
      <c r="BC446"/>
      <c r="BD446"/>
      <c r="BE446"/>
    </row>
    <row r="447" spans="2:57">
      <c r="B447" s="1162" t="s">
        <v>2080</v>
      </c>
      <c r="D447" s="1162" t="s">
        <v>2067</v>
      </c>
      <c r="AV447"/>
      <c r="AW447"/>
      <c r="AX447"/>
      <c r="AY447"/>
      <c r="AZ447"/>
      <c r="BA447"/>
      <c r="BB447"/>
      <c r="BC447"/>
      <c r="BD447"/>
      <c r="BE447"/>
    </row>
    <row r="448" spans="2:57">
      <c r="B448" s="1162" t="s">
        <v>2081</v>
      </c>
      <c r="D448" s="1162" t="s">
        <v>2067</v>
      </c>
      <c r="AV448"/>
      <c r="AW448"/>
      <c r="AX448"/>
      <c r="AY448"/>
      <c r="AZ448"/>
      <c r="BA448"/>
      <c r="BB448"/>
      <c r="BC448"/>
      <c r="BD448"/>
      <c r="BE448"/>
    </row>
    <row r="449" spans="2:57">
      <c r="B449" s="1162" t="s">
        <v>2082</v>
      </c>
      <c r="D449" s="1162" t="s">
        <v>2067</v>
      </c>
      <c r="AV449"/>
      <c r="AW449"/>
      <c r="AX449"/>
      <c r="AY449"/>
      <c r="AZ449"/>
      <c r="BA449"/>
      <c r="BB449"/>
      <c r="BC449"/>
      <c r="BD449"/>
      <c r="BE449"/>
    </row>
    <row r="450" spans="2:57">
      <c r="B450" s="1162" t="s">
        <v>2057</v>
      </c>
      <c r="D450" s="1162" t="s">
        <v>2067</v>
      </c>
      <c r="AV450"/>
      <c r="AW450"/>
      <c r="AX450"/>
      <c r="AY450"/>
      <c r="AZ450"/>
      <c r="BA450"/>
      <c r="BB450"/>
      <c r="BC450"/>
      <c r="BD450"/>
      <c r="BE450"/>
    </row>
    <row r="451" spans="2:57">
      <c r="B451" s="1162" t="s">
        <v>2083</v>
      </c>
      <c r="D451" s="1162" t="s">
        <v>2067</v>
      </c>
      <c r="AV451"/>
      <c r="AW451"/>
      <c r="AX451"/>
      <c r="AY451"/>
      <c r="AZ451"/>
      <c r="BA451"/>
      <c r="BB451"/>
      <c r="BC451"/>
      <c r="BD451"/>
      <c r="BE451"/>
    </row>
    <row r="452" spans="2:57">
      <c r="B452" s="1162" t="s">
        <v>2084</v>
      </c>
      <c r="D452" s="1162" t="s">
        <v>2067</v>
      </c>
      <c r="AV452"/>
      <c r="AW452"/>
      <c r="AX452"/>
      <c r="AY452"/>
      <c r="AZ452"/>
      <c r="BA452"/>
      <c r="BB452"/>
      <c r="BC452"/>
      <c r="BD452"/>
      <c r="BE452"/>
    </row>
    <row r="453" spans="2:57">
      <c r="B453" s="1162" t="s">
        <v>2085</v>
      </c>
      <c r="D453" s="1162" t="s">
        <v>2067</v>
      </c>
      <c r="AV453"/>
      <c r="AW453"/>
      <c r="AX453"/>
      <c r="AY453"/>
      <c r="AZ453"/>
      <c r="BA453"/>
      <c r="BB453"/>
      <c r="BC453"/>
      <c r="BD453"/>
      <c r="BE453"/>
    </row>
    <row r="454" spans="2:57">
      <c r="B454" s="1162" t="s">
        <v>2086</v>
      </c>
      <c r="D454" s="1162" t="s">
        <v>2067</v>
      </c>
      <c r="AV454"/>
      <c r="AW454"/>
      <c r="AX454"/>
      <c r="AY454"/>
      <c r="AZ454"/>
      <c r="BA454"/>
      <c r="BB454"/>
      <c r="BC454"/>
      <c r="BD454"/>
      <c r="BE454"/>
    </row>
    <row r="455" spans="2:57">
      <c r="B455" s="1162" t="s">
        <v>2087</v>
      </c>
      <c r="D455" s="1162" t="s">
        <v>2067</v>
      </c>
      <c r="AV455"/>
      <c r="AW455"/>
      <c r="AX455"/>
      <c r="AY455"/>
      <c r="AZ455"/>
      <c r="BA455"/>
      <c r="BB455"/>
      <c r="BC455"/>
      <c r="BD455"/>
      <c r="BE455"/>
    </row>
    <row r="456" spans="2:57">
      <c r="B456" s="1162" t="s">
        <v>2088</v>
      </c>
      <c r="D456" s="1162" t="s">
        <v>2067</v>
      </c>
      <c r="AV456"/>
      <c r="AW456"/>
      <c r="AX456"/>
      <c r="AY456"/>
      <c r="AZ456"/>
      <c r="BA456"/>
      <c r="BB456"/>
      <c r="BC456"/>
      <c r="BD456"/>
      <c r="BE456"/>
    </row>
    <row r="457" spans="2:57">
      <c r="B457" s="1162" t="s">
        <v>2089</v>
      </c>
      <c r="D457" s="1162" t="s">
        <v>2067</v>
      </c>
      <c r="AV457"/>
      <c r="AW457"/>
      <c r="AX457"/>
      <c r="AY457"/>
      <c r="AZ457"/>
      <c r="BA457"/>
      <c r="BB457"/>
      <c r="BC457"/>
      <c r="BD457"/>
      <c r="BE457"/>
    </row>
    <row r="458" spans="2:57">
      <c r="B458" s="1162" t="s">
        <v>2090</v>
      </c>
      <c r="D458" s="1162" t="s">
        <v>2067</v>
      </c>
      <c r="AV458"/>
      <c r="AW458"/>
      <c r="AX458"/>
      <c r="AY458"/>
      <c r="AZ458"/>
      <c r="BA458"/>
      <c r="BB458"/>
      <c r="BC458"/>
      <c r="BD458"/>
      <c r="BE458"/>
    </row>
    <row r="459" spans="2:57">
      <c r="B459" s="1162" t="s">
        <v>738</v>
      </c>
      <c r="AV459"/>
      <c r="AW459"/>
      <c r="AX459"/>
      <c r="AY459"/>
      <c r="AZ459"/>
      <c r="BA459"/>
      <c r="BB459"/>
      <c r="BC459"/>
      <c r="BD459"/>
      <c r="BE459"/>
    </row>
    <row r="460" spans="2:57">
      <c r="B460" s="1162" t="s">
        <v>2091</v>
      </c>
      <c r="D460" s="1162" t="s">
        <v>2092</v>
      </c>
      <c r="AV460"/>
      <c r="AW460"/>
      <c r="AX460"/>
      <c r="AY460"/>
      <c r="AZ460"/>
      <c r="BA460"/>
      <c r="BB460"/>
      <c r="BC460"/>
      <c r="BD460"/>
      <c r="BE460"/>
    </row>
    <row r="461" spans="2:57">
      <c r="B461" s="1162" t="s">
        <v>2093</v>
      </c>
      <c r="D461" s="1162" t="s">
        <v>2092</v>
      </c>
      <c r="AV461"/>
      <c r="AW461"/>
      <c r="AX461"/>
      <c r="AY461"/>
      <c r="AZ461"/>
      <c r="BA461"/>
      <c r="BB461"/>
      <c r="BC461"/>
      <c r="BD461"/>
      <c r="BE461"/>
    </row>
    <row r="462" spans="2:57">
      <c r="B462" s="1162" t="s">
        <v>2094</v>
      </c>
      <c r="D462" s="1162" t="s">
        <v>2092</v>
      </c>
      <c r="AV462"/>
      <c r="AW462"/>
      <c r="AX462"/>
      <c r="AY462"/>
      <c r="AZ462"/>
      <c r="BA462"/>
      <c r="BB462"/>
      <c r="BC462"/>
      <c r="BD462"/>
      <c r="BE462"/>
    </row>
    <row r="463" spans="2:57">
      <c r="B463" s="1162" t="s">
        <v>2095</v>
      </c>
      <c r="D463" s="1162" t="s">
        <v>2092</v>
      </c>
      <c r="AV463"/>
      <c r="AW463"/>
      <c r="AX463"/>
      <c r="AY463"/>
      <c r="AZ463"/>
      <c r="BA463"/>
      <c r="BB463"/>
      <c r="BC463"/>
      <c r="BD463"/>
      <c r="BE463"/>
    </row>
    <row r="464" spans="2:57">
      <c r="B464" s="1162" t="s">
        <v>2096</v>
      </c>
      <c r="D464" s="1162" t="s">
        <v>2092</v>
      </c>
      <c r="AV464"/>
      <c r="AW464"/>
      <c r="AX464"/>
      <c r="AY464"/>
      <c r="AZ464"/>
      <c r="BA464"/>
      <c r="BB464"/>
      <c r="BC464"/>
      <c r="BD464"/>
      <c r="BE464"/>
    </row>
    <row r="465" spans="2:57">
      <c r="B465" s="1162" t="s">
        <v>2097</v>
      </c>
      <c r="D465" s="1162" t="s">
        <v>2092</v>
      </c>
      <c r="AV465"/>
      <c r="AW465"/>
      <c r="AX465"/>
      <c r="AY465"/>
      <c r="AZ465"/>
      <c r="BA465"/>
      <c r="BB465"/>
      <c r="BC465"/>
      <c r="BD465"/>
      <c r="BE465"/>
    </row>
    <row r="466" spans="2:57">
      <c r="B466" s="1162" t="s">
        <v>2098</v>
      </c>
      <c r="D466" s="1162" t="s">
        <v>2092</v>
      </c>
      <c r="AV466"/>
      <c r="AW466"/>
      <c r="AX466"/>
      <c r="AY466"/>
      <c r="AZ466"/>
      <c r="BA466"/>
      <c r="BB466"/>
      <c r="BC466"/>
      <c r="BD466"/>
      <c r="BE466"/>
    </row>
    <row r="467" spans="2:57">
      <c r="B467" s="1162" t="s">
        <v>2099</v>
      </c>
      <c r="D467" s="1162" t="s">
        <v>2092</v>
      </c>
      <c r="AV467"/>
      <c r="AW467"/>
      <c r="AX467"/>
      <c r="AY467"/>
      <c r="AZ467"/>
      <c r="BA467"/>
      <c r="BB467"/>
      <c r="BC467"/>
      <c r="BD467"/>
      <c r="BE467"/>
    </row>
    <row r="468" spans="2:57">
      <c r="B468" s="1162" t="s">
        <v>2100</v>
      </c>
      <c r="D468" s="1162" t="s">
        <v>2092</v>
      </c>
      <c r="AV468"/>
      <c r="AW468"/>
      <c r="AX468"/>
      <c r="AY468"/>
      <c r="AZ468"/>
      <c r="BA468"/>
      <c r="BB468"/>
      <c r="BC468"/>
      <c r="BD468"/>
      <c r="BE468"/>
    </row>
    <row r="469" spans="2:57">
      <c r="B469" s="1162" t="s">
        <v>2101</v>
      </c>
      <c r="D469" s="1162" t="s">
        <v>2092</v>
      </c>
      <c r="AV469"/>
      <c r="AW469"/>
      <c r="AX469"/>
      <c r="AY469"/>
      <c r="AZ469"/>
      <c r="BA469"/>
      <c r="BB469"/>
      <c r="BC469"/>
      <c r="BD469"/>
      <c r="BE469"/>
    </row>
    <row r="470" spans="2:57">
      <c r="B470" s="1162" t="s">
        <v>2102</v>
      </c>
      <c r="D470" s="1162" t="s">
        <v>2092</v>
      </c>
      <c r="AV470"/>
      <c r="AW470"/>
      <c r="AX470"/>
      <c r="AY470"/>
      <c r="AZ470"/>
      <c r="BA470"/>
      <c r="BB470"/>
      <c r="BC470"/>
      <c r="BD470"/>
      <c r="BE470"/>
    </row>
    <row r="471" spans="2:57">
      <c r="B471" s="1162" t="s">
        <v>2103</v>
      </c>
      <c r="D471" s="1162" t="s">
        <v>2092</v>
      </c>
      <c r="AV471"/>
      <c r="AW471"/>
      <c r="AX471"/>
      <c r="AY471"/>
      <c r="AZ471"/>
      <c r="BA471"/>
      <c r="BB471"/>
      <c r="BC471"/>
      <c r="BD471"/>
      <c r="BE471"/>
    </row>
    <row r="472" spans="2:57">
      <c r="B472" s="1162" t="s">
        <v>2104</v>
      </c>
      <c r="D472" s="1162" t="s">
        <v>2092</v>
      </c>
      <c r="AV472"/>
      <c r="AW472"/>
      <c r="AX472"/>
      <c r="AY472"/>
      <c r="AZ472"/>
      <c r="BA472"/>
      <c r="BB472"/>
      <c r="BC472"/>
      <c r="BD472"/>
      <c r="BE472"/>
    </row>
    <row r="473" spans="2:57">
      <c r="B473" s="1162" t="s">
        <v>2105</v>
      </c>
      <c r="D473" s="1162" t="s">
        <v>2092</v>
      </c>
      <c r="AV473"/>
      <c r="AW473"/>
      <c r="AX473"/>
      <c r="AY473"/>
      <c r="AZ473"/>
      <c r="BA473"/>
      <c r="BB473"/>
      <c r="BC473"/>
      <c r="BD473"/>
      <c r="BE473"/>
    </row>
    <row r="474" spans="2:57">
      <c r="B474" s="1162" t="s">
        <v>2106</v>
      </c>
      <c r="D474" s="1162" t="s">
        <v>2092</v>
      </c>
      <c r="AV474"/>
      <c r="AW474"/>
      <c r="AX474"/>
      <c r="AY474"/>
      <c r="AZ474"/>
      <c r="BA474"/>
      <c r="BB474"/>
      <c r="BC474"/>
      <c r="BD474"/>
      <c r="BE474"/>
    </row>
    <row r="475" spans="2:57">
      <c r="B475" s="1162" t="s">
        <v>2107</v>
      </c>
      <c r="D475" s="1162" t="s">
        <v>2092</v>
      </c>
      <c r="AV475"/>
      <c r="AW475"/>
      <c r="AX475"/>
      <c r="AY475"/>
      <c r="AZ475"/>
      <c r="BA475"/>
      <c r="BB475"/>
      <c r="BC475"/>
      <c r="BD475"/>
      <c r="BE475"/>
    </row>
    <row r="476" spans="2:57">
      <c r="B476" s="1162" t="s">
        <v>2108</v>
      </c>
      <c r="D476" s="1162" t="s">
        <v>2092</v>
      </c>
      <c r="AV476"/>
      <c r="AW476"/>
      <c r="AX476"/>
      <c r="AY476"/>
      <c r="AZ476"/>
      <c r="BA476"/>
      <c r="BB476"/>
      <c r="BC476"/>
      <c r="BD476"/>
      <c r="BE476"/>
    </row>
    <row r="477" spans="2:57">
      <c r="B477" s="1162" t="s">
        <v>2109</v>
      </c>
      <c r="D477" s="1162" t="s">
        <v>2092</v>
      </c>
      <c r="AV477"/>
      <c r="AW477"/>
      <c r="AX477"/>
      <c r="AY477"/>
      <c r="AZ477"/>
      <c r="BA477"/>
      <c r="BB477"/>
      <c r="BC477"/>
      <c r="BD477"/>
      <c r="BE477"/>
    </row>
    <row r="478" spans="2:57">
      <c r="B478" s="1162" t="s">
        <v>2110</v>
      </c>
      <c r="D478" s="1162" t="s">
        <v>2092</v>
      </c>
      <c r="AV478"/>
      <c r="AW478"/>
      <c r="AX478"/>
      <c r="AY478"/>
      <c r="AZ478"/>
      <c r="BA478"/>
      <c r="BB478"/>
      <c r="BC478"/>
      <c r="BD478"/>
      <c r="BE478"/>
    </row>
    <row r="479" spans="2:57">
      <c r="B479" s="1162" t="s">
        <v>2111</v>
      </c>
      <c r="D479" s="1162" t="s">
        <v>2092</v>
      </c>
      <c r="AV479"/>
      <c r="AW479"/>
      <c r="AX479"/>
      <c r="AY479"/>
      <c r="AZ479"/>
      <c r="BA479"/>
      <c r="BB479"/>
      <c r="BC479"/>
      <c r="BD479"/>
      <c r="BE479"/>
    </row>
    <row r="480" spans="2:57">
      <c r="B480" s="1162" t="s">
        <v>738</v>
      </c>
      <c r="AV480"/>
      <c r="AW480"/>
      <c r="AX480"/>
      <c r="AY480"/>
      <c r="AZ480"/>
      <c r="BA480"/>
      <c r="BB480"/>
      <c r="BC480"/>
      <c r="BD480"/>
      <c r="BE480"/>
    </row>
    <row r="481" spans="2:57">
      <c r="B481" s="1162" t="s">
        <v>2112</v>
      </c>
      <c r="D481" s="1162" t="s">
        <v>2113</v>
      </c>
      <c r="AV481"/>
      <c r="AW481"/>
      <c r="AX481"/>
      <c r="AY481"/>
      <c r="AZ481"/>
      <c r="BA481"/>
      <c r="BB481"/>
      <c r="BC481"/>
      <c r="BD481"/>
      <c r="BE481"/>
    </row>
    <row r="482" spans="2:57">
      <c r="B482" s="1162" t="s">
        <v>2114</v>
      </c>
      <c r="D482" s="1162" t="s">
        <v>2113</v>
      </c>
      <c r="AV482"/>
      <c r="AW482"/>
      <c r="AX482"/>
      <c r="AY482"/>
      <c r="AZ482"/>
      <c r="BA482"/>
      <c r="BB482"/>
      <c r="BC482"/>
      <c r="BD482"/>
      <c r="BE482"/>
    </row>
    <row r="483" spans="2:57">
      <c r="B483" s="1162" t="s">
        <v>2115</v>
      </c>
      <c r="D483" s="1162" t="s">
        <v>2113</v>
      </c>
      <c r="AV483"/>
      <c r="AW483"/>
      <c r="AX483"/>
      <c r="AY483"/>
      <c r="AZ483"/>
      <c r="BA483"/>
      <c r="BB483"/>
      <c r="BC483"/>
      <c r="BD483"/>
      <c r="BE483"/>
    </row>
    <row r="484" spans="2:57">
      <c r="B484" s="1162" t="s">
        <v>2116</v>
      </c>
      <c r="D484" s="1162" t="s">
        <v>2113</v>
      </c>
      <c r="AV484"/>
      <c r="AW484"/>
      <c r="AX484"/>
      <c r="AY484"/>
      <c r="AZ484"/>
      <c r="BA484"/>
      <c r="BB484"/>
      <c r="BC484"/>
      <c r="BD484"/>
      <c r="BE484"/>
    </row>
    <row r="485" spans="2:57">
      <c r="B485" s="1162" t="s">
        <v>2039</v>
      </c>
      <c r="D485" s="1162" t="s">
        <v>2113</v>
      </c>
      <c r="AV485"/>
      <c r="AW485"/>
      <c r="AX485"/>
      <c r="AY485"/>
      <c r="AZ485"/>
      <c r="BA485"/>
      <c r="BB485"/>
      <c r="BC485"/>
      <c r="BD485"/>
      <c r="BE485"/>
    </row>
    <row r="486" spans="2:57">
      <c r="B486" s="1162" t="s">
        <v>2117</v>
      </c>
      <c r="D486" s="1162" t="s">
        <v>2113</v>
      </c>
      <c r="AV486"/>
      <c r="AW486"/>
      <c r="AX486"/>
      <c r="AY486"/>
      <c r="AZ486"/>
      <c r="BA486"/>
      <c r="BB486"/>
      <c r="BC486"/>
      <c r="BD486"/>
      <c r="BE486"/>
    </row>
    <row r="487" spans="2:57">
      <c r="B487" s="1162" t="s">
        <v>2118</v>
      </c>
      <c r="D487" s="1162" t="s">
        <v>2113</v>
      </c>
      <c r="AV487"/>
      <c r="AW487"/>
      <c r="AX487"/>
      <c r="AY487"/>
      <c r="AZ487"/>
      <c r="BA487"/>
      <c r="BB487"/>
      <c r="BC487"/>
      <c r="BD487"/>
      <c r="BE487"/>
    </row>
    <row r="488" spans="2:57">
      <c r="B488" s="1162" t="s">
        <v>2119</v>
      </c>
      <c r="D488" s="1162" t="s">
        <v>2113</v>
      </c>
      <c r="AV488"/>
      <c r="AW488"/>
      <c r="AX488"/>
      <c r="AY488"/>
      <c r="AZ488"/>
      <c r="BA488"/>
      <c r="BB488"/>
      <c r="BC488"/>
      <c r="BD488"/>
      <c r="BE488"/>
    </row>
    <row r="489" spans="2:57">
      <c r="B489" s="1162" t="s">
        <v>2120</v>
      </c>
      <c r="D489" s="1162" t="s">
        <v>2113</v>
      </c>
      <c r="AV489"/>
      <c r="AW489"/>
      <c r="AX489"/>
      <c r="AY489"/>
      <c r="AZ489"/>
      <c r="BA489"/>
      <c r="BB489"/>
      <c r="BC489"/>
      <c r="BD489"/>
      <c r="BE489"/>
    </row>
    <row r="490" spans="2:57">
      <c r="B490" s="1162" t="s">
        <v>2121</v>
      </c>
      <c r="D490" s="1162" t="s">
        <v>2113</v>
      </c>
      <c r="AV490"/>
      <c r="AW490"/>
      <c r="AX490"/>
      <c r="AY490"/>
      <c r="AZ490"/>
      <c r="BA490"/>
      <c r="BB490"/>
      <c r="BC490"/>
      <c r="BD490"/>
      <c r="BE490"/>
    </row>
    <row r="491" spans="2:57">
      <c r="B491" s="1162" t="s">
        <v>2122</v>
      </c>
      <c r="D491" s="1162" t="s">
        <v>2113</v>
      </c>
      <c r="AV491"/>
      <c r="AW491"/>
      <c r="AX491"/>
      <c r="AY491"/>
      <c r="AZ491"/>
      <c r="BA491"/>
      <c r="BB491"/>
      <c r="BC491"/>
      <c r="BD491"/>
      <c r="BE491"/>
    </row>
    <row r="492" spans="2:57">
      <c r="B492" s="1162" t="s">
        <v>2123</v>
      </c>
      <c r="D492" s="1162" t="s">
        <v>2113</v>
      </c>
      <c r="AV492"/>
      <c r="AW492"/>
      <c r="AX492"/>
      <c r="AY492"/>
      <c r="AZ492"/>
      <c r="BA492"/>
      <c r="BB492"/>
      <c r="BC492"/>
      <c r="BD492"/>
      <c r="BE492"/>
    </row>
    <row r="493" spans="2:57">
      <c r="B493" s="1162" t="s">
        <v>2124</v>
      </c>
      <c r="D493" s="1162" t="s">
        <v>2113</v>
      </c>
      <c r="AV493"/>
      <c r="AW493"/>
      <c r="AX493"/>
      <c r="AY493"/>
      <c r="AZ493"/>
      <c r="BA493"/>
      <c r="BB493"/>
      <c r="BC493"/>
      <c r="BD493"/>
      <c r="BE493"/>
    </row>
    <row r="494" spans="2:57">
      <c r="B494" s="1162" t="s">
        <v>2125</v>
      </c>
      <c r="D494" s="1162" t="s">
        <v>2113</v>
      </c>
      <c r="AV494"/>
      <c r="AW494"/>
      <c r="AX494"/>
      <c r="AY494"/>
      <c r="AZ494"/>
      <c r="BA494"/>
      <c r="BB494"/>
      <c r="BC494"/>
      <c r="BD494"/>
      <c r="BE494"/>
    </row>
    <row r="495" spans="2:57">
      <c r="B495" s="1162" t="s">
        <v>2090</v>
      </c>
      <c r="D495" s="1162" t="s">
        <v>2113</v>
      </c>
      <c r="AV495"/>
      <c r="AW495"/>
      <c r="AX495"/>
      <c r="AY495"/>
      <c r="AZ495"/>
      <c r="BA495"/>
      <c r="BB495"/>
      <c r="BC495"/>
      <c r="BD495"/>
      <c r="BE495"/>
    </row>
    <row r="496" spans="2:57">
      <c r="B496" s="1162" t="s">
        <v>738</v>
      </c>
      <c r="AV496"/>
      <c r="AW496"/>
      <c r="AX496"/>
      <c r="AY496"/>
      <c r="AZ496"/>
      <c r="BA496"/>
      <c r="BB496"/>
      <c r="BC496"/>
      <c r="BD496"/>
      <c r="BE496"/>
    </row>
    <row r="497" spans="2:57">
      <c r="B497" s="1162" t="s">
        <v>2126</v>
      </c>
      <c r="D497" s="1162" t="s">
        <v>2127</v>
      </c>
      <c r="AV497"/>
      <c r="AW497"/>
      <c r="AX497"/>
      <c r="AY497"/>
      <c r="AZ497"/>
      <c r="BA497"/>
      <c r="BB497"/>
      <c r="BC497"/>
      <c r="BD497"/>
      <c r="BE497"/>
    </row>
    <row r="498" spans="2:57">
      <c r="B498" s="1162" t="s">
        <v>2128</v>
      </c>
      <c r="D498" s="1162" t="s">
        <v>2127</v>
      </c>
      <c r="AV498"/>
      <c r="AW498"/>
      <c r="AX498"/>
      <c r="AY498"/>
      <c r="AZ498"/>
      <c r="BA498"/>
      <c r="BB498"/>
      <c r="BC498"/>
      <c r="BD498"/>
      <c r="BE498"/>
    </row>
    <row r="499" spans="2:57">
      <c r="B499" s="1162" t="s">
        <v>2129</v>
      </c>
      <c r="D499" s="1162" t="s">
        <v>2127</v>
      </c>
      <c r="AV499"/>
      <c r="AW499"/>
      <c r="AX499"/>
      <c r="AY499"/>
      <c r="AZ499"/>
      <c r="BA499"/>
      <c r="BB499"/>
      <c r="BC499"/>
      <c r="BD499"/>
      <c r="BE499"/>
    </row>
    <row r="500" spans="2:57">
      <c r="B500" s="1162" t="s">
        <v>2130</v>
      </c>
      <c r="D500" s="1162" t="s">
        <v>2127</v>
      </c>
      <c r="AV500"/>
      <c r="AW500"/>
      <c r="AX500"/>
      <c r="AY500"/>
      <c r="AZ500"/>
      <c r="BA500"/>
      <c r="BB500"/>
      <c r="BC500"/>
      <c r="BD500"/>
      <c r="BE500"/>
    </row>
    <row r="501" spans="2:57">
      <c r="B501" s="1162" t="s">
        <v>2131</v>
      </c>
      <c r="D501" s="1162" t="s">
        <v>2127</v>
      </c>
      <c r="AV501"/>
      <c r="AW501"/>
      <c r="AX501"/>
      <c r="AY501"/>
      <c r="AZ501"/>
      <c r="BA501"/>
      <c r="BB501"/>
      <c r="BC501"/>
      <c r="BD501"/>
      <c r="BE501"/>
    </row>
    <row r="502" spans="2:57">
      <c r="B502" s="1162" t="s">
        <v>2132</v>
      </c>
      <c r="D502" s="1162" t="s">
        <v>2127</v>
      </c>
      <c r="AV502"/>
      <c r="AW502"/>
      <c r="AX502"/>
      <c r="AY502"/>
      <c r="AZ502"/>
      <c r="BA502"/>
      <c r="BB502"/>
      <c r="BC502"/>
      <c r="BD502"/>
      <c r="BE502"/>
    </row>
    <row r="503" spans="2:57">
      <c r="B503" s="1162" t="s">
        <v>2133</v>
      </c>
      <c r="D503" s="1162" t="s">
        <v>2127</v>
      </c>
      <c r="AV503"/>
      <c r="AW503"/>
      <c r="AX503"/>
      <c r="AY503"/>
      <c r="AZ503"/>
      <c r="BA503"/>
      <c r="BB503"/>
      <c r="BC503"/>
      <c r="BD503"/>
      <c r="BE503"/>
    </row>
    <row r="504" spans="2:57">
      <c r="B504" s="1162" t="s">
        <v>2134</v>
      </c>
      <c r="D504" s="1162" t="s">
        <v>2127</v>
      </c>
      <c r="AV504"/>
      <c r="AW504"/>
      <c r="AX504"/>
      <c r="AY504"/>
      <c r="AZ504"/>
      <c r="BA504"/>
      <c r="BB504"/>
      <c r="BC504"/>
      <c r="BD504"/>
      <c r="BE504"/>
    </row>
    <row r="505" spans="2:57">
      <c r="B505" s="1162" t="s">
        <v>738</v>
      </c>
      <c r="AV505"/>
      <c r="AW505"/>
      <c r="AX505"/>
      <c r="AY505"/>
      <c r="AZ505"/>
      <c r="BA505"/>
      <c r="BB505"/>
      <c r="BC505"/>
      <c r="BD505"/>
      <c r="BE505"/>
    </row>
    <row r="506" spans="2:57">
      <c r="B506" s="1162" t="s">
        <v>2135</v>
      </c>
      <c r="D506" s="1162" t="s">
        <v>2136</v>
      </c>
      <c r="AV506"/>
      <c r="AW506"/>
      <c r="AX506"/>
      <c r="AY506"/>
      <c r="AZ506"/>
      <c r="BA506"/>
      <c r="BB506"/>
      <c r="BC506"/>
      <c r="BD506"/>
      <c r="BE506"/>
    </row>
    <row r="507" spans="2:57">
      <c r="B507" s="1162" t="s">
        <v>2137</v>
      </c>
      <c r="D507" s="1162" t="s">
        <v>2136</v>
      </c>
      <c r="AV507"/>
      <c r="AW507"/>
      <c r="AX507"/>
      <c r="AY507"/>
      <c r="AZ507"/>
      <c r="BA507"/>
      <c r="BB507"/>
      <c r="BC507"/>
      <c r="BD507"/>
      <c r="BE507"/>
    </row>
    <row r="508" spans="2:4">
      <c r="B508" s="1162" t="s">
        <v>2138</v>
      </c>
      <c r="D508" s="1162" t="s">
        <v>2136</v>
      </c>
    </row>
    <row r="509" spans="2:4">
      <c r="B509" s="1162" t="s">
        <v>2139</v>
      </c>
      <c r="D509" s="1162" t="s">
        <v>2136</v>
      </c>
    </row>
    <row r="510" spans="2:4">
      <c r="B510" s="1162" t="s">
        <v>2140</v>
      </c>
      <c r="D510" s="1162" t="s">
        <v>2136</v>
      </c>
    </row>
    <row r="511" spans="2:4">
      <c r="B511" s="1162" t="s">
        <v>2141</v>
      </c>
      <c r="D511" s="1162" t="s">
        <v>2136</v>
      </c>
    </row>
    <row r="512" spans="2:4">
      <c r="B512" s="1162" t="s">
        <v>2142</v>
      </c>
      <c r="D512" s="1162" t="s">
        <v>2136</v>
      </c>
    </row>
    <row r="513" spans="2:4">
      <c r="B513" s="1162" t="s">
        <v>2143</v>
      </c>
      <c r="D513" s="1162" t="s">
        <v>2136</v>
      </c>
    </row>
    <row r="514" spans="2:4">
      <c r="B514" s="1162" t="s">
        <v>2144</v>
      </c>
      <c r="D514" s="1162" t="s">
        <v>2136</v>
      </c>
    </row>
    <row r="515" spans="2:4">
      <c r="B515" s="1162" t="s">
        <v>2145</v>
      </c>
      <c r="D515" s="1162" t="s">
        <v>2136</v>
      </c>
    </row>
    <row r="516" spans="2:4">
      <c r="B516" s="1162" t="s">
        <v>2146</v>
      </c>
      <c r="D516" s="1162" t="s">
        <v>2136</v>
      </c>
    </row>
    <row r="518" spans="2:4">
      <c r="B518" s="1162" t="s">
        <v>738</v>
      </c>
      <c r="D518" s="1162" t="s">
        <v>2147</v>
      </c>
    </row>
    <row r="519" spans="2:4">
      <c r="B519" s="1162" t="s">
        <v>2078</v>
      </c>
      <c r="D519" s="1162" t="s">
        <v>2147</v>
      </c>
    </row>
    <row r="520" spans="2:4">
      <c r="B520" s="1162" t="s">
        <v>2148</v>
      </c>
      <c r="D520" s="1162" t="s">
        <v>2147</v>
      </c>
    </row>
    <row r="521" spans="2:4">
      <c r="B521" s="1162" t="s">
        <v>2081</v>
      </c>
      <c r="D521" s="1162" t="s">
        <v>2147</v>
      </c>
    </row>
    <row r="522" spans="2:4">
      <c r="B522" s="1162" t="s">
        <v>2149</v>
      </c>
      <c r="D522" s="1162" t="s">
        <v>2147</v>
      </c>
    </row>
    <row r="523" spans="2:4">
      <c r="B523" s="1162" t="s">
        <v>2150</v>
      </c>
      <c r="D523" s="1162" t="s">
        <v>2147</v>
      </c>
    </row>
    <row r="524" spans="2:4">
      <c r="B524" s="1162" t="s">
        <v>2151</v>
      </c>
      <c r="D524" s="1162" t="s">
        <v>2147</v>
      </c>
    </row>
    <row r="525" spans="2:4">
      <c r="B525" s="1162" t="s">
        <v>2152</v>
      </c>
      <c r="D525" s="1162" t="s">
        <v>2147</v>
      </c>
    </row>
    <row r="526" spans="2:4">
      <c r="B526" s="1162" t="s">
        <v>2153</v>
      </c>
      <c r="D526" s="1162" t="s">
        <v>2147</v>
      </c>
    </row>
    <row r="527" spans="2:4">
      <c r="B527" s="1162" t="s">
        <v>2154</v>
      </c>
      <c r="D527" s="1162" t="s">
        <v>2147</v>
      </c>
    </row>
    <row r="528" spans="2:4">
      <c r="B528" s="1162" t="s">
        <v>1571</v>
      </c>
      <c r="D528" s="1162" t="s">
        <v>2147</v>
      </c>
    </row>
    <row r="529" spans="2:4">
      <c r="B529" s="1162" t="s">
        <v>2155</v>
      </c>
      <c r="D529" s="1162" t="s">
        <v>2147</v>
      </c>
    </row>
    <row r="530" spans="2:4">
      <c r="B530" s="1162" t="s">
        <v>2156</v>
      </c>
      <c r="D530" s="1162" t="s">
        <v>2147</v>
      </c>
    </row>
    <row r="531" spans="2:4">
      <c r="B531" s="1162" t="s">
        <v>2157</v>
      </c>
      <c r="D531" s="1162" t="s">
        <v>2147</v>
      </c>
    </row>
    <row r="532" spans="2:4">
      <c r="B532" s="1162" t="s">
        <v>2158</v>
      </c>
      <c r="D532" s="1162" t="s">
        <v>2147</v>
      </c>
    </row>
    <row r="533" spans="2:4">
      <c r="B533" s="1162" t="s">
        <v>2159</v>
      </c>
      <c r="D533" s="1162" t="s">
        <v>2147</v>
      </c>
    </row>
    <row r="534" spans="2:4">
      <c r="B534" s="1162" t="s">
        <v>2160</v>
      </c>
      <c r="D534" s="1162" t="s">
        <v>2147</v>
      </c>
    </row>
    <row r="535" spans="2:4">
      <c r="B535" s="1162" t="s">
        <v>2161</v>
      </c>
      <c r="D535" s="1162" t="s">
        <v>2147</v>
      </c>
    </row>
    <row r="536" spans="2:4">
      <c r="B536" s="1162" t="s">
        <v>2162</v>
      </c>
      <c r="D536" s="1162" t="s">
        <v>2147</v>
      </c>
    </row>
    <row r="537" spans="2:4">
      <c r="B537" s="1162" t="s">
        <v>2163</v>
      </c>
      <c r="D537" s="1162" t="s">
        <v>2147</v>
      </c>
    </row>
    <row r="538" spans="2:4">
      <c r="B538" s="1162" t="s">
        <v>2095</v>
      </c>
      <c r="D538" s="1162" t="s">
        <v>2147</v>
      </c>
    </row>
    <row r="539" spans="2:2">
      <c r="B539" s="1162" t="s">
        <v>738</v>
      </c>
    </row>
    <row r="540" spans="2:4">
      <c r="B540" s="1162" t="s">
        <v>2085</v>
      </c>
      <c r="D540" s="1162" t="s">
        <v>2164</v>
      </c>
    </row>
    <row r="541" spans="2:4">
      <c r="B541" s="1162" t="s">
        <v>2165</v>
      </c>
      <c r="D541" s="1162" t="s">
        <v>2164</v>
      </c>
    </row>
    <row r="542" spans="2:4">
      <c r="B542" s="1162" t="s">
        <v>2166</v>
      </c>
      <c r="D542" s="1162" t="s">
        <v>2164</v>
      </c>
    </row>
    <row r="543" spans="2:4">
      <c r="B543" s="1162" t="s">
        <v>2167</v>
      </c>
      <c r="D543" s="1162" t="s">
        <v>2164</v>
      </c>
    </row>
    <row r="544" spans="2:4">
      <c r="B544" s="1162" t="s">
        <v>2168</v>
      </c>
      <c r="D544" s="1162" t="s">
        <v>2164</v>
      </c>
    </row>
    <row r="545" spans="2:4">
      <c r="B545" s="1162" t="s">
        <v>2169</v>
      </c>
      <c r="D545" s="1162" t="s">
        <v>2164</v>
      </c>
    </row>
    <row r="546" spans="2:4">
      <c r="B546" s="1162" t="s">
        <v>2170</v>
      </c>
      <c r="D546" s="1162" t="s">
        <v>2164</v>
      </c>
    </row>
    <row r="547" spans="2:4">
      <c r="B547" s="1162" t="s">
        <v>2171</v>
      </c>
      <c r="D547" s="1162" t="s">
        <v>2164</v>
      </c>
    </row>
    <row r="548" spans="2:4">
      <c r="B548" s="1162" t="s">
        <v>2172</v>
      </c>
      <c r="D548" s="1162" t="s">
        <v>2164</v>
      </c>
    </row>
    <row r="549" spans="2:4">
      <c r="B549" s="1162" t="s">
        <v>2173</v>
      </c>
      <c r="D549" s="1162" t="s">
        <v>2164</v>
      </c>
    </row>
    <row r="550" spans="2:4">
      <c r="B550" s="1162" t="s">
        <v>2174</v>
      </c>
      <c r="D550" s="1162" t="s">
        <v>2164</v>
      </c>
    </row>
    <row r="551" spans="2:4">
      <c r="B551" s="1162" t="s">
        <v>2175</v>
      </c>
      <c r="D551" s="1162" t="s">
        <v>2164</v>
      </c>
    </row>
    <row r="552" spans="2:4">
      <c r="B552" s="1162" t="s">
        <v>2176</v>
      </c>
      <c r="D552" s="1162" t="s">
        <v>2164</v>
      </c>
    </row>
    <row r="553" spans="2:4">
      <c r="B553" s="1162" t="s">
        <v>2177</v>
      </c>
      <c r="D553" s="1162" t="s">
        <v>2164</v>
      </c>
    </row>
    <row r="554" spans="2:4">
      <c r="B554" s="1162" t="s">
        <v>2178</v>
      </c>
      <c r="D554" s="1162" t="s">
        <v>2164</v>
      </c>
    </row>
    <row r="555" spans="2:4">
      <c r="B555" s="1162" t="s">
        <v>2179</v>
      </c>
      <c r="D555" s="1162" t="s">
        <v>2164</v>
      </c>
    </row>
    <row r="556" spans="2:4">
      <c r="B556" s="1162" t="s">
        <v>2180</v>
      </c>
      <c r="D556" s="1162" t="s">
        <v>2164</v>
      </c>
    </row>
    <row r="557" spans="2:4">
      <c r="B557" s="1162" t="s">
        <v>2181</v>
      </c>
      <c r="D557" s="1162" t="s">
        <v>2164</v>
      </c>
    </row>
    <row r="558" spans="2:4">
      <c r="B558" s="1162" t="s">
        <v>2182</v>
      </c>
      <c r="D558" s="1162" t="s">
        <v>2164</v>
      </c>
    </row>
    <row r="559" spans="2:4">
      <c r="B559" s="1162" t="s">
        <v>2183</v>
      </c>
      <c r="D559" s="1162" t="s">
        <v>2164</v>
      </c>
    </row>
    <row r="560" spans="2:4">
      <c r="B560" s="1162" t="s">
        <v>2184</v>
      </c>
      <c r="D560" s="1162" t="s">
        <v>2164</v>
      </c>
    </row>
    <row r="561" spans="2:4">
      <c r="B561" s="1162" t="s">
        <v>2185</v>
      </c>
      <c r="D561" s="1162" t="s">
        <v>2164</v>
      </c>
    </row>
    <row r="562" spans="2:4">
      <c r="B562" s="1162" t="s">
        <v>2186</v>
      </c>
      <c r="D562" s="1162" t="s">
        <v>2164</v>
      </c>
    </row>
    <row r="563" spans="2:4">
      <c r="B563" s="1162" t="s">
        <v>2187</v>
      </c>
      <c r="D563" s="1162" t="s">
        <v>2164</v>
      </c>
    </row>
    <row r="564" spans="2:4">
      <c r="B564" s="1162" t="s">
        <v>2188</v>
      </c>
      <c r="D564" s="1162" t="s">
        <v>2164</v>
      </c>
    </row>
    <row r="565" spans="2:4">
      <c r="B565" s="1162" t="s">
        <v>2189</v>
      </c>
      <c r="D565" s="1162" t="s">
        <v>2164</v>
      </c>
    </row>
    <row r="566" spans="2:2">
      <c r="B566" s="1162" t="s">
        <v>738</v>
      </c>
    </row>
    <row r="567" spans="2:4">
      <c r="B567" s="1162" t="s">
        <v>2190</v>
      </c>
      <c r="D567" s="1162" t="s">
        <v>2191</v>
      </c>
    </row>
    <row r="568" spans="2:4">
      <c r="B568" s="1162" t="s">
        <v>2192</v>
      </c>
      <c r="D568" s="1162" t="s">
        <v>2191</v>
      </c>
    </row>
    <row r="569" spans="2:4">
      <c r="B569" s="1162" t="s">
        <v>2193</v>
      </c>
      <c r="D569" s="1162" t="s">
        <v>2191</v>
      </c>
    </row>
    <row r="570" spans="2:4">
      <c r="B570" s="1162" t="s">
        <v>2194</v>
      </c>
      <c r="D570" s="1162" t="s">
        <v>2191</v>
      </c>
    </row>
    <row r="571" spans="2:4">
      <c r="B571" s="1162" t="s">
        <v>2195</v>
      </c>
      <c r="D571" s="1162" t="s">
        <v>2191</v>
      </c>
    </row>
    <row r="572" spans="2:4">
      <c r="B572" s="1162" t="s">
        <v>1660</v>
      </c>
      <c r="D572" s="1162" t="s">
        <v>2191</v>
      </c>
    </row>
    <row r="573" spans="2:4">
      <c r="B573" s="1162" t="s">
        <v>2196</v>
      </c>
      <c r="D573" s="1162" t="s">
        <v>2191</v>
      </c>
    </row>
    <row r="574" spans="2:4">
      <c r="B574" s="1162" t="s">
        <v>2197</v>
      </c>
      <c r="D574" s="1162" t="s">
        <v>2191</v>
      </c>
    </row>
    <row r="575" spans="2:4">
      <c r="B575" s="1162" t="s">
        <v>2198</v>
      </c>
      <c r="D575" s="1162" t="s">
        <v>2191</v>
      </c>
    </row>
    <row r="576" spans="2:4">
      <c r="B576" s="1162" t="s">
        <v>2199</v>
      </c>
      <c r="D576" s="1162" t="s">
        <v>2191</v>
      </c>
    </row>
    <row r="577" spans="2:4">
      <c r="B577" s="1162" t="s">
        <v>2200</v>
      </c>
      <c r="D577" s="1162" t="s">
        <v>2191</v>
      </c>
    </row>
    <row r="578" spans="2:2">
      <c r="B578" s="1162" t="s">
        <v>738</v>
      </c>
    </row>
    <row r="579" spans="2:4">
      <c r="B579" s="1162" t="s">
        <v>2201</v>
      </c>
      <c r="D579" s="1162" t="s">
        <v>2202</v>
      </c>
    </row>
    <row r="580" spans="2:4">
      <c r="B580" s="1162" t="s">
        <v>2094</v>
      </c>
      <c r="D580" s="1162" t="s">
        <v>2202</v>
      </c>
    </row>
    <row r="581" spans="2:4">
      <c r="B581" s="1162" t="s">
        <v>2203</v>
      </c>
      <c r="D581" s="1162" t="s">
        <v>2202</v>
      </c>
    </row>
    <row r="582" spans="2:4">
      <c r="B582" s="1162" t="s">
        <v>2204</v>
      </c>
      <c r="D582" s="1162" t="s">
        <v>2202</v>
      </c>
    </row>
    <row r="583" spans="2:4">
      <c r="B583" s="1162" t="s">
        <v>2205</v>
      </c>
      <c r="D583" s="1162" t="s">
        <v>2202</v>
      </c>
    </row>
    <row r="584" spans="2:4">
      <c r="B584" s="1162" t="s">
        <v>2206</v>
      </c>
      <c r="D584" s="1162" t="s">
        <v>2202</v>
      </c>
    </row>
    <row r="585" spans="2:4">
      <c r="B585" s="1162" t="s">
        <v>2207</v>
      </c>
      <c r="D585" s="1162" t="s">
        <v>2202</v>
      </c>
    </row>
    <row r="586" spans="2:4">
      <c r="B586" s="1162" t="s">
        <v>2208</v>
      </c>
      <c r="D586" s="1162" t="s">
        <v>2202</v>
      </c>
    </row>
    <row r="587" spans="2:4">
      <c r="B587" s="1162" t="s">
        <v>1629</v>
      </c>
      <c r="D587" s="1162" t="s">
        <v>2202</v>
      </c>
    </row>
    <row r="588" spans="2:4">
      <c r="B588" s="1162" t="s">
        <v>2209</v>
      </c>
      <c r="D588" s="1162" t="s">
        <v>2202</v>
      </c>
    </row>
    <row r="589" spans="2:4">
      <c r="B589" s="1162" t="s">
        <v>2210</v>
      </c>
      <c r="D589" s="1162" t="s">
        <v>2202</v>
      </c>
    </row>
    <row r="590" spans="2:4">
      <c r="B590" s="1162" t="s">
        <v>2211</v>
      </c>
      <c r="D590" s="1162" t="s">
        <v>2202</v>
      </c>
    </row>
    <row r="591" spans="2:4">
      <c r="B591" s="1162" t="s">
        <v>2212</v>
      </c>
      <c r="D591" s="1162" t="s">
        <v>2202</v>
      </c>
    </row>
    <row r="592" spans="2:4">
      <c r="B592" s="1162" t="s">
        <v>2129</v>
      </c>
      <c r="D592" s="1162" t="s">
        <v>2202</v>
      </c>
    </row>
    <row r="593" spans="2:4">
      <c r="B593" s="1162" t="s">
        <v>2213</v>
      </c>
      <c r="D593" s="1162" t="s">
        <v>2202</v>
      </c>
    </row>
    <row r="594" spans="2:4">
      <c r="B594" s="1162" t="s">
        <v>2214</v>
      </c>
      <c r="D594" s="1162" t="s">
        <v>2202</v>
      </c>
    </row>
    <row r="595" spans="2:4">
      <c r="B595" s="1162" t="s">
        <v>2142</v>
      </c>
      <c r="D595" s="1162" t="s">
        <v>2202</v>
      </c>
    </row>
    <row r="596" spans="2:4">
      <c r="B596" s="1162" t="s">
        <v>2215</v>
      </c>
      <c r="D596" s="1162" t="s">
        <v>2202</v>
      </c>
    </row>
    <row r="597" spans="2:4">
      <c r="B597" s="1162" t="s">
        <v>2126</v>
      </c>
      <c r="D597" s="1162" t="s">
        <v>2202</v>
      </c>
    </row>
    <row r="598" spans="2:4">
      <c r="B598" s="1162" t="s">
        <v>2187</v>
      </c>
      <c r="D598" s="1162" t="s">
        <v>2202</v>
      </c>
    </row>
    <row r="599" spans="2:4">
      <c r="B599" s="1162" t="s">
        <v>2034</v>
      </c>
      <c r="D599" s="1162" t="s">
        <v>2202</v>
      </c>
    </row>
    <row r="600" spans="2:4">
      <c r="B600" s="1162" t="s">
        <v>2216</v>
      </c>
      <c r="D600" s="1162" t="s">
        <v>2202</v>
      </c>
    </row>
    <row r="601" spans="2:4">
      <c r="B601" s="1162" t="s">
        <v>2217</v>
      </c>
      <c r="D601" s="1162" t="s">
        <v>2202</v>
      </c>
    </row>
    <row r="602" spans="2:4">
      <c r="B602" s="1162" t="s">
        <v>2218</v>
      </c>
      <c r="D602" s="1162" t="s">
        <v>2202</v>
      </c>
    </row>
    <row r="603" spans="2:4">
      <c r="B603" s="1162" t="s">
        <v>2219</v>
      </c>
      <c r="D603" s="1162" t="s">
        <v>2202</v>
      </c>
    </row>
    <row r="604" spans="2:4">
      <c r="B604" s="1162" t="s">
        <v>2220</v>
      </c>
      <c r="D604" s="1162" t="s">
        <v>2202</v>
      </c>
    </row>
    <row r="605" spans="2:4">
      <c r="B605" s="1162" t="s">
        <v>2221</v>
      </c>
      <c r="D605" s="1162" t="s">
        <v>2202</v>
      </c>
    </row>
    <row r="606" spans="2:4">
      <c r="B606" s="1162" t="s">
        <v>2222</v>
      </c>
      <c r="D606" s="1162" t="s">
        <v>2202</v>
      </c>
    </row>
    <row r="607" spans="2:4">
      <c r="B607" s="1162" t="s">
        <v>2223</v>
      </c>
      <c r="D607" s="1162" t="s">
        <v>2202</v>
      </c>
    </row>
    <row r="608" spans="2:4">
      <c r="B608" s="1162" t="s">
        <v>2224</v>
      </c>
      <c r="D608" s="1162" t="s">
        <v>2202</v>
      </c>
    </row>
    <row r="609" spans="2:4">
      <c r="B609" s="1162" t="s">
        <v>2225</v>
      </c>
      <c r="D609" s="1162" t="s">
        <v>2202</v>
      </c>
    </row>
    <row r="610" spans="2:4">
      <c r="B610" s="1162" t="s">
        <v>2226</v>
      </c>
      <c r="D610" s="1162" t="s">
        <v>2202</v>
      </c>
    </row>
    <row r="611" spans="2:4">
      <c r="B611" s="1162" t="s">
        <v>1617</v>
      </c>
      <c r="D611" s="1162" t="s">
        <v>2202</v>
      </c>
    </row>
    <row r="612" spans="2:4">
      <c r="B612" s="1162" t="s">
        <v>2227</v>
      </c>
      <c r="D612" s="1162" t="s">
        <v>2202</v>
      </c>
    </row>
    <row r="613" spans="2:4">
      <c r="B613" s="1162" t="s">
        <v>2228</v>
      </c>
      <c r="D613" s="1162" t="s">
        <v>2202</v>
      </c>
    </row>
    <row r="614" spans="2:4">
      <c r="B614" s="1162" t="s">
        <v>2229</v>
      </c>
      <c r="D614" s="1162" t="s">
        <v>2202</v>
      </c>
    </row>
    <row r="615" spans="2:4">
      <c r="B615" s="1162" t="s">
        <v>2230</v>
      </c>
      <c r="D615" s="1162" t="s">
        <v>2202</v>
      </c>
    </row>
    <row r="616" spans="2:4">
      <c r="B616" s="1162" t="s">
        <v>2231</v>
      </c>
      <c r="D616" s="1162" t="s">
        <v>2202</v>
      </c>
    </row>
    <row r="617" spans="2:4">
      <c r="B617" s="1162" t="s">
        <v>1686</v>
      </c>
      <c r="D617" s="1162" t="s">
        <v>2202</v>
      </c>
    </row>
    <row r="618" spans="2:4">
      <c r="B618" s="1162" t="s">
        <v>2232</v>
      </c>
      <c r="D618" s="1162" t="s">
        <v>2202</v>
      </c>
    </row>
    <row r="619" spans="2:4">
      <c r="B619" s="1162" t="s">
        <v>2233</v>
      </c>
      <c r="D619" s="1162" t="s">
        <v>2202</v>
      </c>
    </row>
    <row r="620" spans="2:4">
      <c r="B620" s="1162" t="s">
        <v>2234</v>
      </c>
      <c r="D620" s="1162" t="s">
        <v>2202</v>
      </c>
    </row>
    <row r="621" spans="2:4">
      <c r="B621" s="1162" t="s">
        <v>2235</v>
      </c>
      <c r="D621" s="1162" t="s">
        <v>2202</v>
      </c>
    </row>
    <row r="622" spans="2:4">
      <c r="B622" s="1162" t="s">
        <v>2236</v>
      </c>
      <c r="D622" s="1162" t="s">
        <v>2202</v>
      </c>
    </row>
    <row r="623" spans="2:4">
      <c r="B623" s="1162" t="s">
        <v>2237</v>
      </c>
      <c r="D623" s="1162" t="s">
        <v>2202</v>
      </c>
    </row>
    <row r="624" spans="2:4">
      <c r="B624" s="1162" t="s">
        <v>2238</v>
      </c>
      <c r="D624" s="1162" t="s">
        <v>2202</v>
      </c>
    </row>
    <row r="625" spans="2:4">
      <c r="B625" s="1162" t="s">
        <v>2239</v>
      </c>
      <c r="D625" s="1162" t="s">
        <v>2202</v>
      </c>
    </row>
    <row r="626" spans="2:4">
      <c r="B626" s="1162" t="s">
        <v>2240</v>
      </c>
      <c r="D626" s="1162" t="s">
        <v>2202</v>
      </c>
    </row>
    <row r="627" spans="2:4">
      <c r="B627" s="1162" t="s">
        <v>2241</v>
      </c>
      <c r="D627" s="1162" t="s">
        <v>2202</v>
      </c>
    </row>
    <row r="628" spans="2:4">
      <c r="B628" s="1162" t="s">
        <v>2242</v>
      </c>
      <c r="D628" s="1162" t="s">
        <v>2202</v>
      </c>
    </row>
    <row r="629" spans="2:2">
      <c r="B629" s="1162" t="s">
        <v>738</v>
      </c>
    </row>
    <row r="630" spans="2:4">
      <c r="B630" s="1162" t="s">
        <v>2243</v>
      </c>
      <c r="D630" s="1162" t="s">
        <v>2244</v>
      </c>
    </row>
    <row r="631" spans="2:4">
      <c r="B631" s="1162" t="s">
        <v>2056</v>
      </c>
      <c r="D631" s="1162" t="s">
        <v>2244</v>
      </c>
    </row>
    <row r="632" spans="2:4">
      <c r="B632" s="1162" t="s">
        <v>2245</v>
      </c>
      <c r="D632" s="1162" t="s">
        <v>2244</v>
      </c>
    </row>
    <row r="633" spans="2:4">
      <c r="B633" s="1162" t="s">
        <v>2192</v>
      </c>
      <c r="D633" s="1162" t="s">
        <v>2244</v>
      </c>
    </row>
    <row r="634" spans="2:4">
      <c r="B634" s="1162" t="s">
        <v>2246</v>
      </c>
      <c r="D634" s="1162" t="s">
        <v>2244</v>
      </c>
    </row>
    <row r="635" spans="2:4">
      <c r="B635" s="1162" t="s">
        <v>2247</v>
      </c>
      <c r="D635" s="1162" t="s">
        <v>2244</v>
      </c>
    </row>
    <row r="636" spans="2:4">
      <c r="B636" s="1162" t="s">
        <v>2248</v>
      </c>
      <c r="D636" s="1162" t="s">
        <v>2244</v>
      </c>
    </row>
    <row r="637" spans="2:4">
      <c r="B637" s="1162" t="s">
        <v>2249</v>
      </c>
      <c r="D637" s="1162" t="s">
        <v>2244</v>
      </c>
    </row>
    <row r="638" spans="2:4">
      <c r="B638" s="1162" t="s">
        <v>2250</v>
      </c>
      <c r="D638" s="1162" t="s">
        <v>2244</v>
      </c>
    </row>
    <row r="639" spans="2:4">
      <c r="B639" s="1162" t="s">
        <v>2081</v>
      </c>
      <c r="D639" s="1162" t="s">
        <v>2244</v>
      </c>
    </row>
    <row r="640" spans="2:4">
      <c r="B640" s="1162" t="s">
        <v>2251</v>
      </c>
      <c r="D640" s="1162" t="s">
        <v>2244</v>
      </c>
    </row>
    <row r="641" spans="2:4">
      <c r="B641" s="1162" t="s">
        <v>2252</v>
      </c>
      <c r="D641" s="1162" t="s">
        <v>2244</v>
      </c>
    </row>
    <row r="642" spans="2:4">
      <c r="B642" s="1162" t="s">
        <v>2253</v>
      </c>
      <c r="D642" s="1162" t="s">
        <v>2244</v>
      </c>
    </row>
    <row r="643" spans="2:4">
      <c r="B643" s="1162" t="s">
        <v>2254</v>
      </c>
      <c r="D643" s="1162" t="s">
        <v>2244</v>
      </c>
    </row>
    <row r="644" spans="2:4">
      <c r="B644" s="1162" t="s">
        <v>2255</v>
      </c>
      <c r="D644" s="1162" t="s">
        <v>2244</v>
      </c>
    </row>
    <row r="645" spans="2:4">
      <c r="B645" s="1162" t="s">
        <v>2256</v>
      </c>
      <c r="D645" s="1162" t="s">
        <v>2244</v>
      </c>
    </row>
    <row r="646" spans="2:4">
      <c r="B646" s="1162" t="s">
        <v>2257</v>
      </c>
      <c r="D646" s="1162" t="s">
        <v>2244</v>
      </c>
    </row>
    <row r="647" spans="2:4">
      <c r="B647" s="1162" t="s">
        <v>2142</v>
      </c>
      <c r="D647" s="1162" t="s">
        <v>2244</v>
      </c>
    </row>
    <row r="648" spans="2:2">
      <c r="B648" s="1162" t="s">
        <v>738</v>
      </c>
    </row>
    <row r="649" spans="2:4">
      <c r="B649" s="1162" t="s">
        <v>2258</v>
      </c>
      <c r="D649" s="1162" t="s">
        <v>2259</v>
      </c>
    </row>
    <row r="650" spans="2:4">
      <c r="B650" s="1162" t="s">
        <v>2260</v>
      </c>
      <c r="D650" s="1162" t="s">
        <v>2259</v>
      </c>
    </row>
    <row r="651" spans="2:4">
      <c r="B651" s="1162" t="s">
        <v>2261</v>
      </c>
      <c r="D651" s="1162" t="s">
        <v>2259</v>
      </c>
    </row>
    <row r="652" spans="2:4">
      <c r="B652" s="1162" t="s">
        <v>2262</v>
      </c>
      <c r="D652" s="1162" t="s">
        <v>2259</v>
      </c>
    </row>
    <row r="653" spans="2:2">
      <c r="B653" s="1162" t="s">
        <v>738</v>
      </c>
    </row>
    <row r="654" spans="2:4">
      <c r="B654" s="1162" t="s">
        <v>2262</v>
      </c>
      <c r="D654" s="1162" t="s">
        <v>2263</v>
      </c>
    </row>
    <row r="655" spans="2:4">
      <c r="B655" s="1162" t="s">
        <v>2264</v>
      </c>
      <c r="D655" s="1162" t="s">
        <v>2263</v>
      </c>
    </row>
    <row r="656" spans="2:4">
      <c r="B656" s="1162" t="s">
        <v>2265</v>
      </c>
      <c r="D656" s="1162" t="s">
        <v>2263</v>
      </c>
    </row>
    <row r="657" spans="2:4">
      <c r="B657" s="1162" t="s">
        <v>2129</v>
      </c>
      <c r="D657" s="1162" t="s">
        <v>2263</v>
      </c>
    </row>
    <row r="658" spans="2:4">
      <c r="B658" s="1162" t="s">
        <v>2266</v>
      </c>
      <c r="D658" s="1162" t="s">
        <v>2263</v>
      </c>
    </row>
    <row r="659" spans="2:4">
      <c r="B659" s="1162" t="s">
        <v>2267</v>
      </c>
      <c r="D659" s="1162" t="s">
        <v>2263</v>
      </c>
    </row>
    <row r="660" spans="2:4">
      <c r="B660" s="1162" t="s">
        <v>2268</v>
      </c>
      <c r="D660" s="1162" t="s">
        <v>2263</v>
      </c>
    </row>
    <row r="661" spans="2:4">
      <c r="B661" s="1162" t="s">
        <v>1660</v>
      </c>
      <c r="D661" s="1162" t="s">
        <v>2263</v>
      </c>
    </row>
    <row r="662" spans="2:4">
      <c r="B662" s="1162" t="s">
        <v>2269</v>
      </c>
      <c r="D662" s="1162" t="s">
        <v>2263</v>
      </c>
    </row>
    <row r="663" spans="2:4">
      <c r="B663" s="1162" t="s">
        <v>2270</v>
      </c>
      <c r="D663" s="1162" t="s">
        <v>2263</v>
      </c>
    </row>
    <row r="664" spans="2:2">
      <c r="B664" s="1162" t="s">
        <v>738</v>
      </c>
    </row>
  </sheetData>
  <protectedRanges>
    <protectedRange sqref="M5:M7 H8:L8 G3:G8" name="技能表以上"/>
  </protectedRanges>
  <mergeCells count="92">
    <mergeCell ref="AJ1:AL1"/>
    <mergeCell ref="B2:E2"/>
    <mergeCell ref="S2:AI2"/>
    <mergeCell ref="N3:P3"/>
    <mergeCell ref="C9:E9"/>
    <mergeCell ref="B10:E10"/>
    <mergeCell ref="B18:G18"/>
    <mergeCell ref="E19:G19"/>
    <mergeCell ref="AA20:AD20"/>
    <mergeCell ref="AZ24:BB24"/>
    <mergeCell ref="E27:K27"/>
    <mergeCell ref="E28:K28"/>
    <mergeCell ref="E29:K29"/>
    <mergeCell ref="AD29:AE29"/>
    <mergeCell ref="E30:K30"/>
    <mergeCell ref="E31:K31"/>
    <mergeCell ref="E32:K32"/>
    <mergeCell ref="E34:K34"/>
    <mergeCell ref="I36:M36"/>
    <mergeCell ref="C38:E38"/>
    <mergeCell ref="S39:V39"/>
    <mergeCell ref="S40:V40"/>
    <mergeCell ref="S41:V41"/>
    <mergeCell ref="S42:V42"/>
    <mergeCell ref="S43:V43"/>
    <mergeCell ref="S44:V44"/>
    <mergeCell ref="E52:G52"/>
    <mergeCell ref="H52:I52"/>
    <mergeCell ref="J52:K52"/>
    <mergeCell ref="M217:N217"/>
    <mergeCell ref="O217:P217"/>
    <mergeCell ref="Q217:R217"/>
    <mergeCell ref="S217:T217"/>
    <mergeCell ref="U217:V217"/>
    <mergeCell ref="Z219:AH219"/>
    <mergeCell ref="Z221:AA221"/>
    <mergeCell ref="AE221:AG221"/>
    <mergeCell ref="Z222:AA222"/>
    <mergeCell ref="Z223:AA223"/>
    <mergeCell ref="Z224:AA224"/>
    <mergeCell ref="Z225:AA225"/>
    <mergeCell ref="Z226:AA226"/>
    <mergeCell ref="Z227:AA227"/>
    <mergeCell ref="Z228:AA228"/>
    <mergeCell ref="AE228:AG228"/>
    <mergeCell ref="Z229:AA229"/>
    <mergeCell ref="Z230:AA230"/>
    <mergeCell ref="Z231:AA231"/>
    <mergeCell ref="AE232:AG232"/>
    <mergeCell ref="Z233:AC233"/>
    <mergeCell ref="AE235:AG235"/>
    <mergeCell ref="AE238:AG238"/>
    <mergeCell ref="Z241:AG241"/>
    <mergeCell ref="O250:P250"/>
    <mergeCell ref="Q250:R250"/>
    <mergeCell ref="S250:T250"/>
    <mergeCell ref="U250:V250"/>
    <mergeCell ref="W250:X250"/>
    <mergeCell ref="M290:N290"/>
    <mergeCell ref="O290:P290"/>
    <mergeCell ref="Q290:R290"/>
    <mergeCell ref="S290:T290"/>
    <mergeCell ref="U290:V290"/>
    <mergeCell ref="A3:A4"/>
    <mergeCell ref="B3:B4"/>
    <mergeCell ref="C3:C4"/>
    <mergeCell ref="L94:L214"/>
    <mergeCell ref="Z14:Z18"/>
    <mergeCell ref="AF22:AF31"/>
    <mergeCell ref="AG22:AG31"/>
    <mergeCell ref="AH22:AH31"/>
    <mergeCell ref="AI22:AI31"/>
    <mergeCell ref="AJ22:AJ31"/>
    <mergeCell ref="AK22:AK31"/>
    <mergeCell ref="AL22:AL31"/>
    <mergeCell ref="AM22:AM31"/>
    <mergeCell ref="AN22:AN31"/>
    <mergeCell ref="AO22:AO31"/>
    <mergeCell ref="AP22:AP31"/>
    <mergeCell ref="AQ22:AQ31"/>
    <mergeCell ref="AR22:AR31"/>
    <mergeCell ref="AS22:AS31"/>
    <mergeCell ref="AV38:AV47"/>
    <mergeCell ref="BA14:BA23"/>
    <mergeCell ref="S46:V61"/>
    <mergeCell ref="S37:V38"/>
    <mergeCell ref="AB221:AC231"/>
    <mergeCell ref="S63:V74"/>
    <mergeCell ref="J53:K58"/>
    <mergeCell ref="S76:V87"/>
    <mergeCell ref="S24:V35"/>
    <mergeCell ref="E53:I58"/>
  </mergeCells>
  <conditionalFormatting sqref="AK4">
    <cfRule type="expression" dxfId="13" priority="2">
      <formula>"人物卡!$F$5=1"</formula>
    </cfRule>
  </conditionalFormatting>
  <conditionalFormatting sqref="S10">
    <cfRule type="expression" dxfId="13" priority="5">
      <formula>"人物卡!$F$5=1"</formula>
    </cfRule>
  </conditionalFormatting>
  <conditionalFormatting sqref="S12">
    <cfRule type="expression" dxfId="13" priority="1">
      <formula>"人物卡!$F$5=1"</formula>
    </cfRule>
  </conditionalFormatting>
  <conditionalFormatting sqref="AK5:AK11">
    <cfRule type="expression" dxfId="13" priority="3">
      <formula>"人物卡!$F$5=1"</formula>
    </cfRule>
  </conditionalFormatting>
  <conditionalFormatting sqref="AJ1 S11 S4:S9">
    <cfRule type="expression" dxfId="13" priority="6">
      <formula>"人物卡!$F$5=1"</formula>
    </cfRule>
  </conditionalFormatting>
  <dataValidations count="120">
    <dataValidation allowBlank="1" sqref="G14:O14" errorStyle="warning"/>
    <dataValidation allowBlank="1" showInputMessage="1" showErrorMessage="1" promptTitle="Accounting (05%)" prompt="- 使你理解会计工作的流程以及一个企业或者个人的金融职务。&#10;- 通过检查账簿，你可以发现做假账的员工，对资金的偷偷挪用，对行贿或者敲诈的款项支付，以及经济状况是否比表面陈述的更好或者更差。&#10;- 通过仔细检查旧账户，你可以了解过去的资金的得与失（谷物，奴隶贸易，威士忌酒的运营等）以及这些资金是付给了谁以及为了什么款项而支付。" sqref="X25"/>
    <dataValidation allowBlank="1" showInputMessage="1" showErrorMessage="1" promptTitle="Anthropology (01%)" prompt="- 使使用者能够通过观察来辨认和理解一个人的生活方式。&#10;- 如果技能使用者持续观察一个其他的文化一段时间，或者在有着关于某种已消失文化的正确资料环境下工作，那么他可以对文化方式以及道德习惯进行简单的预测，即使证据可能并不完整。&#10;- 通过学习文化一个月或者更久，人类学家开始理解这种文化是如何运作的以及，如果结合心理学，可以预测那些研究文化的行为和信仰。" sqref="X26"/>
    <dataValidation allowBlank="1" showInputMessage="1" showErrorMessage="1" promptTitle="Appraise (05%)" prompt="- 用来估计某种物品的价值，包括质量，使用的材料以及工艺。&#10;- 相关的，技能使用者可以准确地辨认出物品的年龄，评估它的历史关联性以及发现赝品。" sqref="X27"/>
    <dataValidation allowBlank="1" showInputMessage="1" showErrorMessage="1" promptTitle="Archaeology (01%)" prompt="- 允许从过去的文化中鉴定一件古董的年代以及辨别它，以及可以用来发现赝品。&#10;- 使获得建立以及开掘一个挖掘遗址的专业知识。&#10;通过对遗址的勘察，使用者可以推断留下这遗址的生物的目的和生活方式。&#10;- 人类学可能对此会有所帮助。&#10;- 考古学还有助于辨认已消失的人类语言的书面形式。" sqref="X28"/>
    <dataValidation allowBlank="1" showInputMessage="1" showErrorMessage="1" promptTitle="Art and Craft (05%)" prompt="- 许多这些例子都是与专业直接相联系的技能，但是这些技能可能只是休闲嗜好。你可以花费技能在任意专业化技能上。&#10;- 不可以加点在作为类属的“艺术与手艺”上。&#10;- 这项技能可能能使你制作或者修理一样东西—通常需要工具和时间，由 KP 来决定，如果必要的话。&#10;- 在适用成功程度分度的情况下，一个更高等级的成功表示这件物品有着高品质以及/或精致度高。&#10;（请点击下一个技艺）" sqref="X29"/>
    <dataValidation allowBlank="1" showInputMessage="1" showErrorMessage="1" promptTitle="Art and Craft (05%)" prompt="- 一个艺术或者手艺技能可能可以用于制作一个复&#10;制品或者赝品。在这情况下，难度等级将取决于需要复制的原品的复杂程度以及独特性。&#10;- 在伪造文件的场合下，将使用一个专门的专业化技能（伪造）。&#10;- 一个成功的检定可能可以提供一个物品的相关信&#10;息，例如这个物品在何时以及哪里被制造，与之相关的一些历史或者技艺，或者谁可能制作了它。拥有这个技能的专家将会在某个专门的领域里有着广泛的知识—对于物品本身，它的历史以及当代从事相关行业的人的知识，以及去实践知识的能力。" sqref="X30"/>
    <dataValidation allowBlank="1" showInputMessage="1" showErrorMessage="1" promptTitle="Charm (15%)" prompt="- 魅惑允许通过许多形式来使用，包括肉体魅力、诱惑、奉承或是单纯令人感到温暖的人格魅力。&#10;- 魅惑可能可以被用于迫使某人进行特定的行动，但是不会是与个人日常举止完全相反的行为。&#10;- 魅惑或是心理学技能可以用于对抗魅惑技能。&#10;- 魅惑技能可以被用于讨价还价来使一件物品或者服务的价格降低。&#10;- 如果成功，使用者得到了卖家的赞同，并且他们可能乐意降低一点价格。" sqref="X32"/>
    <dataValidation allowBlank="1" showInputMessage="1" showErrorMessage="1" promptTitle="Climb (20%)" prompt="- 这项技能允许一名角色借助或者不借助绳索或者登山工具进行爬树、墙以及其他垂直表面。&#10;- 这项技能也同样包括用绳索下降。攀爬表面是否坚固，是否有可以用手握住的地方，风力，可见度，雨等等坏境状况都可能会影响难度等级。&#10;- 第一次在这个技能上失败可能意味着这攀爬超出了调查员的能力范围。在孤注一掷上失败则可能意味着摔落了下来，同时因此受到伤害。&#10;- 一个成功的攀爬检定应当允许调查员在任何场合下完成攀爬（而不是进行反复检定）。&#10;- 一次富有挑战性或者长距离的攀爬则应当增加难度等级。" sqref="X33"/>
    <dataValidation allowBlank="1" showInputMessage="1" showErrorMessage="1" promptTitle="Computer Use (05%)" prompt="- 这项技能允许调查员用各种不同的电脑语言进行编程；恢复或者分析隐藏的数据；解除被加了保护的系统；探索一个复杂的网络；或者发现别人的骇入、后门程序、病毒。对电脑系统的特殊操作可能会需要这个检定。&#10;- 互联网将大量的信息放置在了调查员的指尖上。&#10;- 使用互联网来找到高度详细以及/或模糊不清的咨询可能会需要一个计算机使用和图书馆使用的组合检定。&#10;- 这项技能在用电脑上网，检查电子邮件，或者运行一般的商品化软件时不需要使用。&#10;- 仅在现代可用。" sqref="X34"/>
    <dataValidation allowBlank="1" showInputMessage="1" showErrorMessage="1" promptTitle="Credit Rating (00%)" prompt="- 衡量了调查员表现出来的富裕程度以及经济上的&#10;自信度。&#10;- 钱是敲门砖；如果调查员尝试用他的经济地位来达成某个目标，那么也许使用信用评级技能会比较合适。&#10;- 信用评级可以被用来取代 APP 来评估第一印&#10;象。&#10;- 信用评级并不是一个被用于评估经济富裕度的技能，也不应该与其他技能挂钩。一个高信用评级在游戏中将会是一个有用的资源，并且应当在创造调查员时加上一定的点数。" sqref="X35"/>
    <dataValidation allowBlank="1" showInputMessage="1" showErrorMessage="1" promptTitle="Cthulhu Mythos (00%)" prompt="“我认为，人的思维缺乏将已知事物联系起来的能力，这是世上最仁慈的事了。人类居住在幽暗的海洋中一个名为无知的小岛上，这海洋浩淼无垠、蕴藏无穷秘密，但我们并不应该航行过远，探究太深。”&#10;               ——H·P·爱手艺" sqref="X36"/>
    <dataValidation allowBlank="1" showInputMessage="1" showErrorMessage="1" promptTitle="Disguise (05%)" prompt="- 使用在当你想要演出除你自己外的别人时。&#10;- 使用者改变了态度，习惯，以及/或声音来进行一个乔装，以另一个人或者另一类人的形象出现。&#10;- 戏剧化妆品可能会有所帮助，还有伪造的身份证。" sqref="X37"/>
    <dataValidation allowBlank="1" showInputMessage="1" showErrorMessage="1" promptTitle="Dodge (DEX/2) [无法孤注一骰]" prompt="- 允许调查员本能地闪避攻击，投掷过来的投射物以及诸如此类的。&#10;- 一名角色可以尝试在一场战斗轮中使用任何次数的闪避（但是对抗一次特定的攻击只能一次）。&#10;- 闪避可以通过经验来提升，就像其他的技能一样。&#10;- 如果一次攻击可以被看见，一名角色可以尝试闪避开它。&#10;- 想要闪避子弹是不可能的，因为运动中的它们是不可能被看见的；一名角色所能做到的最好的是做逃避的行动来造成自己更难被命中（“寻找掩体（可以在武器列表的可选规则里看见）“）。" sqref="X38"/>
    <dataValidation allowBlank="1" showInputMessage="1" showErrorMessage="1" promptTitle="Drive Auto (20%)" prompt="- 任何有着这项技能的人都可以驾驶一辆汽车或者&#10;轻型卡车，进行常规的移动，并且处理机动车的一般毛病。&#10;- 如果调查员想要甩掉一名追踪者或者追踪某人，则需要一个汽车驾驶检定。&#10;- 一些其他的文化可能用相似的事物来取代这个技&#10;能；因纽特人可能使用狗撬驾驶，或者维多利亚人可能使用四轮马车驾驶。" sqref="X39"/>
    <dataValidation allowBlank="1" showInputMessage="1" showErrorMessage="1" promptTitle="Electrical Repair (10%)" prompt="- 使调查员能够修理或者改装电气设备，例如自动点火装置，电动机，保险丝盒，以及防盗自动警铃。&#10;- 在现代，这项技能对现代电子器件几乎做不到什么。&#10;- 为了维修电气设备，可能需要特殊的部件或者工具。&#10;- 在 1920 年代的职业可能会需要这个技能，并且需要机械维修技能作为组合。&#10;- 电气维修也可能在现代的爆破上被使用，例如雷管，C-4 塑料炸弹，以及地雷。&#10;- 这些武器被设计得简单易用；只有一个大失败的结果才会造成不启动（记住这检定可以使用孤注一掷）。&#10;- 拆除爆炸物是远远更为复杂的，因为它们可能被安装了反" sqref="X40"/>
    <dataValidation allowBlank="1" showInputMessage="1" showErrorMessage="1" promptTitle="Electronics (01%)" prompt="- 用来发现并对电子设备的故障进行维修。&#10;- 允许制作简单的电子设备。&#10;- 这是个现代技能——在 1920 年代则是使用物理学以及电气维修来应对电子设备。&#10;- 不像电气维修技能，电子学工作的部件通常是不&#10;能临时配备的：它们通过精密的工作被设计出来通&#10;常如果没有正确的微晶片或者电路板，技能的使用者就无法进行工作，除非他们可以策划出一些形式的应急方案。" sqref="X41"/>
    <dataValidation allowBlank="1" showInputMessage="1" showErrorMessage="1" promptTitle="Fast Talk (05%) 也译作“快速交谈”" prompt="- 话术特别限定于言语上的哄骗，欺骗以及误导，例如迷惑一名门卫来让你进入一间俱乐部，误导警察看向另一边，以及诸如此类的。&#10;- 这项技能的对立技能为心理学或者话术。&#10;- 经过一段时间的相信期后（通常在使用话术的人离开场景之后），对方会意识到自己被欺骗了。如果达成了更高的难度等级可能会使这个时间更加长一点。&#10;- 可以被用来对一件物品或者服务的价格进行砍价。如果成功，卖家会暂时性地觉得这是一场不错得交易；然而，如果买家打算归还或者试图购买别的物品，卖家可能会拒绝继续降价，并且甚至可能会提高价格为了补回他们的损失" sqref="X42"/>
    <dataValidation allowBlank="1" showInputMessage="1" showErrorMessage="1" promptTitle="Handgun (20%)" prompt="- 用来使用所有的类似于手枪的火器，进行非连续的射击。&#10;- 对于现代游戏中的全自动手枪（MAC-11，乌兹手枪，等等），当使用全自动模式时，用冲锋枪的技能进行判定。" sqref="AL45 Q219"/>
    <dataValidation allowBlank="1" showInputMessage="1" showErrorMessage="1" promptTitle="Rifle/Shotgun (25%)" prompt="- 这个技能可以用于射击任何类型的步枪（无论是杠杆作用，手动栓式或者半自动的）或者霰弹枪。&#10;- 因为霰弹枪中装填的弹药会以散射的方式发射，所以使用者的命中几率不会因为距离而减少，但是造成的伤害会受到影响。&#10;- 当突击步枪进行单次射击时（或者多次进行单次），使用这个技能。" sqref="AL46 Q220"/>
    <dataValidation allowBlank="1" showInputMessage="1" showErrorMessage="1" promptTitle="Submachine Gun (15%)" prompt="当用任何自动手枪或者冲锋枪开火时使用这个技能；同样也用于突击步枪的全自动模式。" sqref="AL47 Q221"/>
    <dataValidation allowBlank="1" showInputMessage="1" showErrorMessage="1" promptTitle="Bow (15%)" prompt="用来使用弓以及弩，包括从中世纪的长弓到现代，高性能的复合弓。" sqref="AL48 Q222"/>
    <dataValidation allowBlank="1" showInputMessage="1" showErrorMessage="1" promptTitle="Flamethrower (10%)" prompt="- 喷射出一连串点燃的可燃烧液体或者气体的武器。&#10;- 可以被操作者携带或者架设在交通工具上。" sqref="AL49 Q223"/>
    <dataValidation allowBlank="1" showInputMessage="1" showErrorMessage="1" promptTitle="Machine Gun (10%)" prompt="- 用两脚架或者三脚架架设的进行连续射击的武器。&#10;- 如果两脚架的类型进行单次射击，那么使用步枪技能。&#10;- 对于今日来说，突击步枪，冲锋枪以及轻机枪之间的差别已经是十分细微的了。" sqref="AL50 Q224"/>
    <dataValidation allowBlank="1" showInputMessage="1" showErrorMessage="1" promptTitle="First Aid (30%)" prompt="- 使用者可以提供紧急的医疗处理。这包括：对摔断了的腿用夹板进行处理，止血，处理烧伤，溺水复苏，包扎以及清理伤口等等。急救不能用于治疗疾病（这需要医学技能）。&#10;- 急救必须在一小时内进行，在这种情况能回复 1 生命值的损伤。&#10;- 这项技能可以尝试一次，后续的尝试将为进行孤注一掷。&#10;- 两个人可以合作进行急救，只要其中一人成功便可以让生命值回复。&#10;- 成功的急救可以将一名昏迷的角色唤醒过来。&#10;- 一名角色只能进行一次成功的急救或者医学，直到受到其他伤害。" sqref="X51"/>
    <dataValidation allowBlank="1" showInputMessage="1" showErrorMessage="1" promptTitle="Heavy Weapons (10%)" prompt="用于使用枪榴弹发射器，反坦克火箭炮等等。" sqref="AL51 Q225"/>
    <dataValidation allowBlank="1" showInputMessage="1" showErrorMessage="1" promptTitle="History (05%)" prompt="- 让一名调查员能够记住一个国家，城市，区域或&#10;者个人及其相关的重要情报。&#10;- 一个成功的检定可以用来帮助辨认先祖所熟悉的工具，科技，或者想法，但是对当下的所知甚少。" sqref="X52"/>
    <dataValidation allowBlank="1" showInputMessage="1" showErrorMessage="1" promptTitle="Intimidate (15%)" prompt="- 恐吓可以以许多形式使用，包括武力威慑，心理操控，以及威胁。这通常被用来使某人害怕，并迫使其进行某种特定的行为。&#10;- 恐吓的对抗技能为恐吓或者心理学。&#10;- 携带武器或者其他的有力的威胁或诱因来协助恐吓可能可以降低难度等级。&#10;- 当在恐吓上使用孤注一掷时，失败的可能结果之一是对目标进行了远远超过本身意图的恐吓。&#10;- 恐吓可以被用于降低一件物品或者服务的价格。如果成功，卖家可能会降低价格，或者免费交出，但是根据情况，对方可能会将这事情举报给警察或者当地犯罪组织的成员。" sqref="X53"/>
    <dataValidation allowBlank="1" showInputMessage="1" showErrorMessage="1" promptTitle="Jump (20%)" prompt="- 如果成功，调查员可以在垂直方向上跳起或跳下，或者从一个站立点或起步点水平向外跳。&#10;- 为了分辨哪些算在正常跳跃，困难跳跃以及极难跳跃，必须对判断进行训练。&#10;- 作为指导，当调查员想要安全地从垂直等同于其自身高度的地方跳下来时，需要一个常规难度的成功，或者水平地从其站立点跳过长度等同于他自身高度的坑，或者助跑后跳过两倍于其自身高度的距离。&#10;- 如果要达成两倍距离的跳跃，则需要一个极难难度的成功，牢记，最长跳跃的世界纪录为大约 8.95米。&#10;- 如果从高处摔落下来，一个成功的跳跃检定可以使对坠落有所准备，" sqref="X54"/>
    <dataValidation allowBlank="1" showInputMessage="1" showErrorMessage="1" promptTitle="Language (EDU)" prompt="- 当选择这项技能时，必须明确一门具体的语言并&#10;且写在技能的后面。&#10;- 在婴儿期或者童年早期，大多数人使用单一一门语言。&#10;- 玩家所选择作为母语的语言自动地以等同于调查员教育（EDU）属性为起始；此后，调查员以那个百分比或者更高的来进行理解，说，读以及写（如果更多的技能点数在调查员创作时加了上去）。" sqref="X58"/>
    <dataValidation allowBlank="1" showInputMessage="1" showErrorMessage="1" promptTitle="Brawl (25%)" prompt="- 包括空手格斗以及任何人都可以捡起并使用的基础武器，例如棍棒（例如板球棒或者棒球棍），小刀，以及许多临时武器，例如瓶子以及椅子腿。&#10;- 为了决定这些临时武器所造成的伤害，KP 应当参考武器表并且挑选那些类似的。" sqref="AL58 U219"/>
    <dataValidation allowBlank="1" showInputMessage="1" showErrorMessage="1" promptTitle="Law (05%)" prompt="- 代表你对相关法律、早期事件、法庭辩术或者法院程序了解的可能性。&#10;- 一个在法律实务上的专家可能会获得巨大的奖励以及政治事务所，但是这可能需要长达几年的认真申请——一个较高的信用评级在这关系&#10;上也十分重要。&#10;- 在美国，一个州的州法庭（State Bar）必须批准某人的法律实务。&#10;当到一个外国国家时，使用这项技能的难度等级可能会上升，除非这名角色花费数月的时间来学习这个国家的法律系统。" sqref="X59"/>
    <dataValidation allowBlank="1" showInputMessage="1" showErrorMessage="1" promptTitle="Whip (05%)" prompt="套索以及鞭子。" sqref="AL59 U220"/>
    <dataValidation allowBlank="1" showInputMessage="1" showErrorMessage="1" promptTitle="Library Use (20%)" prompt="- 图书馆使用使一名调查员能在图书馆找到一些信息，例如特定的一本书，新闻或者参考书，搜集文件或者资料库，假设需要的东西确实在那里的话。&#10;- 使用这个技能需要数小时的连续的调查。&#10;- 这项技能可以定位寻找一件隐藏的案例或者一本特殊收藏的稀有书籍，但是说服，话术，魅惑，恐吓，信用评级，或者特殊的证明书可能会需要来获得阅读这书或者信息的许可。" sqref="X60"/>
    <dataValidation allowBlank="1" showInputMessage="1" showErrorMessage="1" promptTitle="Chainsaw (10%)" prompt="第一个以汽油为能源，大量生产的电锯出现于 1927 年；然而，也存在着一些早期版本。" sqref="AL60 U221"/>
    <dataValidation allowBlank="1" showInputMessage="1" showErrorMessage="1" promptTitle="Listen (20%)" prompt="- 衡量一名调查员理解声音的能力，包括偶然听到&#10;的对话，一扇关着的门后的轻声嘀咕，以及咖啡厅里的私语。&#10;- KP 可以用这来决定一场即将发生的遭遇的形式：是你的调查员因被踩碎的树枝的声音而警觉到了到来的遭遇？&#10;- 甚至此外，一个较高的聆听技能可以指一名角色有着较高的警觉能力。" sqref="X61"/>
    <dataValidation allowBlank="1" showInputMessage="1" showErrorMessage="1" promptTitle="Flail (10%)" prompt="双节棍，钉锤，以及相似的中世纪兵器。" sqref="AL61 U222"/>
    <dataValidation allowBlank="1" showInputMessage="1" showErrorMessage="1" promptTitle="Locksmith (01%)" prompt="- 锁匠技能可以打开车门，热线自动装置，用铁撬撬开图书馆的窗子，解决中国机关箱（比如鲁班锁），以及穿过常规的商用警报系统。&#10;- 使用者可能会修复锁，制作钥匙，或者在万能钥匙，开锁工具或者其他工具的帮助下打开锁。&#10;- 特别困难的锁可能会需要一个更高的难度等级。" sqref="X62"/>
    <dataValidation allowBlank="1" showInputMessage="1" showErrorMessage="1" promptTitle="Garrote (15%)" prompt="任何长度的材料被用于绞死对方。需要受害者进行一个战技检定来逃脱，否则就要遭受每轮 1D6 的伤害。" sqref="AL62 U223"/>
    <dataValidation allowBlank="1" showInputMessage="1" showErrorMessage="1" promptTitle="Mechanical Repair (10%)" prompt="- 这项技能允许调查员修理一个破损的机器或者制&#10;造一个新的。&#10;- 基础的木工手艺和管道项目也可以执行，制作物品也同样可以（例如一组滑轮系统）以及维修物品（例如蒸汽泵）。&#10;- 在使用技能中可能会需要特殊的工具或者部件。&#10;- 这项技能可以用来打开普通的家庭锁，但是更加专业的就不能了——见锁匠技能来打开更加复杂的锁。&#10;- 机械维修是一个与电气维修相伴随的技能，并且两者都可能需要来为了修理一个复杂的设备，例如汽车或者飞行器。" sqref="X63"/>
    <dataValidation allowBlank="1" showInputMessage="1" showErrorMessage="1" promptTitle="Axe (15%)" prompt="- 当使用大型的木斧时使用这个技能。&#10;- 短柄小斧则可以用基础的斗殴技能；&#10;- 如果投掷出去，使用投掷技能。" sqref="AL63 U224"/>
    <dataValidation allowBlank="1" showInputMessage="1" showErrorMessage="1" promptTitle="Medicine (01%)" prompt="- 使用者可以诊断并治疗事故，创伤，疾病，毒药&#10;等，并且可以提供公共健康建议。&#10;- 如果一个时代还并没有好的治疗某种疾病的疗法，那么这项技能的效果是有限的，不确定的，或者无效的。&#10;- 医学技能能给予大范围的对于药片以及药剂，是自然还是人造的知识，以及对副作用以及禁忌症状的理解。&#10;- 用医学技能来进行治疗最少要花费 1 小时时间，并且可以在造成了伤害后的任何时间进行处理，但是如果这并没有在同一天内进行处理，难度等级将会上升（需要一个困难难度的成功）。" sqref="X64"/>
    <dataValidation allowBlank="1" showInputMessage="1" showErrorMessage="1" promptTitle="Sword (20%)" prompt="所有的长度超过两英尺（半米）的剑器。" sqref="AL64 U225"/>
    <dataValidation allowBlank="1" showInputMessage="1" showErrorMessage="1" promptTitle="Natural World (10%) 也译作“自然学”" prompt="- 起初指对于在自然环境中的植物以及动物生命的研究。&#10;- 直到 19 世纪，这门学科被分开到一系列的学术学科（生物学，植物学，等等）。&#10;- 作为一个技能，博物学达标了传统的（非科学的）知识以及农民，渔民，优秀的业余者，以及单纯的爱好者的个人观察。&#10;- 它可以一般地对物种，栖息地进行辨认，并且可以辨认踪迹、足迹以及叫声，也可以允许对什么事物可能对某种特定物种来说很重要进行猜测。&#10;- 如果要一个对自然世界的科学性的理解，那么应当去看生物学，植物学以及动物学技能。" sqref="X65"/>
    <dataValidation allowBlank="1" showInputMessage="1" showErrorMessage="1" promptTitle="Spear (20%)" prompt="长枪或者投矛。如果投掷，使用投掷技能。" sqref="AL65 U226"/>
    <dataValidation allowBlank="1" showInputMessage="1" showErrorMessage="1" promptTitle="Navigate (10%) 也译作“导航”" prompt="- 允许使用者在早上或者晚上，在暴风雨或者晴朗天气中认清自己的路。&#10;- 有着更高技能的人将对天文表图和工具，以及卫星定位装置十分熟悉，如果他们是在有着那些东西的时代的话。&#10;- 一名角色也可以用这项技能来测量以及对一块区域进行绘图（制图学），判断是有着几平方米的小岛或者是一块内陆区域—使用现代工具可以降低甚至取消难度等级。&#10;- KP 可以将这个技能的检定作为隐藏骰进行处理—调查员需要尝试去解决的一件事情，并且最后承受结果。&#10;- 如果角色对该区域十分熟悉，那么在这个检定上可以得到一个奖励骰。" sqref="X66"/>
    <dataValidation allowBlank="1" showInputMessage="1" showErrorMessage="1" promptTitle="Occult (05%)" prompt="- 使用者可以识别出神秘学道具，用语和概念，以及民间传统，并且可以辨认魔法书以及神秘学记号。&#10;- 神秘学家对有着代代相传的神秘知识的家庭十分熟悉，包括从埃及和苏美尔，从中世纪和文艺复兴时期的西方，以及也许从亚洲或者非洲。&#10;- 理解特定的书籍可能可以增加神秘学技能的百分比。这项技能不能运用于与克苏鲁神话相关的咒术，书本，以及魔法，尽管旧日支配者的崇拜者对于神秘学有着很高的接受能力。" sqref="X67"/>
    <dataValidation allowBlank="1" showInputMessage="1" showErrorMessage="1" promptTitle="Operate Heavy Machinery (01%)" prompt="- 当驾驶以及操纵一辆坦克，反铲挖土机，蒸汽挖土机或者其他巨型建造机械时需要这个技能。&#10;- 对于种类非常不同的机械，KP 可以决定提高难度等级，如果遇到的问题是极大程度上不熟悉的；例如，过去常常开推土机的某人，不会立刻能够掌握对船的引擎舱中的蒸汽涡轮机的使用。" sqref="X68"/>
    <dataValidation allowBlank="1" showInputMessage="1" showErrorMessage="1" promptTitle="Persuade (10%)" prompt="- 使用说服来通过一场有理有据的论述、争辩以及讨论让目标相信一个确切的想法，概念，或者信仰。&#10;说服并不一定需要涉及真实的内容。成功的说服技能的运用将花费不少的时间：至少半小时。&#10;- 如果你想快速地说服某人，你应该使用话术技能。&#10;取决于玩家表述的目标，如果调查员花费了足够的时间，说服造成的影响可能一直持续下去，并且无意识地影响着别人；可能会持续好几年，直到某件事件或者另一次得说服改变了目标的想法。&#10;- 说服可以被用于讨价还价，以此来削低某样物品或者服务的价格。如果成功，卖家将会完全地相信自己做了一场好买卖。" sqref="X69"/>
    <dataValidation allowBlank="1" showInputMessage="1" showErrorMessage="1" promptTitle="Pilot (01%)" prompt="- 相当于水上或者空中的汽车驾驶，这时使用空中飞行或者水上航行交通供给的技巧。你可以花费技能点来获得任何专业化技能。&#10;- 作为属类的驾驶技能不能被获得。一名调查员可以在调查员表格的空档下写上许多不同种的这一技巧（例如驾驶飞行器，驾驶飞艇等等）。&#10;- 每个的初始都是 01%。 &#10;- 不良的天气，极差的可见度，以及器材的损伤都可能会提高驾驶飞行器或水上航具的技能检定的难度等级。" sqref="X70"/>
    <dataValidation allowBlank="1" showInputMessage="1" showErrorMessage="1" promptTitle="Psychoanalysis (01%)" prompt="这技能指广泛的情感上的治疗。精神分析可以恢复一名调查员的理智。单独的精神分析并不能加速不定时疯狂的恢复，但允许一名角色处理他人短期内的恐惧症状。心理治疗专家的治疗可以在不定式疯狂期间内回复理智。" sqref="X71"/>
    <dataValidation allowBlank="1" showInputMessage="1" showErrorMessage="1" promptTitle="Psychology (10%)" prompt="对所有人来说都很通用的察觉方面的技能，允许使用者研究个人并且形成对于其他某人动机和人格的了解。" sqref="X72"/>
    <dataValidation allowBlank="1" showInputMessage="1" showErrorMessage="1" promptTitle="Ride (05%)" prompt="- 这项技能被用于给坐在鞍上驾驭马，驴子或者骡子，以及获得对这些骑乘动物、骑乘工具的基础照料知识，以及如何在疾驰中或困难地形上操纵坐骑。&#10;- 当坐骑出乎意外地抬起身子或失足时，骑手保持自己在坐骑上不摔落的几率等同于他的骑术技能。&#10;偏坐在马鞍上进行骑乘将会提高一个等级的难度等级。&#10;- 对于不熟悉的坐骑（例如骆驼）也可以成功地骑乘，但是可能会需要更高的难度等级。" sqref="X73"/>
    <dataValidation allowBlank="1" showInputMessage="1" showErrorMessage="1" promptTitle="Sleight of Hand (10%)" prompt="- 允许对物体进行视觉上的遮住，藏匿，或者掩盖，也许通过残害，衣服或者其他的干涉或促成错觉&#10;的材料，也许通过使用一个秘密的嵌板或者隔间。&#10;- 任何种类的巨大物件应当增加藏匿的难度。&#10;- 妙手包括偷窃，卡牌魔术，以及秘密使用手机。" sqref="X77"/>
    <dataValidation allowBlank="1" showInputMessage="1" showErrorMessage="1" promptTitle="Spot Hidden (25%)" prompt="- 这项技能允许使用者发现密门或者秘密隔间，注意到隐藏的闯入者，发现并不明显的线索，发现重新涂过漆的汽车，意识到埋伏，注意到鼓出的口袋，或者任何类似的事情。&#10;- 对于调查员来说，这是一个重要的技能。" sqref="X78"/>
    <dataValidation allowBlank="1" showInputMessage="1" showErrorMessage="1" promptTitle="Stealth (20%)" prompt="- 安静地移动以及/或者躲藏的技巧，不惊扰到那些可能在听或者看的人们。&#10;- 当尝试躲避探查，玩家应当进行一个潜行的技能检定。&#10;- 与这项技能相关的能力意味着要么角色能够安静地移动（轻声轻足）以及/或者在伪装技巧上有所训练。&#10;- 这项技能也同样意味着角色可以在长时间维持一定程度的谨慎心态以及冷静的头脑来使自己保持静止和隐秘。" sqref="X79"/>
    <dataValidation allowBlank="1" showInputMessage="1" showErrorMessage="1" promptTitle="Survival (10%)" prompt="- 提供专业的如何在极端环境下生存的知识和技巧，例如在沙漠中或者极地环境，也包括海洋上或者荒野。&#10;- 内容包括狩猎的知识，搭建住所，可能遇到的危险的知识（例如如何避开有毒性的植物）等等，取决于所处的环境。&#10;- 你可以花费技能点来获得任何的专业化技能。&#10;- 作为属类的“生存”技能本身不能被获得。&#10;- 专业环境的生存技巧应当在技能选择时就决定下来，例如：生存（沙漠），（海洋），（极地），等等。" sqref="X80"/>
    <dataValidation allowBlank="1" showInputMessage="1" showErrorMessage="1" promptTitle="Swim (20%)" prompt="- 有能力在水或者其他液体中漂浮以及移动。&#10;- 只有在遭遇危险的时候需要进行游泳技能检定，或者当 KP认为合适的时候。" sqref="X81"/>
    <dataValidation allowBlank="1" showInputMessage="1" showErrorMessage="1" promptTitle="Throw (20%)" prompt="- 当需要用物体击中目标或者用物件的正确部分击中目标（例如小刀或者短柄小斧的刃）时，使用投掷技能。&#10;- 一件有着合理平衡构架的可以藏于手中大小的物品可以被投掷至多等同于 STR 码距离。" sqref="X82"/>
    <dataValidation allowBlank="1" showInputMessage="1" showErrorMessage="1" promptTitle="Track (10%)" prompt="- 一名调查员可以凭借追踪技能来通过土壤上的脚&#10;印，或是物体通过植被时留下的印记来追踪别人，或者是交通工具以及地球上的动物。&#10;- 时间的经过，雨，以及土地的种类都可能会影响追踪的难度等级。" sqref="X83"/>
    <dataValidation allowBlank="1" showInputMessage="1" showErrorMessage="1" promptTitle="Morris Dance（05%）" prompt="莫里斯舞，在英国的历史“久远”二字都不足以形容。在古代凯尔特人的传统节日庆祝活动中，往往会绕着石圈或者石阵跳舞。这种舞就是最初的莫里斯舞，而随着时间的发展，莫里斯舞后来又转移到了墓地进行。" sqref="AC83 M243"/>
    <dataValidation allowBlank="1" showInputMessage="1" showErrorMessage="1" promptTitle="Beast Training(05%)[非常规]" prompt="- 命令以及训练已驯化动物去完成一些简单任务的技能。&#10;- 这个技能最常用于狗上，但也包括鸟、猫、猴子以及其他（取决于 KP 的判断）。&#10;- 至于对动物的骑乘，例如马或者骆驼，则要用骑术技能来进行行动以及操控这些坐骑。" sqref="X84"/>
    <dataValidation allowBlank="1" showInputMessage="1" showErrorMessage="1" promptTitle="Diving (01%)[非常规]" prompt="- 使用者接受过在深海游泳的使用以及维持潜水设&#10;备的训练，水下导航，合适的下潜配重，以及应对紧急情况的方法。&#10;- 在 1942 年的水肺[潜水氧气筒]发明前，严格的潜水套装是装备着能从水面输送空气的连接管道。&#10;- 在现代，一名水肺潜水员将会熟悉当呼吸增压氧气时发生的潜水时的物理现象，气压，以及生理学的过程。" sqref="X85"/>
    <dataValidation allowBlank="1" showInputMessage="1" showErrorMessage="1" promptTitle="Demolitions (01%)[非常规]" prompt="- 在这项技能的帮助下，使用者将熟练于安全使用爆破，包括设置以及拆除炸药。&#10;- 地雷以及相似的设备被设计得容易设置（不需要检定）但是相对较为困难地进行除去或拆除。&#10;- 这项技能也包含军用等级的爆炸物（反人类地雷，塑料炸弹，等）。&#10;- 给予足够的时间和资源，这些专家可以装设炸药来摧毁一幢建筑，清除一个被堵住的隧道，以及赋予炸药不同用处（例如构造微量炸药，诡雷，以及其他）。" sqref="X86"/>
    <dataValidation allowBlank="1" showInputMessage="1" showErrorMessage="1" promptTitle="Read Lips (01%)[非常规]" prompt="- 这项技能允许好奇的调查员听懂一段交谈对话，而不需要听见对方说了什么。&#10;- 能看到对方的视线是必须的，并且如果只能看到其中一名说话者的唇（另一名可能只能看到背），那么只能辨认出一半的对话。&#10;- 读唇也可以用于与另一个人进行无声的交流（如果双方都是专家），允许相对更加复杂的短语以及含义。" sqref="X87"/>
    <dataValidation allowBlank="1" showInputMessage="1" showErrorMessage="1" promptTitle="Hypnosis (01%)[非常规]" prompt="- 使用者可以在一名自愿并经历过高度暗示、放松的目标身上引出出神似的状态，并且可能回忆起忘却&#10;的记忆。&#10;- 对于催眠的限制应当由 KP 根据适应自己游戏的情况来制定；这可能是只有自愿的目标可以被催眠，或者 KP 可能会允许这项技能以一种更加富有侵略&#10;性的方式被用在非自愿的目标身上。&#10;- 对那些遭受了精神创伤的人，这项技能可以当&#10;做催眠疗法来使用，减轻一名病人的恐惧或者狂躁（成功的使用这个技能意味着这名病人在该场合克服了恐惧或者狂躁），需要1D6次疗程。" sqref="X88"/>
    <dataValidation allowBlank="1" showInputMessage="1" showErrorMessage="1" promptTitle="Artillery (01%) [无法孤注一骰][非常规]" prompt="- 这项技能呈现出对一些形式的军事训练和经历。使用者具有在战争中操作战地武器的经验：可以在一个工作队或“派遣队”中工作，进行对超过个人武器射击距离的武器的操作。&#10;- 这些武器通常过于巨大以至于无法单人进行操作,并且个人无法再没有工作队支援的情况下使用这武器，或者应当提高难度等级（取决于KP 的判断，也取决于使用的武器类型）。&#10;- 存在着许多不同的专业化武器，取决于游戏设定的时期，包括加农炮、榴弹炮、迫击炮以及火箭发射&#10;器。&#10;-作为一个战斗技能，炮术不能孤注一掷。" sqref="X89"/>
    <dataValidation allowBlank="1" showInputMessage="1" showErrorMessage="1" promptTitle="Knowledge （不定）[非常规]" prompt="这项技能代表一名觉得对一个超出人类常规知识范畴的事物的专业理解。学问的专业化应该具体并且不同寻常，例如：&#10;·梦学问&#10;·死灵之书学问（e.g.历史的）&#10;·UFO 学问&#10;·吸血鬼学问&#10;·狼人学问&#10;·亚狄斯星人学问" sqref="X90"/>
    <dataValidation allowBlank="1" showInputMessage="1" showErrorMessage="1" promptTitle="Acting (05%)" prompt="表演者受到过戏剧以及/或电影演技的训练（在现代，这可能也包括电视），使你能适应一个人物角色，记住剧本，以及使用舞台/电影化妆来改变他们的外貌。" sqref="M219"/>
    <dataValidation allowBlank="1" showInputMessage="1" showErrorMessage="1" promptTitle="Geology (01%)" prompt="用来决定大致的岩层年龄，辨认出化石的类型，区分矿物和水晶，确定合理的采矿和挖掘地址，评估土地，预测火山活动、地震、雪崩以及其他类似的现象。" sqref="O219"/>
    <dataValidation allowBlank="1" showInputMessage="1" showErrorMessage="1" promptTitle="Beast Training(05%)" prompt="- 命令以及训练已驯化动物去完成一些简单任务的技能。&#10;- 这个技能最常用于狗上，但也包括鸟、猫、猴子以及其他（取决于 KP 的判断）。&#10;- 至于对动物的骑乘，例如马或者骆驼，则要用骑术技能来进行行动以及操控这些坐骑。" sqref="S219"/>
    <dataValidation allowBlank="1" showInputMessage="1" showErrorMessage="1" promptTitle="Fine Art (05%)" prompt="- 艺术家在艺术绘画上十分熟练（油画、丙烯画、水彩画），同样在用铅笔、彩色蜡笔、粉笔的素描上十分熟练。&#10;- 然而这各种各样的艺术工作许多天或者许多月来完成，艺术家可能能快速素描出准确的印象，物体或者人物。&#10;- 这项技能也代表了对艺术世界的熟悉，以及技术家能确定特定艺术家的作品，他们的学校，以及了解的历史。" sqref="M220"/>
    <dataValidation allowBlank="1" showInputMessage="1" showErrorMessage="1" promptTitle="Chemistry (01%)" prompt="有关物质组成，温度的影响，能量，以及作用于其上的压力的研究，也包括物质如何互相影响。在化学的帮助下，某人可以创造或者提取复杂的化学复合物，包括简单的炸药，毒药，气体以及酸液，需要至少一天以上并且在合适的设备以及化学药剂的帮助。使用者也可以对一种不明的物质进行分析，如果有这合适的设备以及试剂。" sqref="O220"/>
    <dataValidation allowBlank="1" showInputMessage="1" showErrorMessage="1" promptTitle="boat （01%）" prompt="- 理解在风，暴风雨以及潮流下操纵小型摩托艇以及轮船的机理，并且可以读懂潮流以及风的流向，以此来得到暗礁以及将要逼近的暴风雨的情&#10;报。&#10;- 初学的水手将会发现到在大风中停靠一艘小船是多么困难。" sqref="S220"/>
    <dataValidation allowBlank="1" showInputMessage="1" showErrorMessage="1" promptTitle="Photography (05%)" prompt="（这里写不下了所以写进批注）" sqref="M221"/>
    <dataValidation allowBlank="1" showInputMessage="1" showErrorMessage="1" promptTitle="Biology (01%)" prompt="关于生命和存活的有机物的学科，包括细胞学、生态学、基因学、组织学、微观生物学、生理学等等。在这项技能的帮助下，一个人可能能够研究出能够对抗可怕的克苏鲁神话细菌的疫苗，将自己从能够令人产生幻觉的丛林植物下隔离开来，或者对鲜血以及/或者有机物质进行分析。" sqref="O221"/>
    <dataValidation allowBlank="1" sqref="AB221 AB226:AB227"/>
    <dataValidation allowBlank="1" showInputMessage="1" showErrorMessage="1" promptTitle="Forgery (05%)" prompt="- 熟练于细节，使用者可以制作高质量的伪造文档使它以某人的笔迹写成，制作官僚作风的形式或许可，或者进行卷册的复制。&#10;- 伪造者需要合适的材料（墨水，不同的纸张等）以及想要复制的文档的原件。&#10;- 一个成功的检定表示伪造文档将通过一个普通而草率的检查。&#10;- 当有人花费时间并仔细检查伪造品时需要使用估价技能（与原始的伪造者的技能进行对抗）来决定是否能辨认出是伪造品。" sqref="M222"/>
    <dataValidation allowBlank="1" showInputMessage="1" showErrorMessage="1" promptTitle="Mathematics (01%)" prompt="对于数字和逻辑的研究，包括数学理论、应用以及理论上的解决方法设计和推演发展。这项技能可能允许使用者辨认非欧几里得几何，解决困难的公式，以及破译复杂的图样或者暗码（专业的对暗码的研究见密码学）。" sqref="O222"/>
    <dataValidation allowBlank="1" showInputMessage="1" showErrorMessage="1" promptTitle="Literature (05%)" prompt="作家可以通过文学来写出一篇脍炙人口的名章。如果想要将一个怪物将其用文字记录下来，那么建议过一个困难以上的鉴定，否则冠以不可名状即可。" sqref="M223"/>
    <dataValidation allowBlank="1" showInputMessage="1" showErrorMessage="1" promptTitle="Astronomy (01%)" prompt="使用者可以知道在某个特定的日子或者一天早晚某个时间时哪颗恒星或者行星位于正上方，何时彗星和流星雨会出现，以及重要的恒星的名字。这项技能同样会提供有关其他世界的生命，银河的存在和结构，以及类似的知识的现代概念。一名学者可能能够计算轨道，判断恒星生命周期，以及（在现代）有关红外天文学或者超长基线干涉测量的相关知识。" sqref="O223"/>
    <dataValidation allowBlank="1" showInputMessage="1" showErrorMessage="1" promptTitle="Calligraphy (05%)" prompt="使用者可以使用书法挥斥方遒，力透纸背。如果了解对方的书法习惯的话，可以伪造出近乎一模一样的笔迹。也可以替人写字卖钱养家糊口。书法家的名头也是赚足了眼球的。" sqref="M224"/>
    <dataValidation allowBlank="1" showInputMessage="1" showErrorMessage="1" promptTitle="Physics (01%)" prompt="使使用者能够理论上了解压力、材料、运动、磁力、电力、光学、辐射和相关的现象，以及给予一定的能力来构建实验器材来验证想法。对于知识的了解程度取决于所在的年代。实际运用的装置，例如汽车，并不是物理学家的范围，然而实验设备可能会是，也许要结合电气维修或者机械维修。" sqref="O224"/>
    <dataValidation allowBlank="1" showInputMessage="1" showErrorMessage="1" promptTitle="Music theory (05%)" prompt="使用者可以通过乐理鉴定听到的乐声是来自何种乐器、何种曲子以及如果演奏。当然，在背景故事里最好固定于一种乐器。" sqref="M225"/>
    <dataValidation allowBlank="1" showInputMessage="1" showErrorMessage="1" promptTitle="Pharmacy (01%)" prompt="关于化学复合物以及它们的在有机生命体上的效果的研究。传统上来说，这包括药物的配方、创造以及施用（不管是一名巫医进行药草组合或者是现代的药剂师在实验室里进行操作）。这个技能的应用在与确认药物被安全以及有效地使用，包括人工合成原料，毒素的检定，以及有可能产生的副作用的相关知识。" sqref="O225"/>
    <dataValidation allowBlank="1" showInputMessage="1" showErrorMessage="1" promptTitle="Cooking (05%)" prompt="当使用者需要做饭时可以通过该鉴定决定做出的饭菜是否可口。可以通过后期训练担当五星级酒店掌勺大厨。俗话说的好，抓住男人的心先要抓住男人胃。" sqref="M226"/>
    <dataValidation allowBlank="1" showInputMessage="1" showErrorMessage="1" promptTitle="Botany (01%)" prompt="关于植物生命的研究，包括物种分类，结构，生长，繁殖，化学特性，进化原理，疾病，以及显微研究。植物学的分支学科包括农学，森林学，园艺和古植物学。在这项技能的帮助下，某人可以辨认出某种特定植物的特性（例如是否有毒性，是否可食用，或者具有精神治疗作用）以及它的具体用处。" sqref="O226"/>
    <dataValidation allowBlank="1" showInputMessage="1" showErrorMessage="1" promptTitle="Sewing (05%)" prompt="裁缝可以使用针或者缝纫机将布匹丝绸缝纫成某件布制品，根据成品所需难度提高鉴定难度。比如双面绣，建议极难，除非是一脉单传。有缝自有裁，也可以使用剪刀等工具对物品进行裁切。当然，超出剪刀等工具的范围就不适用该技能。" sqref="M227"/>
    <dataValidation allowBlank="1" showInputMessage="1" showErrorMessage="1" promptTitle="Zoology (01%)" prompt="对专门联系到动物王国的生物学的研究，包括仍存在以及灭绝动物的生态结构，进化，分类，行为习性，以及分布。使用这项技能来从动物与环境的互动（脚印，兽粪，痕迹等等），行为举止，以及区域特点上辨认出其物种。" sqref="O227"/>
    <dataValidation allowBlank="1" showErrorMessage="1" sqref="B228 B238 B258 B268 B282 B305 B343 A153:A158 B152:B183 B197:B211"/>
    <dataValidation allowBlank="1" showInputMessage="1" showErrorMessage="1" promptTitle="Hairdressing (05%)" prompt="理发师可以使用剪刀等工具帮他人理发，如果要给自己理发建议困难鉴定。该技能偏向于RP，请自行扮演。" sqref="M228"/>
    <dataValidation allowBlank="1" showInputMessage="1" showErrorMessage="1" promptTitle="Cryptography (01%)" prompt="关于由其他人发展出来的用于隐藏对话或者信息内容用的暗码或者密语的研究。一种数学的专业分支，这项技能使使用者能够辨认，创造或破译暗码。暗码通常上来说是写下来的，但也可能通过其他的形式，例如隐藏在乐曲、画作或者电脑编码（在现代设定下）下的信息。破译一个暗码可能会是一个漫长的工作，通常需要很长时间的调查研究以及大量的演算处理。" sqref="O228"/>
    <dataValidation allowBlank="1" showInputMessage="1" showErrorMessage="1" prompt="这是你所有资产加起来的总和。&#10;包括房屋汽车家具等等等等。" sqref="Z228:AA228"/>
    <dataValidation allowBlank="1" showInputMessage="1" showErrorMessage="1" promptTitle="Architecture (05%)" prompt="使用者可以通过建筑鉴定了解某栋建筑的基本构造。也可以通过建筑对房屋进行修缮维护，比如添瓦加砖铺地板，刷墙壁纸两不闲。" sqref="M229"/>
    <dataValidation allowBlank="1" showInputMessage="1" showErrorMessage="1" promptTitle="Engineering (01%)" prompt="尽管严格上来说这并不是科学，但是为了方便归到了这里。科学是与辨认特定的现象相关（通过观察和记录）。然而工程学将这些发现利用起来进行实际利用，例如机器，结构，以及材料。" sqref="O229"/>
    <dataValidation allowBlank="1" showInputMessage="1" showErrorMessage="1" promptTitle="Literature (05%)" prompt="使用者可以根据所学习的程度跳出相应的舞蹈。越难的舞蹈鉴定遇难。比如冰上华尔兹，可能就得进行联合鉴定才能成功。该技能适用RP，请自行扮演。" sqref="M230"/>
    <dataValidation allowBlank="1" showInputMessage="1" showErrorMessage="1" promptTitle="Meteorology (01%)" prompt="这是门关于大气的科学研究，包括天气系统和形态，以及大气现象。使用这项技能可以判断长期的天气形态以及对其影响进行预报，例如雨、雪以及雾。" sqref="O230"/>
    <dataValidation allowBlank="1" showInputMessage="1" showErrorMessage="1" promptTitle="提示" prompt="现金单位自行更换" sqref="Z230:AA230"/>
    <dataValidation allowBlank="1" showInputMessage="1" showErrorMessage="1" promptTitle="Vintage (05%)" prompt="技艺者可以花费一段时间来酿酒。如果失败了或许酿出来的只是酒糟吧。可以通过品酒来得出酒的度数、类别，或许也能知道这酒的出处吧。" sqref="M231"/>
    <dataValidation allowBlank="1" showInputMessage="1" showErrorMessage="1" promptTitle="Forensic(01%)" prompt="对于证据的分析和检定的研究。通常与犯罪现场调查（检验指纹、DNA、头发以及体液）和实验室工作相联系，以此来确定真相以及为法庭争论提供专业的证人和证据。" sqref="O231"/>
    <dataValidation allowBlank="1" showInputMessage="1" showErrorMessage="1" promptTitle="Fishing (05%)" prompt="技艺者可以使用鱼竿、鱼叉、渔网等工具进行捕鱼。大成功说不定能钓到美人鱼上钩喔。" sqref="M232"/>
    <dataValidation allowBlank="1" showInputMessage="1" showErrorMessage="1" promptTitle="Singing (05%)" prompt="唱歌有很多唱法，在选择歌唱的时候请自行选择一种唱法写入背景故事，比如：演歌、歌剧歌唱、流行歌等。如果歌唱失败，会让人恨不得撕烂他的嘴。死亡歌声或许能吓退什么呢？" sqref="M233"/>
    <dataValidation allowBlank="1" showInputMessage="1" showErrorMessage="1" promptTitle="Terracotta (05%)" prompt="使用者可以用来伪造陶瓷器，或者能理解某些陶瓷器的烧制过程。或许在某些时候（荒野求生）能有所帮助吧。" sqref="M234"/>
    <dataValidation allowBlank="1" showInputMessage="1" showErrorMessage="1" promptTitle="Sculpture (05%)" prompt="使用者可以以雕塑为生，也可以通过一个困难以上鉴定来进行速刻。通过一个普通鉴定能了解到某些雕塑的诞生过程以及他的材质。当然，有时候你也可以大开脑洞凿个中空的雕塑做点什么？" sqref="M235"/>
    <dataValidation allowBlank="1" showInputMessage="1" showErrorMessage="1" promptTitle="Acrobatics (05%)" prompt="技艺者可以进行某些杂耍技巧，或者变戏法之类的技巧。可以配合跳跃进行空中动作，配合妙手变魔术等。如果进行跑酷的话也可以使用杂技进行鉴定。在跳楼的时候可以通过该技能代替跳跃来减免伤害。" sqref="M236"/>
    <dataValidation allowBlank="1" showInputMessage="1" showErrorMessage="1" promptTitle="提示" prompt="以下汇率的时间为2018年10月" sqref="X236 Z241:AC241 AI253"/>
    <dataValidation allowBlank="1" showInputMessage="1" showErrorMessage="1" promptTitle="Geomantic Omen (05%)" prompt="风水是一门很神奇的技艺。风水本为相地之术，即临场校察地理的方法，也叫地相、古称堪舆术。可以使用查看罗盘等风水工具来得知住宅基地、坟地等的自然形势的方位格局，以辨凶吉。如果迷路，或许也能凭此逃出生天。（该技能KP暗骰）" sqref="M237"/>
    <dataValidation allowBlank="1" showInputMessage="1" showErrorMessage="1" promptTitle="Technical Drawing (05%)" prompt="技术制图，主要是建筑师凭此设计建筑的说法（自行脑补，以下省略XX字）" sqref="M238"/>
    <dataValidation allowBlank="1" showInputMessage="1" showErrorMessage="1" promptTitle="Farming (05%)" prompt="耕作，指从事农耕。泛指农事。耕作制度是指在农业生产中，为了达到持续高产所采取的全部农田技术措施。它主要包括种植制度、土壤耕作制、施肥和杂草防除制度等环节。" sqref="M239"/>
    <dataValidation allowBlank="1" showInputMessage="1" showErrorMessage="1" promptTitle="Typing (05%)" prompt="打字也称文字录入，包括数字录入、中文录入、英文录入（字母）、日文录入（平假名）、德文录入等。以前，使用打字机来打字，即使用电脑来打字。" sqref="M240"/>
    <dataValidation allowBlank="1" showInputMessage="1" showErrorMessage="1" promptTitle="Stenography (05%)" prompt="速记是一门用特殊符号系统记录语音的快写实用技术。大多数人印象中的速记还是传统的手写速记，记录后的稿件是一个个类似蝌蚪的符号，而且需要一段时间把速记符号转化成文字。现在兴起的电脑速记，记录的结果是普通文字信息，不需要再做文字转写工作，能够跟说话同步。电视里现场直播中能够立即出现字幕，电脑速记员就是幕后英雄。" sqref="M241"/>
    <dataValidation allowBlank="1" showInputMessage="1" showErrorMessage="1" promptTitle="Carpenter (05%)" prompt="木匠，亦称“木工”，指在制造家具零件、门窗框架，或其他木制品过程中用手工工具或机器工具进行操作的人。木匠从事的行业是很广泛的，他们不仅可以制作各种家具，在建筑行业、装饰行业、广告行业等都离不开木匠。" sqref="M242"/>
    <dataValidation allowBlank="1" showInputMessage="1" showErrorMessage="1" promptTitle="Opera（05%）" prompt="歌剧是一门西方舞台表演艺术，简单而言就是主要或完全以歌唱和音乐来交代和表达剧情的戏剧。歌手和合唱团常有一队乐器手负责伴奏，有的歌剧只需一队小乐队，有的则需要一团完整的管弦乐团。有些歌剧中都会穿插有舞蹈表演，如不少法语歌剧都有一场芭蕾舞表演。歌剧被视为西方古典音乐传统的一部分。" sqref="M244"/>
    <dataValidation allowBlank="1" showInputMessage="1" showErrorMessage="1" promptTitle="Painter（05%）" prompt="油漆工制定了油漆工规范及相关标准。油漆工是土建专业的专业工种之一，指使用手工工具或机具，把涂料涂刷或喷刷在建筑物表面和门窗表面，以及裱糊饰面和裁装玻璃的专业人员。" sqref="M245"/>
    <dataValidation allowBlank="1" showInputMessage="1" showErrorMessage="1" promptTitle="Vacuum-Tube Blower (05%)" prompt="吹真空管实为吹制玻璃管。吹制玻璃管分为人工吹制和机械吹制。人工吹制是一项古老的工艺。人工吹制时使用长约1.5m中空铁吹管，一端蘸取玻璃液，一端为吹嘴。挑料后在滚料板（碗）上滚匀、吹气，形成玻璃料泡，在模中吹成制品。机械吹制时，玻璃液由玻璃熔窑出口流出，经供料机形成设定重量和形状的料滴，剪入初型模中吹成或压成初型，再转入成型模中吹成制品。" sqref="M246"/>
    <dataValidation allowBlank="1" showInputMessage="1" showErrorMessage="1" sqref="S4:S12"/>
    <dataValidation allowBlank="1" showInputMessage="1" showErrorMessage="1" promptTitle="Fighting (不定) [无法孤注一骰]" prompt="- 格斗技能指的是一名角色在近距离战斗上的技能。你可以花费一定的点数来获得任何的专业化技能。&#10;- 作为类属的“格斗”技能不能够获得。选择对你的调查员的职业以及当时历史合适的专业格斗技能。&#10;- 那些有着 50%或者以上的格斗（斗殴）技能的&#10;调查员可能会希望选择一种正规的训练，并且作为背景的一部分来对他们的技能程度进行解释。&#10;- 格斗方式存在着各种各样的。武术只是单纯的一种提升一个人战斗技巧的方式。决定角色是如何学习格斗的，是否是从正规的军队训练，武术教室，或者以自己的努力从街头格斗中学会。[例如跆拳道]" sqref="X43:X46"/>
    <dataValidation allowBlank="1" showInputMessage="1" showErrorMessage="1" promptTitle="Firearms (不定) [无法孤注一骰]" prompt="- 包括了各种形式的火器，也包括了弓箭和弩。&#10;- 你可以花费技能点数来获得任何专业化技能。&#10;- 作为属类的“射击”技能不能被获得。选择与你调查员的职业与时代历史相契合的专业化技能。" sqref="X47:X50"/>
    <dataValidation allowBlank="1" showInputMessage="1" showErrorMessage="1" promptTitle="Language (Other)[01%]" prompt="- 当选择这个技能，必须明确一个具体的语言并且&#10;写在技能后面。&#10;- 一个人可以了解任何数量的语言。这项技能代表使用者可以了解，说，读以及写一门不是他母语的语言的可能性。&#10;- 远古或者不知名语言（例如 Aklo，Hyperborean&#10;这两种神话语言）不能被选择（除非 KP 同意）&#10;- 通常意义上的早期语言可以被选择。KP 可以提高难度等级，如果遇见了用那门语言的古式的演讲或者写作。&#10;- 单次的其他语言技能检定的成功通常允许对整本书的理解。" sqref="X55:X57"/>
    <dataValidation allowBlank="1" showInputMessage="1" showErrorMessage="1" promptTitle="Science (01%)" prompt="- 科学专业上的理论和实践的能力，拥有这个技能的人接受过一定程度的正式的教育或者训练，尽管一名博览群书的业余科学家也是可能存在的。&#10;- 对于知识的理解和认识受到游戏时代的限制。你可以花费点数&#10;来获得任何你想要的专业化技能。&#10;- 作为属类的“科学”技能不能被获得。&#10;- 每个专业化技能包括了一门专门的学科，并且列表所给出的并不是全部。许多专业跨越了不同的知识领域，并且有所重叠，例如数学和密码学，植物学和生物学，化学和药学。" sqref="X74:X76"/>
  </dataValidations>
  <pageMargins left="0.75" right="0.75" top="1" bottom="1" header="0.511805555555556" footer="0.511805555555556"/>
  <headerFooter/>
  <ignoredErrors>
    <ignoredError sqref="M18" unlocked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6"/>
  <sheetViews>
    <sheetView workbookViewId="0">
      <selection activeCell="H11" sqref="H11"/>
    </sheetView>
  </sheetViews>
  <sheetFormatPr defaultColWidth="10" defaultRowHeight="14"/>
  <cols>
    <col min="1" max="16384" width="10" style="1089"/>
  </cols>
  <sheetData>
    <row r="1" spans="1:12">
      <c r="A1" s="1090" t="s">
        <v>2271</v>
      </c>
      <c r="B1" s="1091" t="s">
        <v>2272</v>
      </c>
      <c r="C1" s="1091"/>
      <c r="D1" s="1090" t="s">
        <v>2273</v>
      </c>
      <c r="E1" s="1092" t="s">
        <v>2274</v>
      </c>
      <c r="F1" s="1092"/>
      <c r="G1" s="1090" t="s">
        <v>2275</v>
      </c>
      <c r="H1" s="1093" t="str">
        <f>VLOOKUP(E1,宠物图鉴!A2:AU56,2,FALSE)</f>
        <v>小型</v>
      </c>
      <c r="J1" s="1123" t="s">
        <v>2276</v>
      </c>
      <c r="K1" s="1124" t="s">
        <v>2277</v>
      </c>
      <c r="L1" s="1125"/>
    </row>
    <row r="2" spans="1:12">
      <c r="A2" s="1090" t="s">
        <v>2278</v>
      </c>
      <c r="B2" s="1094" t="str">
        <f>VLOOKUP(E1,宠物图鉴!A2:AU56,3,FALSE)</f>
        <v>牙齿和爪子</v>
      </c>
      <c r="C2" s="1094"/>
      <c r="D2" s="1090" t="s">
        <v>2279</v>
      </c>
      <c r="E2" s="1095">
        <f>VLOOKUP(E1,宠物图鉴!A2:AU56,18,FALSE)</f>
        <v>1</v>
      </c>
      <c r="F2" s="1095" t="s">
        <v>2280</v>
      </c>
      <c r="G2" s="1090" t="s">
        <v>2281</v>
      </c>
      <c r="H2" s="1096">
        <v>0</v>
      </c>
      <c r="J2" s="1126" t="s">
        <v>2282</v>
      </c>
      <c r="K2" s="1127" t="s">
        <v>2283</v>
      </c>
      <c r="L2" s="1128"/>
    </row>
    <row r="3" spans="1:12">
      <c r="A3" s="1090" t="s">
        <v>366</v>
      </c>
      <c r="B3" s="1094" t="str">
        <f>M18</f>
        <v>-2</v>
      </c>
      <c r="C3" s="1094"/>
      <c r="D3" s="1090" t="s">
        <v>2284</v>
      </c>
      <c r="E3" s="1094" t="str">
        <f>M20</f>
        <v>-2</v>
      </c>
      <c r="F3" s="1094"/>
      <c r="G3" s="1090" t="s">
        <v>2285</v>
      </c>
      <c r="H3" s="1097"/>
      <c r="J3" s="1126" t="s">
        <v>2286</v>
      </c>
      <c r="K3" s="1127" t="s">
        <v>2287</v>
      </c>
      <c r="L3" s="1128"/>
    </row>
    <row r="4" spans="1:12">
      <c r="A4" s="1090" t="s">
        <v>365</v>
      </c>
      <c r="B4" s="1094" t="str">
        <f>VLOOKUP(E1,宠物图鉴!A2:AU56,16,0)</f>
        <v>12/6游泳</v>
      </c>
      <c r="C4" s="1094"/>
      <c r="D4" s="1090" t="s">
        <v>367</v>
      </c>
      <c r="E4" s="1094">
        <f>VLOOKUP(E1,宠物图鉴!A2:AU56,17,0)</f>
        <v>0</v>
      </c>
      <c r="F4" s="1094"/>
      <c r="G4" s="1090" t="s">
        <v>2288</v>
      </c>
      <c r="H4" s="1097"/>
      <c r="J4" s="1126" t="s">
        <v>2289</v>
      </c>
      <c r="K4" s="1127" t="s">
        <v>2290</v>
      </c>
      <c r="L4" s="1128"/>
    </row>
    <row r="5" ht="14.75" spans="1:12">
      <c r="A5" s="1090" t="s">
        <v>2291</v>
      </c>
      <c r="B5" s="1098">
        <v>0</v>
      </c>
      <c r="C5" s="1094">
        <f>(D11+D12)/10</f>
        <v>7.8</v>
      </c>
      <c r="D5" s="1099" t="s">
        <v>2292</v>
      </c>
      <c r="E5" s="1098">
        <v>0</v>
      </c>
      <c r="F5" s="1094">
        <f>D15/5</f>
        <v>3.6</v>
      </c>
      <c r="G5" s="1090" t="s">
        <v>2293</v>
      </c>
      <c r="H5" s="1097"/>
      <c r="J5" s="1129" t="s">
        <v>2294</v>
      </c>
      <c r="K5" s="1130" t="s">
        <v>2295</v>
      </c>
      <c r="L5" s="1131"/>
    </row>
    <row r="6" spans="1:12">
      <c r="A6" s="1090" t="s">
        <v>2296</v>
      </c>
      <c r="B6" s="1098">
        <v>0</v>
      </c>
      <c r="C6" s="1094">
        <f>D14</f>
        <v>36</v>
      </c>
      <c r="D6" s="1099" t="s">
        <v>343</v>
      </c>
      <c r="E6" s="1100" t="s">
        <v>39</v>
      </c>
      <c r="F6" s="1100" t="s">
        <v>525</v>
      </c>
      <c r="G6" s="1090" t="s">
        <v>2297</v>
      </c>
      <c r="H6" s="1097"/>
      <c r="J6" s="1132" t="s">
        <v>2298</v>
      </c>
      <c r="K6" s="1133">
        <f>人物卡!R26</f>
        <v>0</v>
      </c>
      <c r="L6" s="1134"/>
    </row>
    <row r="7" ht="14.75" spans="1:15">
      <c r="A7" s="1101" t="s">
        <v>297</v>
      </c>
      <c r="B7" s="1099">
        <f>VLOOKUP(E1,宠物图鉴!A2:AU56,45,0)</f>
        <v>0</v>
      </c>
      <c r="C7" s="1099"/>
      <c r="D7" s="1099"/>
      <c r="E7" s="1099"/>
      <c r="F7" s="1099"/>
      <c r="G7" s="1099"/>
      <c r="H7" s="1099"/>
      <c r="J7" s="1135" t="s">
        <v>2299</v>
      </c>
      <c r="K7" s="1136"/>
      <c r="L7" s="1137" t="s">
        <v>2300</v>
      </c>
      <c r="M7" s="1138"/>
      <c r="N7" s="1138"/>
      <c r="O7" s="1139"/>
    </row>
    <row r="8" ht="14.75" spans="1:15">
      <c r="A8" s="1102"/>
      <c r="B8" s="1099"/>
      <c r="C8" s="1099"/>
      <c r="D8" s="1099"/>
      <c r="E8" s="1099"/>
      <c r="F8" s="1099"/>
      <c r="G8" s="1099"/>
      <c r="H8" s="1099"/>
      <c r="J8" s="1140" t="s">
        <v>2274</v>
      </c>
      <c r="K8" s="1141"/>
      <c r="L8" s="1142" t="s">
        <v>2301</v>
      </c>
      <c r="M8" s="1143"/>
      <c r="N8" s="1143"/>
      <c r="O8" s="1144"/>
    </row>
    <row r="9" ht="14.75" spans="1:15">
      <c r="A9" s="1103"/>
      <c r="B9" s="1104" t="s">
        <v>2302</v>
      </c>
      <c r="C9" s="1104" t="s">
        <v>2303</v>
      </c>
      <c r="D9" s="1105" t="s">
        <v>2304</v>
      </c>
      <c r="E9" s="1104" t="s">
        <v>2305</v>
      </c>
      <c r="F9" s="1104" t="s">
        <v>2306</v>
      </c>
      <c r="G9" s="1106" t="s">
        <v>2307</v>
      </c>
      <c r="H9" s="1107" t="s">
        <v>2308</v>
      </c>
      <c r="J9" s="1140"/>
      <c r="K9" s="1141"/>
      <c r="L9" s="1142"/>
      <c r="M9" s="1143"/>
      <c r="N9" s="1143"/>
      <c r="O9" s="1144"/>
    </row>
    <row r="10" ht="14.75" spans="1:15">
      <c r="A10" s="1103" t="s">
        <v>370</v>
      </c>
      <c r="B10" s="1104">
        <f>VLOOKUP(E1,宠物图鉴!A2:AU56,4,0)</f>
        <v>24</v>
      </c>
      <c r="C10" s="1100"/>
      <c r="D10" s="1105">
        <f t="shared" ref="D10:D15" si="0">B10+C10+H10</f>
        <v>24</v>
      </c>
      <c r="E10" s="1104">
        <f t="shared" ref="E10:E15" si="1">D10/2</f>
        <v>12</v>
      </c>
      <c r="F10" s="1104">
        <f t="shared" ref="F10:F15" si="2">D10/5</f>
        <v>4.8</v>
      </c>
      <c r="G10" s="1108">
        <f>VLOOKUP(E1,宠物图鉴!A2:AU56,5,0)+H10</f>
        <v>60</v>
      </c>
      <c r="H10" s="1109"/>
      <c r="J10" s="1140"/>
      <c r="K10" s="1141"/>
      <c r="L10" s="1142"/>
      <c r="M10" s="1143"/>
      <c r="N10" s="1143"/>
      <c r="O10" s="1144"/>
    </row>
    <row r="11" ht="14.75" spans="1:15">
      <c r="A11" s="1103" t="s">
        <v>377</v>
      </c>
      <c r="B11" s="1104">
        <f>VLOOKUP(E1,宠物图鉴!A2:AU56,6,0)</f>
        <v>54</v>
      </c>
      <c r="C11" s="1100"/>
      <c r="D11" s="1105">
        <f t="shared" si="0"/>
        <v>54</v>
      </c>
      <c r="E11" s="1104">
        <f t="shared" si="1"/>
        <v>27</v>
      </c>
      <c r="F11" s="1104">
        <f t="shared" si="2"/>
        <v>10.8</v>
      </c>
      <c r="G11" s="1108">
        <f>VLOOKUP(E1,宠物图鉴!A2:AU56,7,0)+H11</f>
        <v>90</v>
      </c>
      <c r="H11" s="1109"/>
      <c r="J11" s="1140"/>
      <c r="K11" s="1141"/>
      <c r="L11" s="1142"/>
      <c r="M11" s="1143"/>
      <c r="N11" s="1143"/>
      <c r="O11" s="1144"/>
    </row>
    <row r="12" ht="14.75" spans="1:15">
      <c r="A12" s="1103" t="s">
        <v>369</v>
      </c>
      <c r="B12" s="1104">
        <f>VLOOKUP(E1,宠物图鉴!A2:AU56,8,0)</f>
        <v>24</v>
      </c>
      <c r="C12" s="1100"/>
      <c r="D12" s="1105">
        <f t="shared" si="0"/>
        <v>24</v>
      </c>
      <c r="E12" s="1104">
        <f t="shared" si="1"/>
        <v>12</v>
      </c>
      <c r="F12" s="1104">
        <f t="shared" si="2"/>
        <v>4.8</v>
      </c>
      <c r="G12" s="1108">
        <f>VLOOKUP(E1,宠物图鉴!A2:AU56,9,0)+H12</f>
        <v>60</v>
      </c>
      <c r="H12" s="1109"/>
      <c r="J12" s="1142"/>
      <c r="K12" s="1143"/>
      <c r="L12" s="1142"/>
      <c r="M12" s="1143"/>
      <c r="N12" s="1143"/>
      <c r="O12" s="1144"/>
    </row>
    <row r="13" spans="1:8">
      <c r="A13" s="1103" t="s">
        <v>371</v>
      </c>
      <c r="B13" s="1104">
        <f>VLOOKUP(E1,宠物图鉴!A2:AU56,10,0)</f>
        <v>72</v>
      </c>
      <c r="C13" s="1100"/>
      <c r="D13" s="1105">
        <f t="shared" si="0"/>
        <v>72</v>
      </c>
      <c r="E13" s="1104">
        <f t="shared" si="1"/>
        <v>36</v>
      </c>
      <c r="F13" s="1104">
        <f t="shared" si="2"/>
        <v>14.4</v>
      </c>
      <c r="G13" s="1108">
        <f>VLOOKUP(E1,宠物图鉴!A2:AU56,11,0)+H13</f>
        <v>120</v>
      </c>
      <c r="H13" s="1109"/>
    </row>
    <row r="14" ht="14.5" spans="1:13">
      <c r="A14" s="1103" t="s">
        <v>374</v>
      </c>
      <c r="B14" s="1104">
        <f>VLOOKUP(E1,宠物图鉴!A2:AU56,12,0)</f>
        <v>36</v>
      </c>
      <c r="C14" s="1100"/>
      <c r="D14" s="1105">
        <f t="shared" si="0"/>
        <v>36</v>
      </c>
      <c r="E14" s="1104">
        <f t="shared" si="1"/>
        <v>18</v>
      </c>
      <c r="F14" s="1104">
        <f t="shared" si="2"/>
        <v>7.2</v>
      </c>
      <c r="G14" s="1108">
        <f>VLOOKUP(E1,宠物图鉴!A2:AU56,13,0)+H14</f>
        <v>60</v>
      </c>
      <c r="H14" s="1109"/>
      <c r="K14" s="1145" t="s">
        <v>515</v>
      </c>
      <c r="L14" s="1145"/>
      <c r="M14" s="1145"/>
    </row>
    <row r="15" ht="14.5" spans="1:13">
      <c r="A15" s="1103" t="s">
        <v>373</v>
      </c>
      <c r="B15" s="1104">
        <f>VLOOKUP(E1,宠物图鉴!A2:AU56,14,0)</f>
        <v>18</v>
      </c>
      <c r="C15" s="1100"/>
      <c r="D15" s="1105">
        <f t="shared" si="0"/>
        <v>18</v>
      </c>
      <c r="E15" s="1104">
        <f t="shared" si="1"/>
        <v>9</v>
      </c>
      <c r="F15" s="1104">
        <f t="shared" si="2"/>
        <v>3.6</v>
      </c>
      <c r="G15" s="1108">
        <f>VLOOKUP(E1,宠物图鉴!A2:AU56,15,0)+H15</f>
        <v>90</v>
      </c>
      <c r="H15" s="1109"/>
      <c r="K15" s="1146" t="s">
        <v>527</v>
      </c>
      <c r="L15" s="1146"/>
      <c r="M15" s="1146"/>
    </row>
    <row r="16" s="1089" customFormat="1" spans="1:13">
      <c r="A16" s="1110"/>
      <c r="B16" s="1110"/>
      <c r="C16" s="1110"/>
      <c r="D16" s="1110"/>
      <c r="E16" s="1110"/>
      <c r="F16" s="1110"/>
      <c r="G16" s="1110"/>
      <c r="H16" s="1110"/>
      <c r="K16" s="1147">
        <f>D10+D12</f>
        <v>48</v>
      </c>
      <c r="L16" s="1147"/>
      <c r="M16" s="1147"/>
    </row>
    <row r="17" s="1089" customFormat="1" spans="1:13">
      <c r="A17" s="1111" t="s">
        <v>195</v>
      </c>
      <c r="B17" s="1112">
        <f>VLOOKUP(E1,宠物图鉴!A2:AU56,19,0)</f>
        <v>50</v>
      </c>
      <c r="C17" s="1113"/>
      <c r="D17" s="1114">
        <f>B17+C17</f>
        <v>50</v>
      </c>
      <c r="E17" s="1115" t="str">
        <f>VLOOKUP(E1,宠物图鉴!A2:AU56,20)</f>
        <v>1d6</v>
      </c>
      <c r="F17" s="1115"/>
      <c r="G17" s="1115" t="s">
        <v>334</v>
      </c>
      <c r="H17" s="1115"/>
      <c r="K17" s="1147" t="s">
        <v>532</v>
      </c>
      <c r="L17" s="1147" t="s">
        <v>533</v>
      </c>
      <c r="M17" s="1147" t="s">
        <v>534</v>
      </c>
    </row>
    <row r="18" s="1089" customFormat="1" spans="1:13">
      <c r="A18" s="1111" t="s">
        <v>105</v>
      </c>
      <c r="B18" s="1112">
        <f>VLOOKUP(E1,宠物图鉴!A2:AU56,21,0)</f>
        <v>42</v>
      </c>
      <c r="C18" s="1113"/>
      <c r="D18" s="1114">
        <f>B18+C18</f>
        <v>42</v>
      </c>
      <c r="E18" s="1116">
        <f>B18/2</f>
        <v>21</v>
      </c>
      <c r="F18" s="1116">
        <f>B18/5</f>
        <v>8.4</v>
      </c>
      <c r="G18" s="1112" t="s">
        <v>2309</v>
      </c>
      <c r="H18" s="1112"/>
      <c r="K18" s="1147" t="str">
        <f>IF(K16&lt;=1,"0",IF(K16&lt;=64,"-2",IF(K16&lt;=84,"-1",IF(K16&lt;=124,"0",IF(K16&lt;=164,"1",IF(K16&lt;=204,"2",IF(K16&lt;=284,"3",IF(K16&gt;284,"4","0"))))))))</f>
        <v>-2</v>
      </c>
      <c r="L18" s="1147">
        <f>INT((K16-285)/80)</f>
        <v>-3</v>
      </c>
      <c r="M18" s="1147" t="str">
        <f>IF(L18&gt;=0,L18+K18,K18)</f>
        <v>-2</v>
      </c>
    </row>
    <row r="19" s="1089" customFormat="1" spans="1:13">
      <c r="A19" s="1111" t="s">
        <v>2310</v>
      </c>
      <c r="B19" s="1112" t="str">
        <f>VLOOKUP(E1,宠物图鉴!A2:AU56,22,0)</f>
        <v>追逐猎物</v>
      </c>
      <c r="C19" s="1117" t="str">
        <f>VLOOKUP(E1,宠物图鉴!A2:AU56,24,0)</f>
        <v>除非掩盖身形和气味，否则难以摆脱追踪</v>
      </c>
      <c r="D19" s="1117"/>
      <c r="E19" s="1117"/>
      <c r="F19" s="1117"/>
      <c r="G19" s="1118" t="str">
        <f>VLOOKUP(E1,宠物图鉴!A2:AU56,23,0)</f>
        <v>潜行对抗</v>
      </c>
      <c r="H19" s="1118"/>
      <c r="K19" s="1147" t="s">
        <v>538</v>
      </c>
      <c r="L19" s="1147" t="s">
        <v>539</v>
      </c>
      <c r="M19" s="1147" t="s">
        <v>540</v>
      </c>
    </row>
    <row r="20" s="1089" customFormat="1" spans="1:13">
      <c r="A20" s="1119" t="str">
        <f>IF(VLOOKUP(E1,宠物图鉴!A2:AU56,25,0)=0,"技能A",VLOOKUP(E1,宠物图鉴!A2:AU56,25,0))</f>
        <v>聆听</v>
      </c>
      <c r="B20" s="1112">
        <f>VLOOKUP(E1,宠物图鉴!A2:AU56,26,0)</f>
        <v>75</v>
      </c>
      <c r="C20" s="1113"/>
      <c r="D20" s="1114">
        <f t="shared" ref="D20:D25" si="3">$B20+$C20</f>
        <v>75</v>
      </c>
      <c r="E20" s="1118" t="str">
        <f>VLOOKUP(E1,宠物图鉴!A2:AU56,27,0)</f>
        <v>略</v>
      </c>
      <c r="F20" s="1118"/>
      <c r="G20" s="1118"/>
      <c r="H20" s="1118"/>
      <c r="K20" s="1147" t="str">
        <f>IF(M18="-2","-2",IF(M18="-1","-1",IF(M18="0","0",IF(M18="1","+1D4",IF(M18=2,"+1D6",IF(M18&gt;2,"D6",0))))))</f>
        <v>-2</v>
      </c>
      <c r="L20" s="1147" t="str">
        <f>IF(K20="D6",M18-1,"0")</f>
        <v>0</v>
      </c>
      <c r="M20" s="1147" t="str">
        <f>IF(K20="D6",L21,K20)</f>
        <v>-2</v>
      </c>
    </row>
    <row r="21" s="1089" customFormat="1" spans="1:13">
      <c r="A21" s="1119" t="str">
        <f>IF(VLOOKUP(E1,宠物图鉴!A2:AU56,28,0)=0,"技能B",VLOOKUP(E1,宠物图鉴!A2:AU56,28,0))</f>
        <v>嗅探</v>
      </c>
      <c r="B21" s="1112">
        <f>VLOOKUP(E1,宠物图鉴!A2:AU56,29,0)</f>
        <v>90</v>
      </c>
      <c r="C21" s="1113"/>
      <c r="D21" s="1114">
        <f t="shared" si="3"/>
        <v>90</v>
      </c>
      <c r="E21" s="1118" t="str">
        <f>VLOOKUP(E1,宠物图鉴!A2:AU56,30,0)</f>
        <v>同追踪，寻宝</v>
      </c>
      <c r="F21" s="1118"/>
      <c r="G21" s="1118"/>
      <c r="H21" s="1118"/>
      <c r="K21" s="1147"/>
      <c r="L21" s="1147" t="str">
        <f>"+"&amp;L20&amp;"D6"</f>
        <v>+0D6</v>
      </c>
      <c r="M21" s="1147"/>
    </row>
    <row r="22" s="1089" customFormat="1" spans="1:8">
      <c r="A22" s="1119" t="str">
        <f>IF(VLOOKUP(E1,宠物图鉴!A2:AU56,31,0)=0,"技能C",VLOOKUP(E1,宠物图鉴!A2:AU56,31,0))</f>
        <v>技能C</v>
      </c>
      <c r="B22" s="1112">
        <f>VLOOKUP($E$1,宠物图鉴!$A$2:$AU$56,32,0)</f>
        <v>0</v>
      </c>
      <c r="C22" s="1113"/>
      <c r="D22" s="1114">
        <f t="shared" si="3"/>
        <v>0</v>
      </c>
      <c r="E22" s="1118">
        <f>VLOOKUP($E$1,宠物图鉴!$A$2:$AU$56,33,0)</f>
        <v>0</v>
      </c>
      <c r="F22" s="1118"/>
      <c r="G22" s="1118"/>
      <c r="H22" s="1118"/>
    </row>
    <row r="23" s="1089" customFormat="1" ht="14.75" spans="1:8">
      <c r="A23" s="1119" t="str">
        <f>IF(VLOOKUP(E1,宠物图鉴!A2:AU56,34,0)=0,"技能D",VLOOKUP(E1,宠物图鉴!A2:AU56,34,0))</f>
        <v>技能D</v>
      </c>
      <c r="B23" s="1112">
        <f>VLOOKUP(E1,宠物图鉴!A2:AU56,35,0)</f>
        <v>0</v>
      </c>
      <c r="C23" s="1113"/>
      <c r="D23" s="1114">
        <f t="shared" si="3"/>
        <v>0</v>
      </c>
      <c r="E23" s="1118">
        <f>VLOOKUP(E1,宠物图鉴!A2:AU56,36,0)</f>
        <v>0</v>
      </c>
      <c r="F23" s="1118"/>
      <c r="G23" s="1118"/>
      <c r="H23" s="1118"/>
    </row>
    <row r="24" s="1089" customFormat="1" spans="1:15">
      <c r="A24" s="1119" t="str">
        <f>IF(VLOOKUP(E1,宠物图鉴!A2:AU56,37,0)=0,"技能E",VLOOKUP(E1,宠物图鉴!A2:AU56,37,0))</f>
        <v>技能E</v>
      </c>
      <c r="B24" s="1112">
        <f>VLOOKUP(E1,宠物图鉴!A2:AU56,38,0)</f>
        <v>0</v>
      </c>
      <c r="C24" s="1113"/>
      <c r="D24" s="1114">
        <f t="shared" si="3"/>
        <v>0</v>
      </c>
      <c r="E24" s="1118">
        <f>VLOOKUP(E1,宠物图鉴!A2:AU56,39,0)</f>
        <v>0</v>
      </c>
      <c r="F24" s="1118"/>
      <c r="G24" s="1118"/>
      <c r="H24" s="1118"/>
      <c r="K24" s="1148" t="s">
        <v>2311</v>
      </c>
      <c r="L24" s="1149"/>
      <c r="M24" s="1149"/>
      <c r="N24" s="1149"/>
      <c r="O24" s="1150"/>
    </row>
    <row r="25" s="1089" customFormat="1" spans="1:15">
      <c r="A25" s="1119" t="str">
        <f>IF(VLOOKUP(E1,宠物图鉴!A2:AU56,40,0)=0,"技能F",VLOOKUP(E1,宠物图鉴!A2:AU56,40,0))</f>
        <v>技能F</v>
      </c>
      <c r="B25" s="1112">
        <f>VLOOKUP(E1,宠物图鉴!A2:AU56,41,0)</f>
        <v>0</v>
      </c>
      <c r="C25" s="1113"/>
      <c r="D25" s="1114">
        <f t="shared" si="3"/>
        <v>0</v>
      </c>
      <c r="E25" s="1118">
        <f>VLOOKUP(E1,宠物图鉴!A2:AU56,42,0)</f>
        <v>0</v>
      </c>
      <c r="F25" s="1118"/>
      <c r="G25" s="1118"/>
      <c r="H25" s="1118"/>
      <c r="J25" s="1151" t="s">
        <v>2312</v>
      </c>
      <c r="K25" s="1152">
        <v>1</v>
      </c>
      <c r="L25" s="1153" t="s">
        <v>2313</v>
      </c>
      <c r="M25" s="1154" t="s">
        <v>2314</v>
      </c>
      <c r="N25" s="1154"/>
      <c r="O25" s="1155"/>
    </row>
    <row r="26" s="1089" customFormat="1" spans="1:15">
      <c r="A26" s="1120" t="str">
        <f>IF(VLOOKUP(E1,宠物图鉴!A2:AU56,43,0)=0,"特质A",VLOOKUP(E1,宠物图鉴!A2:AU56,43,0))</f>
        <v>忠诚伙伴</v>
      </c>
      <c r="B26" s="1118" t="str">
        <f>VLOOKUP(E1,宠物图鉴!A2:AU56,44,0)</f>
        <v>不会因为恐惧而逃离队友</v>
      </c>
      <c r="C26" s="1118"/>
      <c r="D26" s="1118"/>
      <c r="E26" s="1118"/>
      <c r="F26" s="1118"/>
      <c r="G26" s="1118"/>
      <c r="H26" s="1118"/>
      <c r="J26" s="1151"/>
      <c r="K26" s="1152">
        <v>2</v>
      </c>
      <c r="L26" s="1153" t="s">
        <v>2315</v>
      </c>
      <c r="M26" s="1154" t="s">
        <v>2316</v>
      </c>
      <c r="N26" s="1154"/>
      <c r="O26" s="1155"/>
    </row>
    <row r="27" s="1089" customFormat="1" spans="1:15">
      <c r="A27" s="1120" t="str">
        <f>IF(VLOOKUP(E1,宠物图鉴!A2:AU56,46,0)=0,"特质B",VLOOKUP(E1,宠物图鉴!A2:AU56,46,0))</f>
        <v>特质B</v>
      </c>
      <c r="B27" s="1118">
        <f>VLOOKUP(E1,宠物图鉴!A2:AU56,47,0)</f>
        <v>0</v>
      </c>
      <c r="C27" s="1118"/>
      <c r="D27" s="1118"/>
      <c r="E27" s="1118"/>
      <c r="F27" s="1118"/>
      <c r="G27" s="1118"/>
      <c r="H27" s="1118"/>
      <c r="J27" s="1151"/>
      <c r="K27" s="1152">
        <v>3</v>
      </c>
      <c r="L27" s="1153" t="s">
        <v>2317</v>
      </c>
      <c r="M27" s="1154" t="s">
        <v>2318</v>
      </c>
      <c r="N27" s="1154"/>
      <c r="O27" s="1155"/>
    </row>
    <row r="28" s="1089" customFormat="1" ht="17.5" spans="1:15">
      <c r="A28" s="1121" t="s">
        <v>2319</v>
      </c>
      <c r="B28" s="1121"/>
      <c r="C28" s="1121"/>
      <c r="D28" s="1121"/>
      <c r="E28" s="1121"/>
      <c r="F28" s="1121"/>
      <c r="G28" s="1121"/>
      <c r="H28" s="1121"/>
      <c r="J28" s="1151"/>
      <c r="K28" s="1152">
        <v>4</v>
      </c>
      <c r="L28" s="1153" t="s">
        <v>2320</v>
      </c>
      <c r="M28" s="1154" t="s">
        <v>2321</v>
      </c>
      <c r="N28" s="1154"/>
      <c r="O28" s="1155"/>
    </row>
    <row r="29" s="1089" customFormat="1" spans="1:15">
      <c r="A29" s="1122" t="str">
        <f>".st"&amp;B1&amp;A17&amp;D17&amp;B1&amp;A18&amp;D18&amp;IF(D20&gt;0,B1&amp;A20&amp;D20,"")&amp;IF(D21&gt;0,B1&amp;A21&amp;D21,"")&amp;IF(D22&gt;0,B1&amp;A22&amp;D22,"")&amp;IF(D23&gt;0,B1&amp;A23&amp;D23,"")&amp;IF(D24&gt;0,B1&amp;A24&amp;D24,"")&amp;IF(D25&gt;0,B1&amp;A25&amp;D25,"")&amp;B1&amp;A10&amp;D10&amp;B1&amp;A11&amp;D11&amp;B1&amp;A12&amp;D12&amp;B1&amp;A13&amp;D13&amp;B1&amp;A14&amp;D14&amp;B1&amp;A15&amp;D15&amp;B1&amp;"的生命"&amp;B5&amp;B1&amp;"生命值"&amp;B5&amp;B1&amp;"魔力"&amp;E5&amp;B1&amp;"魔力值"&amp;E5&amp;B1&amp;"理智"&amp;B6&amp;B1&amp;"理智值"&amp;E5&amp;B1&amp;"的DB"&amp;E3</f>
        <v>.st宠物格斗50宠物闪避42宠物聆听75宠物嗅探90宠物力量24宠物体质54宠物体型24宠物敏捷72宠物意志36宠物智力18宠物的生命0宠物生命值0宠物魔力0宠物魔力值0宠物理智0宠物理智值0宠物的DB-2</v>
      </c>
      <c r="B29" s="1122"/>
      <c r="C29" s="1122"/>
      <c r="D29" s="1122"/>
      <c r="E29" s="1122"/>
      <c r="F29" s="1122"/>
      <c r="G29" s="1122"/>
      <c r="H29" s="1122"/>
      <c r="J29" s="1151" t="s">
        <v>2322</v>
      </c>
      <c r="K29" s="1156">
        <v>5</v>
      </c>
      <c r="L29" s="1157" t="s">
        <v>2323</v>
      </c>
      <c r="M29" s="1154" t="s">
        <v>2324</v>
      </c>
      <c r="N29" s="1154"/>
      <c r="O29" s="1155"/>
    </row>
    <row r="30" spans="1:15">
      <c r="A30" s="1122"/>
      <c r="B30" s="1122"/>
      <c r="C30" s="1122"/>
      <c r="D30" s="1122"/>
      <c r="E30" s="1122"/>
      <c r="F30" s="1122"/>
      <c r="G30" s="1122"/>
      <c r="H30" s="1122"/>
      <c r="J30" s="1151"/>
      <c r="K30" s="1156">
        <v>6</v>
      </c>
      <c r="L30" s="1157" t="s">
        <v>2325</v>
      </c>
      <c r="M30" s="1154" t="s">
        <v>2326</v>
      </c>
      <c r="N30" s="1154"/>
      <c r="O30" s="1155"/>
    </row>
    <row r="31" spans="1:15">
      <c r="A31" s="1122"/>
      <c r="B31" s="1122"/>
      <c r="C31" s="1122"/>
      <c r="D31" s="1122"/>
      <c r="E31" s="1122"/>
      <c r="F31" s="1122"/>
      <c r="G31" s="1122"/>
      <c r="H31" s="1122"/>
      <c r="J31" s="1151"/>
      <c r="K31" s="1156">
        <v>7</v>
      </c>
      <c r="L31" s="1157" t="s">
        <v>2327</v>
      </c>
      <c r="M31" s="1154" t="s">
        <v>2328</v>
      </c>
      <c r="N31" s="1154"/>
      <c r="O31" s="1155"/>
    </row>
    <row r="32" spans="1:15">
      <c r="A32" s="1122"/>
      <c r="B32" s="1122"/>
      <c r="C32" s="1122"/>
      <c r="D32" s="1122"/>
      <c r="E32" s="1122"/>
      <c r="F32" s="1122"/>
      <c r="G32" s="1122"/>
      <c r="H32" s="1122"/>
      <c r="J32" s="1151"/>
      <c r="K32" s="1156">
        <v>8</v>
      </c>
      <c r="L32" s="1157" t="s">
        <v>2329</v>
      </c>
      <c r="M32" s="1154" t="s">
        <v>2330</v>
      </c>
      <c r="N32" s="1154"/>
      <c r="O32" s="1155"/>
    </row>
    <row r="33" spans="1:15">
      <c r="A33" s="1122"/>
      <c r="B33" s="1122"/>
      <c r="C33" s="1122"/>
      <c r="D33" s="1122"/>
      <c r="E33" s="1122"/>
      <c r="F33" s="1122"/>
      <c r="G33" s="1122"/>
      <c r="H33" s="1122"/>
      <c r="J33" s="1151" t="s">
        <v>2331</v>
      </c>
      <c r="K33" s="1158">
        <v>9</v>
      </c>
      <c r="L33" s="1154" t="s">
        <v>525</v>
      </c>
      <c r="M33" s="1154" t="s">
        <v>2332</v>
      </c>
      <c r="N33" s="1154"/>
      <c r="O33" s="1155"/>
    </row>
    <row r="34" ht="14.75" spans="1:15">
      <c r="A34" s="1122"/>
      <c r="B34" s="1122"/>
      <c r="C34" s="1122"/>
      <c r="D34" s="1122"/>
      <c r="E34" s="1122"/>
      <c r="F34" s="1122"/>
      <c r="G34" s="1122"/>
      <c r="H34" s="1122"/>
      <c r="J34" s="1151"/>
      <c r="K34" s="1159">
        <v>10</v>
      </c>
      <c r="L34" s="1160" t="s">
        <v>2333</v>
      </c>
      <c r="M34" s="1160" t="s">
        <v>2334</v>
      </c>
      <c r="N34" s="1160"/>
      <c r="O34" s="1161"/>
    </row>
    <row r="35" spans="1:8">
      <c r="A35" s="1122"/>
      <c r="B35" s="1122"/>
      <c r="C35" s="1122"/>
      <c r="D35" s="1122"/>
      <c r="E35" s="1122"/>
      <c r="F35" s="1122"/>
      <c r="G35" s="1122"/>
      <c r="H35" s="1122"/>
    </row>
    <row r="36" spans="1:8">
      <c r="A36" s="1122"/>
      <c r="B36" s="1122"/>
      <c r="C36" s="1122"/>
      <c r="D36" s="1122"/>
      <c r="E36" s="1122"/>
      <c r="F36" s="1122"/>
      <c r="G36" s="1122"/>
      <c r="H36" s="1122"/>
    </row>
    <row r="37" spans="1:8">
      <c r="A37" s="1122"/>
      <c r="B37" s="1122"/>
      <c r="C37" s="1122"/>
      <c r="D37" s="1122"/>
      <c r="E37" s="1122"/>
      <c r="F37" s="1122"/>
      <c r="G37" s="1122"/>
      <c r="H37" s="1122"/>
    </row>
    <row r="38" spans="1:8">
      <c r="A38" s="1122"/>
      <c r="B38" s="1122"/>
      <c r="C38" s="1122"/>
      <c r="D38" s="1122"/>
      <c r="E38" s="1122"/>
      <c r="F38" s="1122"/>
      <c r="G38" s="1122"/>
      <c r="H38" s="1122"/>
    </row>
    <row r="39" ht="13" customHeight="1"/>
    <row r="41" spans="2:2">
      <c r="B41" s="1089" t="s">
        <v>2335</v>
      </c>
    </row>
    <row r="42" spans="2:2">
      <c r="B42" s="1089" t="s">
        <v>2336</v>
      </c>
    </row>
    <row r="43" spans="2:2">
      <c r="B43" s="1089" t="s">
        <v>2337</v>
      </c>
    </row>
    <row r="44" spans="2:2">
      <c r="B44" s="1089" t="s">
        <v>2338</v>
      </c>
    </row>
    <row r="45" spans="2:2">
      <c r="B45" s="1089" t="s">
        <v>2339</v>
      </c>
    </row>
    <row r="46" spans="2:2">
      <c r="B46" s="1089" t="s">
        <v>2340</v>
      </c>
    </row>
    <row r="47" spans="2:2">
      <c r="B47" s="1089" t="s">
        <v>2341</v>
      </c>
    </row>
    <row r="48" spans="2:2">
      <c r="B48" s="1089" t="s">
        <v>2342</v>
      </c>
    </row>
    <row r="49" spans="2:2">
      <c r="B49" s="1089" t="s">
        <v>2343</v>
      </c>
    </row>
    <row r="50" spans="2:2">
      <c r="B50" s="1089" t="s">
        <v>2344</v>
      </c>
    </row>
    <row r="51" spans="2:2">
      <c r="B51" s="1089" t="s">
        <v>2345</v>
      </c>
    </row>
    <row r="52" spans="2:2">
      <c r="B52" s="1089" t="s">
        <v>2346</v>
      </c>
    </row>
    <row r="53" spans="2:2">
      <c r="B53" s="1089" t="s">
        <v>2347</v>
      </c>
    </row>
    <row r="54" spans="2:2">
      <c r="B54" s="1089" t="s">
        <v>2348</v>
      </c>
    </row>
    <row r="55" spans="2:2">
      <c r="B55" s="1089" t="s">
        <v>2349</v>
      </c>
    </row>
    <row r="56" spans="2:2">
      <c r="B56" s="1089" t="s">
        <v>2350</v>
      </c>
    </row>
    <row r="57" spans="2:2">
      <c r="B57" s="1089" t="s">
        <v>2351</v>
      </c>
    </row>
    <row r="58" spans="2:2">
      <c r="B58" s="1089" t="s">
        <v>2352</v>
      </c>
    </row>
    <row r="59" spans="2:9">
      <c r="B59" s="1089" t="s">
        <v>2353</v>
      </c>
      <c r="H59"/>
      <c r="I59"/>
    </row>
    <row r="60" spans="2:9">
      <c r="B60" s="1089" t="s">
        <v>2354</v>
      </c>
      <c r="H60"/>
      <c r="I60"/>
    </row>
    <row r="61" spans="2:9">
      <c r="B61" s="1089" t="s">
        <v>2355</v>
      </c>
      <c r="H61"/>
      <c r="I61"/>
    </row>
    <row r="62" spans="2:9">
      <c r="B62" s="1089" t="s">
        <v>2356</v>
      </c>
      <c r="H62"/>
      <c r="I62"/>
    </row>
    <row r="63" spans="8:9">
      <c r="H63"/>
      <c r="I63"/>
    </row>
    <row r="64" spans="8:9">
      <c r="H64"/>
      <c r="I64"/>
    </row>
    <row r="65" spans="8:9">
      <c r="H65"/>
      <c r="I65"/>
    </row>
    <row r="66" spans="8:9">
      <c r="H66"/>
      <c r="I66"/>
    </row>
    <row r="67" spans="8:9">
      <c r="H67"/>
      <c r="I67"/>
    </row>
    <row r="68" spans="8:9">
      <c r="H68"/>
      <c r="I68"/>
    </row>
    <row r="69" spans="8:9">
      <c r="H69"/>
      <c r="I69"/>
    </row>
    <row r="70" spans="8:9">
      <c r="H70"/>
      <c r="I70"/>
    </row>
    <row r="71" spans="8:9">
      <c r="H71"/>
      <c r="I71"/>
    </row>
    <row r="72" spans="8:9">
      <c r="H72"/>
      <c r="I72"/>
    </row>
    <row r="73" spans="8:9">
      <c r="H73"/>
      <c r="I73"/>
    </row>
    <row r="74" spans="8:9">
      <c r="H74"/>
      <c r="I74"/>
    </row>
    <row r="75" spans="8:9">
      <c r="H75"/>
      <c r="I75"/>
    </row>
    <row r="76" spans="8:9">
      <c r="H76"/>
      <c r="I76"/>
    </row>
  </sheetData>
  <mergeCells count="48">
    <mergeCell ref="B1:C1"/>
    <mergeCell ref="E1:F1"/>
    <mergeCell ref="K1:L1"/>
    <mergeCell ref="B2:C2"/>
    <mergeCell ref="K2:L2"/>
    <mergeCell ref="B3:C3"/>
    <mergeCell ref="E3:F3"/>
    <mergeCell ref="K3:L3"/>
    <mergeCell ref="B4:C4"/>
    <mergeCell ref="E4:F4"/>
    <mergeCell ref="K4:L4"/>
    <mergeCell ref="K5:L5"/>
    <mergeCell ref="K6:L6"/>
    <mergeCell ref="J7:K7"/>
    <mergeCell ref="L7:O7"/>
    <mergeCell ref="J8:K8"/>
    <mergeCell ref="L8:O8"/>
    <mergeCell ref="J9:K9"/>
    <mergeCell ref="L9:O9"/>
    <mergeCell ref="J10:K10"/>
    <mergeCell ref="L10:O10"/>
    <mergeCell ref="J11:K11"/>
    <mergeCell ref="L11:O11"/>
    <mergeCell ref="J12:K12"/>
    <mergeCell ref="L12:O12"/>
    <mergeCell ref="K14:M14"/>
    <mergeCell ref="A16:H16"/>
    <mergeCell ref="E17:F17"/>
    <mergeCell ref="G17:H17"/>
    <mergeCell ref="G18:H18"/>
    <mergeCell ref="C19:F19"/>
    <mergeCell ref="G19:H19"/>
    <mergeCell ref="E20:H20"/>
    <mergeCell ref="E21:H21"/>
    <mergeCell ref="E22:H22"/>
    <mergeCell ref="E23:H23"/>
    <mergeCell ref="E24:H24"/>
    <mergeCell ref="K24:O24"/>
    <mergeCell ref="E25:H25"/>
    <mergeCell ref="B26:H26"/>
    <mergeCell ref="B27:H27"/>
    <mergeCell ref="A28:H28"/>
    <mergeCell ref="A7:A8"/>
    <mergeCell ref="J25:J28"/>
    <mergeCell ref="J29:J32"/>
    <mergeCell ref="J33:J34"/>
    <mergeCell ref="A29:H38"/>
    <mergeCell ref="B7:H8"/>
  </mergeCells>
  <conditionalFormatting sqref="L8:O8">
    <cfRule type="cellIs" dxfId="5" priority="7" operator="equal">
      <formula>$M$6</formula>
    </cfRule>
  </conditionalFormatting>
  <conditionalFormatting sqref="C10">
    <cfRule type="cellIs" dxfId="5" priority="6" operator="greaterThan">
      <formula>$G$10-$B$10</formula>
    </cfRule>
  </conditionalFormatting>
  <conditionalFormatting sqref="C11">
    <cfRule type="cellIs" dxfId="5" priority="12" operator="greaterThan">
      <formula>$G$11</formula>
    </cfRule>
    <cfRule type="cellIs" dxfId="5" priority="5" operator="greaterThan">
      <formula>$G$11-$B$11</formula>
    </cfRule>
  </conditionalFormatting>
  <conditionalFormatting sqref="C12">
    <cfRule type="cellIs" dxfId="5" priority="11" operator="greaterThan">
      <formula>$G$12</formula>
    </cfRule>
    <cfRule type="cellIs" dxfId="5" priority="4" operator="greaterThan">
      <formula>$G$12-$B$12</formula>
    </cfRule>
  </conditionalFormatting>
  <conditionalFormatting sqref="C13">
    <cfRule type="cellIs" dxfId="5" priority="10" operator="greaterThan">
      <formula>$G$13</formula>
    </cfRule>
    <cfRule type="cellIs" dxfId="5" priority="3" operator="greaterThan">
      <formula>$G$13-$B$13</formula>
    </cfRule>
  </conditionalFormatting>
  <conditionalFormatting sqref="C14">
    <cfRule type="cellIs" dxfId="5" priority="2" operator="greaterThan">
      <formula>$G$14-$B$14</formula>
    </cfRule>
    <cfRule type="cellIs" dxfId="5" priority="9" operator="greaterThan">
      <formula>$G$14</formula>
    </cfRule>
  </conditionalFormatting>
  <conditionalFormatting sqref="C15">
    <cfRule type="cellIs" dxfId="5" priority="8" operator="greaterThan">
      <formula>$G$15</formula>
    </cfRule>
    <cfRule type="cellIs" dxfId="5" priority="1" operator="greaterThan">
      <formula>$G$15-$B$15</formula>
    </cfRule>
  </conditionalFormatting>
  <conditionalFormatting sqref="C10:C15">
    <cfRule type="cellIs" dxfId="5" priority="13" operator="greaterThan">
      <formula>$G$10</formula>
    </cfRule>
  </conditionalFormatting>
  <dataValidations count="7">
    <dataValidation type="list" allowBlank="1" showInputMessage="1" showErrorMessage="1" sqref="E1:F1">
      <formula1>宠物图鉴!$A$2:$A$60</formula1>
    </dataValidation>
    <dataValidation type="list" allowBlank="1" showInputMessage="1" showErrorMessage="1" sqref="E6">
      <formula1>"健康,重伤,逃跑,恐惧"</formula1>
    </dataValidation>
    <dataValidation type="list" allowBlank="1" showInputMessage="1" showErrorMessage="1" sqref="F6">
      <formula1>"虐杀,嗜血,追猎,自信,冷静,沮丧,胆怯,善良,支援,伏击,逃跑"</formula1>
    </dataValidation>
    <dataValidation allowBlank="1" showInputMessage="1" showErrorMessage="1" promptTitle="成长上限" prompt="任何物种都有成长上限，&#10;该属性作为成长最大值，&#10;非人生物的属性可以超过99。&#10;只有幕间和结团才能尝试成长。&#10;死亡后所有成长清空。" sqref="G9"/>
    <dataValidation allowBlank="1" showInputMessage="1" showErrorMessage="1" promptTitle="突破极限" prompt="任意宠物属性对抗成功，&#10;幕后选择该项属性进行成长en。&#10;当属性对抗大成功时，&#10;进行宠物智力检定，&#10;成功则投掷1d10并填入突破极限。&#10;" sqref="H9"/>
    <dataValidation type="list" allowBlank="1" showInputMessage="1" showErrorMessage="1" sqref="N3:N4">
      <formula1>"无特质,毒素1d6,毒素1d10,猛毒2d10,剧毒4d10,感染伤口"</formula1>
    </dataValidation>
    <dataValidation type="list" allowBlank="1" showInputMessage="1" showErrorMessage="1" sqref="J8:K12">
      <formula1>宠物图鉴!$A$2:$A$56</formula1>
    </dataValidation>
  </dataValidations>
  <pageMargins left="0.7" right="0.7" top="0.75" bottom="0.75" header="0.3" footer="0.3"/>
  <headerFooter/>
  <ignoredErrors>
    <ignoredError sqref="C5 D10:D15" emptyCellReference="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E114"/>
  <sheetViews>
    <sheetView zoomScale="67" zoomScaleNormal="67" workbookViewId="0">
      <pane xSplit="1" topLeftCell="B1" activePane="topRight" state="frozen"/>
      <selection/>
      <selection pane="topRight" activeCell="A66" sqref="A66"/>
    </sheetView>
  </sheetViews>
  <sheetFormatPr defaultColWidth="3" defaultRowHeight="14"/>
  <cols>
    <col min="1" max="1" width="20.4454545454545" customWidth="1"/>
    <col min="2" max="232" width="3.10909090909091" customWidth="1"/>
    <col min="233" max="233" width="3" customWidth="1"/>
    <col min="257" max="257" width="3" customWidth="1"/>
    <col min="258" max="258" width="2.52727272727273" customWidth="1"/>
  </cols>
  <sheetData>
    <row r="1" customFormat="1" spans="1:369">
      <c r="A1" s="929"/>
      <c r="B1" s="929">
        <v>0</v>
      </c>
      <c r="C1" s="930">
        <v>1</v>
      </c>
      <c r="D1" s="930">
        <v>2</v>
      </c>
      <c r="E1" s="930">
        <v>3</v>
      </c>
      <c r="F1" s="930">
        <v>4</v>
      </c>
      <c r="G1" s="930">
        <v>5</v>
      </c>
      <c r="H1" s="930">
        <v>6</v>
      </c>
      <c r="I1" s="930">
        <v>7</v>
      </c>
      <c r="J1" s="930">
        <v>8</v>
      </c>
      <c r="K1" s="930">
        <v>9</v>
      </c>
      <c r="L1" s="930">
        <v>10</v>
      </c>
      <c r="M1" s="930">
        <v>11</v>
      </c>
      <c r="N1" s="930">
        <v>12</v>
      </c>
      <c r="O1" s="930">
        <v>13</v>
      </c>
      <c r="P1" s="930">
        <v>14</v>
      </c>
      <c r="Q1" s="930">
        <v>15</v>
      </c>
      <c r="R1" s="930">
        <v>16</v>
      </c>
      <c r="S1" s="930">
        <v>17</v>
      </c>
      <c r="T1" s="930">
        <v>18</v>
      </c>
      <c r="U1" s="930">
        <v>19</v>
      </c>
      <c r="V1" s="930">
        <v>20</v>
      </c>
      <c r="W1" s="930">
        <v>21</v>
      </c>
      <c r="X1" s="930">
        <v>22</v>
      </c>
      <c r="Y1" s="930">
        <v>23</v>
      </c>
      <c r="Z1" s="930">
        <v>24</v>
      </c>
      <c r="AA1" s="930">
        <v>25</v>
      </c>
      <c r="AB1" s="930">
        <v>26</v>
      </c>
      <c r="AC1" s="930">
        <v>27</v>
      </c>
      <c r="AD1" s="930">
        <v>28</v>
      </c>
      <c r="AE1" s="930">
        <v>29</v>
      </c>
      <c r="AF1" s="930">
        <v>30</v>
      </c>
      <c r="AG1" s="930">
        <v>31</v>
      </c>
      <c r="AH1" s="930">
        <v>32</v>
      </c>
      <c r="AI1" s="930">
        <v>33</v>
      </c>
      <c r="AJ1" s="930">
        <v>34</v>
      </c>
      <c r="AK1" s="930">
        <v>35</v>
      </c>
      <c r="AL1" s="930">
        <v>36</v>
      </c>
      <c r="AM1" s="930">
        <v>37</v>
      </c>
      <c r="AN1" s="930">
        <v>38</v>
      </c>
      <c r="AO1" s="930">
        <v>39</v>
      </c>
      <c r="AP1" s="930">
        <v>40</v>
      </c>
      <c r="AQ1" s="930">
        <v>41</v>
      </c>
      <c r="AR1" s="930">
        <v>42</v>
      </c>
      <c r="AS1" s="930">
        <v>43</v>
      </c>
      <c r="AT1" s="930">
        <v>44</v>
      </c>
      <c r="AU1" s="930">
        <v>45</v>
      </c>
      <c r="AV1" s="930">
        <v>46</v>
      </c>
      <c r="AW1" s="930">
        <v>47</v>
      </c>
      <c r="AX1" s="930">
        <v>48</v>
      </c>
      <c r="AY1" s="930">
        <v>49</v>
      </c>
      <c r="AZ1" s="930">
        <v>50</v>
      </c>
      <c r="BA1" s="930">
        <v>51</v>
      </c>
      <c r="BB1" s="930">
        <v>52</v>
      </c>
      <c r="BC1" s="930">
        <v>53</v>
      </c>
      <c r="BD1" s="930">
        <v>54</v>
      </c>
      <c r="BE1" s="930">
        <v>55</v>
      </c>
      <c r="BF1" s="930">
        <v>56</v>
      </c>
      <c r="BG1" s="930">
        <v>57</v>
      </c>
      <c r="BH1" s="930">
        <v>58</v>
      </c>
      <c r="BI1" s="930">
        <v>59</v>
      </c>
      <c r="BJ1" s="930">
        <v>60</v>
      </c>
      <c r="BK1" s="930">
        <v>61</v>
      </c>
      <c r="BL1" s="930">
        <v>62</v>
      </c>
      <c r="BM1" s="930">
        <v>63</v>
      </c>
      <c r="BN1" s="930">
        <v>64</v>
      </c>
      <c r="BO1" s="930">
        <v>65</v>
      </c>
      <c r="BP1" s="930">
        <v>66</v>
      </c>
      <c r="BQ1" s="930">
        <v>67</v>
      </c>
      <c r="BR1" s="930">
        <v>68</v>
      </c>
      <c r="BS1" s="930">
        <v>69</v>
      </c>
      <c r="BT1" s="930">
        <v>70</v>
      </c>
      <c r="BU1" s="930">
        <v>71</v>
      </c>
      <c r="BV1" s="930">
        <v>72</v>
      </c>
      <c r="BW1" s="930">
        <v>73</v>
      </c>
      <c r="BX1" s="930">
        <v>74</v>
      </c>
      <c r="BY1" s="930">
        <v>75</v>
      </c>
      <c r="BZ1" s="930">
        <v>76</v>
      </c>
      <c r="CA1" s="930">
        <v>77</v>
      </c>
      <c r="CB1" s="930">
        <v>78</v>
      </c>
      <c r="CC1" s="930">
        <v>79</v>
      </c>
      <c r="CD1" s="930">
        <v>80</v>
      </c>
      <c r="CE1" s="930">
        <v>81</v>
      </c>
      <c r="CF1" s="930">
        <v>82</v>
      </c>
      <c r="CG1" s="930">
        <v>83</v>
      </c>
      <c r="CH1" s="930">
        <v>84</v>
      </c>
      <c r="CI1" s="930">
        <v>85</v>
      </c>
      <c r="CJ1" s="930">
        <v>86</v>
      </c>
      <c r="CK1" s="930">
        <v>87</v>
      </c>
      <c r="CL1" s="930">
        <v>88</v>
      </c>
      <c r="CM1" s="930">
        <v>89</v>
      </c>
      <c r="CN1" s="930">
        <v>90</v>
      </c>
      <c r="CO1" s="930">
        <v>91</v>
      </c>
      <c r="CP1" s="930">
        <v>92</v>
      </c>
      <c r="CQ1" s="930">
        <v>93</v>
      </c>
      <c r="CR1" s="930">
        <v>94</v>
      </c>
      <c r="CS1" s="930">
        <v>95</v>
      </c>
      <c r="CT1" s="930">
        <v>96</v>
      </c>
      <c r="CU1" s="930">
        <v>97</v>
      </c>
      <c r="CV1" s="930">
        <v>98</v>
      </c>
      <c r="CW1" s="930">
        <v>99</v>
      </c>
      <c r="CX1" s="930">
        <v>100</v>
      </c>
      <c r="CY1" s="930">
        <v>101</v>
      </c>
      <c r="CZ1" s="930">
        <v>102</v>
      </c>
      <c r="DA1" s="930">
        <v>103</v>
      </c>
      <c r="DB1" s="930">
        <v>104</v>
      </c>
      <c r="DC1" s="930">
        <v>105</v>
      </c>
      <c r="DD1" s="930">
        <v>106</v>
      </c>
      <c r="DE1" s="930">
        <v>107</v>
      </c>
      <c r="DF1" s="930">
        <v>108</v>
      </c>
      <c r="DG1" s="930">
        <v>109</v>
      </c>
      <c r="DH1" s="930">
        <v>110</v>
      </c>
      <c r="DI1" s="930">
        <v>111</v>
      </c>
      <c r="DJ1" s="930">
        <v>112</v>
      </c>
      <c r="DK1" s="930">
        <v>113</v>
      </c>
      <c r="DL1" s="930">
        <v>114</v>
      </c>
      <c r="DM1" s="930">
        <v>115</v>
      </c>
      <c r="DN1" s="930">
        <v>116</v>
      </c>
      <c r="DO1" s="930">
        <v>117</v>
      </c>
      <c r="DP1" s="930">
        <v>118</v>
      </c>
      <c r="DQ1" s="930">
        <v>119</v>
      </c>
      <c r="DR1" s="930">
        <v>120</v>
      </c>
      <c r="DS1" s="930">
        <v>121</v>
      </c>
      <c r="DT1" s="930">
        <v>122</v>
      </c>
      <c r="DU1" s="930">
        <v>123</v>
      </c>
      <c r="DV1" s="930">
        <v>124</v>
      </c>
      <c r="DW1" s="930">
        <v>125</v>
      </c>
      <c r="DX1" s="930">
        <v>126</v>
      </c>
      <c r="DY1" s="930">
        <v>127</v>
      </c>
      <c r="DZ1" s="930">
        <v>128</v>
      </c>
      <c r="EA1" s="930">
        <v>129</v>
      </c>
      <c r="EB1" s="930">
        <v>130</v>
      </c>
      <c r="EC1" s="930">
        <v>131</v>
      </c>
      <c r="ED1" s="930">
        <v>132</v>
      </c>
      <c r="EE1" s="930">
        <v>133</v>
      </c>
      <c r="EF1" s="930">
        <v>134</v>
      </c>
      <c r="EG1" s="930">
        <v>135</v>
      </c>
      <c r="EH1" s="930">
        <v>136</v>
      </c>
      <c r="EI1" s="930">
        <v>137</v>
      </c>
      <c r="EJ1" s="930">
        <v>138</v>
      </c>
      <c r="EK1" s="930">
        <v>139</v>
      </c>
      <c r="EL1" s="930">
        <v>140</v>
      </c>
      <c r="EM1" s="930">
        <v>141</v>
      </c>
      <c r="EN1" s="930">
        <v>142</v>
      </c>
      <c r="EO1" s="930">
        <v>143</v>
      </c>
      <c r="EP1" s="930">
        <v>144</v>
      </c>
      <c r="EQ1" s="930">
        <v>145</v>
      </c>
      <c r="ER1" s="930">
        <v>146</v>
      </c>
      <c r="ES1" s="930">
        <v>147</v>
      </c>
      <c r="ET1" s="930">
        <v>148</v>
      </c>
      <c r="EU1" s="930">
        <v>149</v>
      </c>
      <c r="EV1" s="930">
        <v>150</v>
      </c>
      <c r="EW1" s="930">
        <v>151</v>
      </c>
      <c r="EX1" s="930">
        <v>152</v>
      </c>
      <c r="EY1" s="930">
        <v>153</v>
      </c>
      <c r="EZ1" s="930">
        <v>154</v>
      </c>
      <c r="FA1" s="930">
        <v>155</v>
      </c>
      <c r="FB1" s="930">
        <v>156</v>
      </c>
      <c r="FC1" s="930">
        <v>157</v>
      </c>
      <c r="FD1" s="930">
        <v>158</v>
      </c>
      <c r="FE1" s="930">
        <v>159</v>
      </c>
      <c r="FF1" s="930">
        <v>160</v>
      </c>
      <c r="FG1" s="930">
        <v>161</v>
      </c>
      <c r="FH1" s="930">
        <v>162</v>
      </c>
      <c r="FI1" s="930">
        <v>163</v>
      </c>
      <c r="FJ1" s="930">
        <v>164</v>
      </c>
      <c r="FK1" s="930">
        <v>165</v>
      </c>
      <c r="FL1" s="930">
        <v>166</v>
      </c>
      <c r="FM1" s="930">
        <v>167</v>
      </c>
      <c r="FN1" s="930">
        <v>168</v>
      </c>
      <c r="FO1" s="930">
        <v>169</v>
      </c>
      <c r="FP1" s="930">
        <v>170</v>
      </c>
      <c r="FQ1" s="930">
        <v>171</v>
      </c>
      <c r="FR1" s="930">
        <v>172</v>
      </c>
      <c r="FS1" s="930">
        <v>173</v>
      </c>
      <c r="FT1" s="930">
        <v>174</v>
      </c>
      <c r="FU1" s="930">
        <v>175</v>
      </c>
      <c r="FV1" s="930">
        <v>176</v>
      </c>
      <c r="FW1" s="930">
        <v>177</v>
      </c>
      <c r="FX1" s="930">
        <v>178</v>
      </c>
      <c r="FY1" s="930">
        <v>179</v>
      </c>
      <c r="FZ1" s="930">
        <v>180</v>
      </c>
      <c r="GA1" s="930">
        <v>181</v>
      </c>
      <c r="GB1" s="930">
        <v>182</v>
      </c>
      <c r="GC1" s="930">
        <v>183</v>
      </c>
      <c r="GD1" s="930">
        <v>184</v>
      </c>
      <c r="GE1" s="930">
        <v>185</v>
      </c>
      <c r="GF1" s="930">
        <v>186</v>
      </c>
      <c r="GG1" s="930">
        <v>187</v>
      </c>
      <c r="GH1" s="930">
        <v>188</v>
      </c>
      <c r="GI1" s="930">
        <v>189</v>
      </c>
      <c r="GJ1" s="930">
        <v>190</v>
      </c>
      <c r="GK1" s="930">
        <v>191</v>
      </c>
      <c r="GL1" s="930">
        <v>192</v>
      </c>
      <c r="GM1" s="930">
        <v>193</v>
      </c>
      <c r="GN1" s="930">
        <v>194</v>
      </c>
      <c r="GO1" s="930">
        <v>195</v>
      </c>
      <c r="GP1" s="930">
        <v>196</v>
      </c>
      <c r="GQ1" s="930">
        <v>197</v>
      </c>
      <c r="GR1" s="930">
        <v>198</v>
      </c>
      <c r="GS1" s="930">
        <v>199</v>
      </c>
      <c r="GT1" s="930">
        <v>200</v>
      </c>
      <c r="GU1" s="930">
        <v>201</v>
      </c>
      <c r="GV1" s="930">
        <v>202</v>
      </c>
      <c r="GW1" s="930">
        <v>203</v>
      </c>
      <c r="GX1" s="930">
        <v>204</v>
      </c>
      <c r="GY1" s="976">
        <v>205</v>
      </c>
      <c r="GZ1" s="976">
        <v>206</v>
      </c>
      <c r="HA1" s="976">
        <v>207</v>
      </c>
      <c r="HB1" s="976">
        <v>208</v>
      </c>
      <c r="HC1" s="976">
        <v>209</v>
      </c>
      <c r="HD1" s="976">
        <v>210</v>
      </c>
      <c r="HE1" s="976">
        <v>211</v>
      </c>
      <c r="HF1" s="976">
        <v>212</v>
      </c>
      <c r="HG1" s="976">
        <v>213</v>
      </c>
      <c r="HH1" s="976">
        <v>214</v>
      </c>
      <c r="HI1" s="976">
        <v>215</v>
      </c>
      <c r="HJ1" s="976">
        <v>216</v>
      </c>
      <c r="HK1" s="976">
        <v>217</v>
      </c>
      <c r="HL1" s="976">
        <v>218</v>
      </c>
      <c r="HM1" s="976">
        <v>219</v>
      </c>
      <c r="HN1" s="976">
        <v>220</v>
      </c>
      <c r="HO1" s="976">
        <v>221</v>
      </c>
      <c r="HP1" s="976">
        <v>222</v>
      </c>
      <c r="HQ1" s="976">
        <v>223</v>
      </c>
      <c r="HR1" s="976">
        <v>224</v>
      </c>
      <c r="HS1" s="976">
        <v>225</v>
      </c>
      <c r="HT1" s="976">
        <v>226</v>
      </c>
      <c r="HU1" s="976">
        <v>227</v>
      </c>
      <c r="HV1" s="976">
        <v>228</v>
      </c>
      <c r="HW1" s="976">
        <v>229</v>
      </c>
      <c r="HX1" s="983">
        <v>230</v>
      </c>
      <c r="HY1" s="976">
        <v>231</v>
      </c>
      <c r="HZ1" s="976">
        <v>232</v>
      </c>
      <c r="IA1" s="976">
        <v>233</v>
      </c>
      <c r="IB1" s="976">
        <v>234</v>
      </c>
      <c r="IC1" s="983">
        <v>235</v>
      </c>
      <c r="ID1" s="983">
        <v>236</v>
      </c>
      <c r="IE1" s="976">
        <v>237</v>
      </c>
      <c r="IF1" s="976">
        <v>238</v>
      </c>
      <c r="IG1" s="976">
        <v>239</v>
      </c>
      <c r="IH1" s="976">
        <v>240</v>
      </c>
      <c r="II1" s="976">
        <v>241</v>
      </c>
      <c r="IJ1" s="1036">
        <v>242</v>
      </c>
      <c r="IK1" s="976">
        <v>243</v>
      </c>
      <c r="IL1" s="976">
        <v>244</v>
      </c>
      <c r="IM1" s="976">
        <v>245</v>
      </c>
      <c r="IN1" s="976">
        <v>246</v>
      </c>
      <c r="IO1" s="976">
        <v>247</v>
      </c>
      <c r="IP1" s="976">
        <v>248</v>
      </c>
      <c r="IQ1" s="976">
        <v>249</v>
      </c>
      <c r="IR1" s="976">
        <v>250</v>
      </c>
      <c r="IS1" s="976">
        <v>251</v>
      </c>
      <c r="IT1" s="976">
        <v>252</v>
      </c>
      <c r="IU1" s="976">
        <v>253</v>
      </c>
      <c r="IV1" s="1036">
        <v>254</v>
      </c>
      <c r="IW1" s="1036">
        <v>255</v>
      </c>
      <c r="IX1" s="1036">
        <v>256</v>
      </c>
      <c r="IY1" s="1036">
        <v>257</v>
      </c>
      <c r="IZ1" s="1036">
        <v>258</v>
      </c>
      <c r="JA1" s="1036">
        <v>259</v>
      </c>
      <c r="JB1" s="1036">
        <v>260</v>
      </c>
      <c r="JC1" s="1036">
        <v>261</v>
      </c>
      <c r="JD1" s="1036">
        <v>262</v>
      </c>
      <c r="JE1" s="1036">
        <v>263</v>
      </c>
      <c r="JF1" s="1036">
        <v>264</v>
      </c>
      <c r="JG1" s="1036">
        <v>265</v>
      </c>
      <c r="JH1" s="1036">
        <v>266</v>
      </c>
      <c r="JI1" s="1036">
        <v>267</v>
      </c>
      <c r="JJ1" s="1036">
        <v>268</v>
      </c>
      <c r="JK1" s="1036">
        <v>269</v>
      </c>
      <c r="JL1" s="1036">
        <v>270</v>
      </c>
      <c r="JM1" s="1036">
        <v>271</v>
      </c>
      <c r="JN1" s="1036">
        <v>272</v>
      </c>
      <c r="JO1" s="1036">
        <v>273</v>
      </c>
      <c r="JP1" s="1036">
        <v>274</v>
      </c>
      <c r="JQ1" s="1036">
        <v>275</v>
      </c>
      <c r="JR1" s="1036">
        <v>276</v>
      </c>
      <c r="JS1" s="1036">
        <v>277</v>
      </c>
      <c r="JT1" s="1036">
        <v>278</v>
      </c>
      <c r="JU1" s="1036">
        <v>279</v>
      </c>
      <c r="JV1" s="1036">
        <v>280</v>
      </c>
      <c r="JW1" s="1036">
        <v>281</v>
      </c>
      <c r="JX1" s="1036">
        <v>282</v>
      </c>
      <c r="JY1" s="1036">
        <v>283</v>
      </c>
      <c r="JZ1" s="1036">
        <v>284</v>
      </c>
      <c r="KA1" s="1036">
        <v>285</v>
      </c>
      <c r="KB1" s="1036">
        <v>286</v>
      </c>
      <c r="KC1" s="1036">
        <v>287</v>
      </c>
      <c r="KD1" s="1036">
        <v>288</v>
      </c>
      <c r="KE1" s="1036">
        <v>289</v>
      </c>
      <c r="KF1" s="1036">
        <v>290</v>
      </c>
      <c r="KG1" s="1036">
        <v>291</v>
      </c>
      <c r="KH1" s="1036">
        <v>292</v>
      </c>
      <c r="KI1" s="1036">
        <v>293</v>
      </c>
      <c r="KJ1" s="1036">
        <v>294</v>
      </c>
      <c r="KK1" s="1036">
        <v>295</v>
      </c>
      <c r="KL1" s="1036">
        <v>296</v>
      </c>
      <c r="KM1" s="1036">
        <v>297</v>
      </c>
      <c r="KN1" s="1036">
        <v>298</v>
      </c>
      <c r="KO1" s="1036">
        <v>299</v>
      </c>
      <c r="KP1" s="1036">
        <v>300</v>
      </c>
      <c r="KQ1" s="1036">
        <v>301</v>
      </c>
      <c r="KR1" s="1036">
        <v>302</v>
      </c>
      <c r="KS1" s="1036">
        <v>303</v>
      </c>
      <c r="KT1" s="1036">
        <v>304</v>
      </c>
      <c r="KU1" s="1036">
        <v>305</v>
      </c>
      <c r="KV1" s="1036">
        <v>306</v>
      </c>
      <c r="KW1" s="1036">
        <v>307</v>
      </c>
      <c r="KX1" s="1036">
        <v>308</v>
      </c>
      <c r="KY1" s="1036">
        <v>309</v>
      </c>
      <c r="KZ1" s="1036">
        <v>310</v>
      </c>
      <c r="LA1" s="1036">
        <v>311</v>
      </c>
      <c r="LB1" s="1036">
        <v>312</v>
      </c>
      <c r="LC1" s="1036">
        <v>313</v>
      </c>
      <c r="LD1" s="1036">
        <v>314</v>
      </c>
      <c r="LE1" s="1036">
        <v>315</v>
      </c>
      <c r="LF1" s="1036">
        <v>316</v>
      </c>
      <c r="LG1" s="1036">
        <v>317</v>
      </c>
      <c r="LH1" s="1036">
        <v>318</v>
      </c>
      <c r="LI1" s="1036">
        <v>319</v>
      </c>
      <c r="LJ1" s="1036">
        <v>320</v>
      </c>
      <c r="LK1" s="1036">
        <v>321</v>
      </c>
      <c r="LL1" s="1036">
        <v>322</v>
      </c>
      <c r="LM1" s="1036">
        <v>323</v>
      </c>
      <c r="LN1" s="1036">
        <v>324</v>
      </c>
      <c r="LO1" s="1036">
        <v>325</v>
      </c>
      <c r="LP1" s="1036">
        <v>326</v>
      </c>
      <c r="LQ1" s="1036">
        <v>327</v>
      </c>
      <c r="LR1" s="1036">
        <v>328</v>
      </c>
      <c r="LS1" s="1036">
        <v>329</v>
      </c>
      <c r="LT1" s="1036">
        <v>330</v>
      </c>
      <c r="LU1" s="1036">
        <v>331</v>
      </c>
      <c r="LV1" s="1036">
        <v>332</v>
      </c>
      <c r="LW1" s="1036">
        <v>333</v>
      </c>
      <c r="LX1" s="1036">
        <v>334</v>
      </c>
      <c r="LY1" s="1036">
        <v>335</v>
      </c>
      <c r="LZ1" s="1036">
        <v>336</v>
      </c>
      <c r="MA1" s="1036">
        <v>337</v>
      </c>
      <c r="MB1" s="1036">
        <v>338</v>
      </c>
      <c r="MC1" s="1036">
        <v>339</v>
      </c>
      <c r="MD1" s="1036">
        <v>340</v>
      </c>
      <c r="ME1" s="1036">
        <v>341</v>
      </c>
      <c r="MF1" s="1036">
        <v>342</v>
      </c>
      <c r="MG1" s="1036">
        <v>343</v>
      </c>
      <c r="MH1" s="1036">
        <v>344</v>
      </c>
      <c r="MI1" s="1036">
        <v>345</v>
      </c>
      <c r="MJ1" s="1036">
        <v>346</v>
      </c>
      <c r="MK1" s="1036">
        <v>347</v>
      </c>
      <c r="ML1" s="1036">
        <v>348</v>
      </c>
      <c r="MM1" s="1036">
        <v>349</v>
      </c>
      <c r="MN1" s="1036">
        <v>350</v>
      </c>
      <c r="MO1" s="1036">
        <v>351</v>
      </c>
      <c r="MP1" s="1036">
        <v>352</v>
      </c>
      <c r="MQ1" s="1036">
        <v>353</v>
      </c>
      <c r="MR1" s="1036">
        <v>354</v>
      </c>
      <c r="MS1" s="1036">
        <v>355</v>
      </c>
      <c r="MT1" s="1036">
        <v>356</v>
      </c>
      <c r="MU1" s="1036">
        <v>357</v>
      </c>
      <c r="MV1" s="1036">
        <v>358</v>
      </c>
      <c r="MW1" s="1036">
        <v>359</v>
      </c>
      <c r="MX1" s="1036">
        <v>360</v>
      </c>
      <c r="MY1" s="1036">
        <v>361</v>
      </c>
      <c r="MZ1" s="1036">
        <v>362</v>
      </c>
      <c r="NA1" s="1036">
        <v>363</v>
      </c>
      <c r="NB1" s="1036">
        <v>364</v>
      </c>
      <c r="NC1" s="1036">
        <v>365</v>
      </c>
      <c r="ND1" s="1036">
        <v>366</v>
      </c>
      <c r="NE1" s="1036">
        <v>367</v>
      </c>
    </row>
    <row r="2" customFormat="1" ht="182" spans="1:369">
      <c r="A2" s="931"/>
      <c r="B2" s="931" t="str">
        <f>IF(OR(A2="说服",A2="话术",A2="取悦",A2="恐吓"),"☯",IF(ISNUMBER(SEARCH(A2,VLOOKUP(IX$2,职业列表!$B$1:$G$370,6,0))),"★",""))</f>
        <v>★</v>
      </c>
      <c r="C2" s="931" t="s">
        <v>506</v>
      </c>
      <c r="D2" s="931" t="s">
        <v>2357</v>
      </c>
      <c r="E2" s="931" t="s">
        <v>2358</v>
      </c>
      <c r="F2" s="931" t="s">
        <v>2359</v>
      </c>
      <c r="G2" s="931" t="s">
        <v>2360</v>
      </c>
      <c r="H2" s="931" t="s">
        <v>2361</v>
      </c>
      <c r="I2" s="931" t="s">
        <v>2362</v>
      </c>
      <c r="J2" s="931" t="s">
        <v>2363</v>
      </c>
      <c r="K2" s="931" t="s">
        <v>2364</v>
      </c>
      <c r="L2" s="931" t="s">
        <v>2365</v>
      </c>
      <c r="M2" s="931" t="s">
        <v>2366</v>
      </c>
      <c r="N2" s="931" t="s">
        <v>2367</v>
      </c>
      <c r="O2" s="931" t="s">
        <v>2368</v>
      </c>
      <c r="P2" s="931" t="s">
        <v>2369</v>
      </c>
      <c r="Q2" s="931" t="s">
        <v>2370</v>
      </c>
      <c r="R2" s="931" t="s">
        <v>2371</v>
      </c>
      <c r="S2" s="931" t="s">
        <v>2372</v>
      </c>
      <c r="T2" s="931" t="s">
        <v>2373</v>
      </c>
      <c r="U2" s="931" t="s">
        <v>2374</v>
      </c>
      <c r="V2" s="931" t="s">
        <v>2375</v>
      </c>
      <c r="W2" s="931" t="s">
        <v>2376</v>
      </c>
      <c r="X2" s="931" t="s">
        <v>2377</v>
      </c>
      <c r="Y2" s="931" t="s">
        <v>2378</v>
      </c>
      <c r="Z2" s="931" t="s">
        <v>2379</v>
      </c>
      <c r="AA2" s="931" t="s">
        <v>2380</v>
      </c>
      <c r="AB2" s="931" t="s">
        <v>2381</v>
      </c>
      <c r="AC2" s="931" t="s">
        <v>2382</v>
      </c>
      <c r="AD2" s="931" t="s">
        <v>2383</v>
      </c>
      <c r="AE2" s="931" t="s">
        <v>2384</v>
      </c>
      <c r="AF2" s="931" t="s">
        <v>2385</v>
      </c>
      <c r="AG2" s="931" t="s">
        <v>2386</v>
      </c>
      <c r="AH2" s="931" t="s">
        <v>2387</v>
      </c>
      <c r="AI2" s="931" t="s">
        <v>2388</v>
      </c>
      <c r="AJ2" s="931" t="s">
        <v>2389</v>
      </c>
      <c r="AK2" s="931" t="s">
        <v>2390</v>
      </c>
      <c r="AL2" s="931" t="s">
        <v>2391</v>
      </c>
      <c r="AM2" s="931" t="s">
        <v>2392</v>
      </c>
      <c r="AN2" s="931" t="s">
        <v>2393</v>
      </c>
      <c r="AO2" s="931" t="s">
        <v>2394</v>
      </c>
      <c r="AP2" s="931" t="s">
        <v>2395</v>
      </c>
      <c r="AQ2" s="931" t="s">
        <v>2396</v>
      </c>
      <c r="AR2" s="931" t="s">
        <v>2397</v>
      </c>
      <c r="AS2" s="931" t="s">
        <v>2398</v>
      </c>
      <c r="AT2" s="931" t="s">
        <v>2399</v>
      </c>
      <c r="AU2" s="931" t="s">
        <v>2400</v>
      </c>
      <c r="AV2" s="931" t="s">
        <v>2401</v>
      </c>
      <c r="AW2" s="931" t="s">
        <v>2402</v>
      </c>
      <c r="AX2" s="931" t="s">
        <v>2403</v>
      </c>
      <c r="AY2" s="931" t="s">
        <v>2404</v>
      </c>
      <c r="AZ2" s="931" t="s">
        <v>2405</v>
      </c>
      <c r="BA2" s="931" t="s">
        <v>2406</v>
      </c>
      <c r="BB2" s="931" t="s">
        <v>2407</v>
      </c>
      <c r="BC2" s="931" t="s">
        <v>2408</v>
      </c>
      <c r="BD2" s="931" t="s">
        <v>2409</v>
      </c>
      <c r="BE2" s="931" t="s">
        <v>2410</v>
      </c>
      <c r="BF2" s="931" t="s">
        <v>2411</v>
      </c>
      <c r="BG2" s="931" t="s">
        <v>2412</v>
      </c>
      <c r="BH2" s="931" t="s">
        <v>2413</v>
      </c>
      <c r="BI2" s="931" t="s">
        <v>2414</v>
      </c>
      <c r="BJ2" s="931" t="s">
        <v>2415</v>
      </c>
      <c r="BK2" s="931" t="s">
        <v>2416</v>
      </c>
      <c r="BL2" s="931" t="s">
        <v>2417</v>
      </c>
      <c r="BM2" s="931" t="s">
        <v>2418</v>
      </c>
      <c r="BN2" s="931" t="s">
        <v>2419</v>
      </c>
      <c r="BO2" s="931" t="s">
        <v>2420</v>
      </c>
      <c r="BP2" s="931" t="s">
        <v>2421</v>
      </c>
      <c r="BQ2" s="931" t="s">
        <v>2422</v>
      </c>
      <c r="BR2" s="931" t="s">
        <v>2423</v>
      </c>
      <c r="BS2" s="931" t="s">
        <v>2424</v>
      </c>
      <c r="BT2" s="931" t="s">
        <v>2425</v>
      </c>
      <c r="BU2" s="931" t="s">
        <v>2426</v>
      </c>
      <c r="BV2" s="931" t="s">
        <v>2427</v>
      </c>
      <c r="BW2" s="931" t="s">
        <v>2428</v>
      </c>
      <c r="BX2" s="931" t="s">
        <v>2429</v>
      </c>
      <c r="BY2" s="931" t="s">
        <v>2430</v>
      </c>
      <c r="BZ2" s="931" t="s">
        <v>2431</v>
      </c>
      <c r="CA2" s="931" t="s">
        <v>2432</v>
      </c>
      <c r="CB2" s="931" t="s">
        <v>2433</v>
      </c>
      <c r="CC2" s="931" t="s">
        <v>2434</v>
      </c>
      <c r="CD2" s="931" t="s">
        <v>2435</v>
      </c>
      <c r="CE2" s="931" t="s">
        <v>2436</v>
      </c>
      <c r="CF2" s="931" t="s">
        <v>2437</v>
      </c>
      <c r="CG2" s="931" t="s">
        <v>2438</v>
      </c>
      <c r="CH2" s="931" t="s">
        <v>2439</v>
      </c>
      <c r="CI2" s="931" t="s">
        <v>2440</v>
      </c>
      <c r="CJ2" s="931" t="s">
        <v>2441</v>
      </c>
      <c r="CK2" s="931" t="s">
        <v>2442</v>
      </c>
      <c r="CL2" s="931" t="s">
        <v>2443</v>
      </c>
      <c r="CM2" s="931" t="s">
        <v>2444</v>
      </c>
      <c r="CN2" s="931" t="s">
        <v>2445</v>
      </c>
      <c r="CO2" s="931" t="s">
        <v>2446</v>
      </c>
      <c r="CP2" s="931" t="s">
        <v>2447</v>
      </c>
      <c r="CQ2" s="931" t="s">
        <v>2448</v>
      </c>
      <c r="CR2" s="931" t="s">
        <v>2449</v>
      </c>
      <c r="CS2" s="931" t="s">
        <v>2450</v>
      </c>
      <c r="CT2" s="931" t="s">
        <v>2451</v>
      </c>
      <c r="CU2" s="931" t="s">
        <v>2452</v>
      </c>
      <c r="CV2" s="931" t="s">
        <v>2453</v>
      </c>
      <c r="CW2" s="931" t="s">
        <v>2454</v>
      </c>
      <c r="CX2" s="931" t="s">
        <v>2455</v>
      </c>
      <c r="CY2" s="931" t="s">
        <v>2456</v>
      </c>
      <c r="CZ2" s="931" t="s">
        <v>2457</v>
      </c>
      <c r="DA2" s="931" t="s">
        <v>2458</v>
      </c>
      <c r="DB2" s="931" t="s">
        <v>2459</v>
      </c>
      <c r="DC2" s="931" t="s">
        <v>2460</v>
      </c>
      <c r="DD2" s="931" t="s">
        <v>2461</v>
      </c>
      <c r="DE2" s="931" t="s">
        <v>2462</v>
      </c>
      <c r="DF2" s="931" t="s">
        <v>2463</v>
      </c>
      <c r="DG2" s="931" t="s">
        <v>2464</v>
      </c>
      <c r="DH2" s="931" t="s">
        <v>2465</v>
      </c>
      <c r="DI2" s="931" t="s">
        <v>2466</v>
      </c>
      <c r="DJ2" s="931" t="s">
        <v>2467</v>
      </c>
      <c r="DK2" s="931" t="s">
        <v>2468</v>
      </c>
      <c r="DL2" s="931" t="s">
        <v>2469</v>
      </c>
      <c r="DM2" s="931" t="s">
        <v>2470</v>
      </c>
      <c r="DN2" s="931" t="s">
        <v>2471</v>
      </c>
      <c r="DO2" s="931" t="s">
        <v>2472</v>
      </c>
      <c r="DP2" s="931" t="s">
        <v>2473</v>
      </c>
      <c r="DQ2" s="931" t="s">
        <v>2474</v>
      </c>
      <c r="DR2" s="931" t="s">
        <v>2475</v>
      </c>
      <c r="DS2" s="931" t="s">
        <v>2476</v>
      </c>
      <c r="DT2" s="931" t="s">
        <v>2477</v>
      </c>
      <c r="DU2" s="931" t="s">
        <v>2478</v>
      </c>
      <c r="DV2" s="931" t="s">
        <v>2479</v>
      </c>
      <c r="DW2" s="931" t="s">
        <v>2480</v>
      </c>
      <c r="DX2" s="931" t="s">
        <v>2481</v>
      </c>
      <c r="DY2" s="931" t="s">
        <v>2482</v>
      </c>
      <c r="DZ2" s="931" t="s">
        <v>2483</v>
      </c>
      <c r="EA2" s="931" t="s">
        <v>2484</v>
      </c>
      <c r="EB2" s="931" t="s">
        <v>2485</v>
      </c>
      <c r="EC2" s="931" t="s">
        <v>2486</v>
      </c>
      <c r="ED2" s="931" t="s">
        <v>2487</v>
      </c>
      <c r="EE2" s="931" t="s">
        <v>2488</v>
      </c>
      <c r="EF2" s="931" t="s">
        <v>2489</v>
      </c>
      <c r="EG2" s="931" t="s">
        <v>2490</v>
      </c>
      <c r="EH2" s="931" t="s">
        <v>2491</v>
      </c>
      <c r="EI2" s="931" t="s">
        <v>2492</v>
      </c>
      <c r="EJ2" s="931" t="s">
        <v>2493</v>
      </c>
      <c r="EK2" s="931" t="s">
        <v>2494</v>
      </c>
      <c r="EL2" s="931" t="s">
        <v>2495</v>
      </c>
      <c r="EM2" s="931" t="s">
        <v>2496</v>
      </c>
      <c r="EN2" s="931" t="s">
        <v>2497</v>
      </c>
      <c r="EO2" s="931" t="s">
        <v>2498</v>
      </c>
      <c r="EP2" s="931" t="s">
        <v>2499</v>
      </c>
      <c r="EQ2" s="931" t="s">
        <v>2500</v>
      </c>
      <c r="ER2" s="931" t="s">
        <v>2501</v>
      </c>
      <c r="ES2" s="931" t="s">
        <v>2502</v>
      </c>
      <c r="ET2" s="931" t="s">
        <v>2503</v>
      </c>
      <c r="EU2" s="931" t="s">
        <v>2504</v>
      </c>
      <c r="EV2" s="931" t="s">
        <v>2505</v>
      </c>
      <c r="EW2" s="931" t="s">
        <v>2506</v>
      </c>
      <c r="EX2" s="931" t="s">
        <v>2507</v>
      </c>
      <c r="EY2" s="931" t="s">
        <v>2508</v>
      </c>
      <c r="EZ2" s="931" t="s">
        <v>2509</v>
      </c>
      <c r="FA2" s="931" t="s">
        <v>2510</v>
      </c>
      <c r="FB2" s="931" t="s">
        <v>2511</v>
      </c>
      <c r="FC2" s="931" t="s">
        <v>2512</v>
      </c>
      <c r="FD2" s="931" t="s">
        <v>1416</v>
      </c>
      <c r="FE2" s="931" t="s">
        <v>2513</v>
      </c>
      <c r="FF2" s="931" t="s">
        <v>2514</v>
      </c>
      <c r="FG2" s="931" t="s">
        <v>2515</v>
      </c>
      <c r="FH2" s="931" t="s">
        <v>2516</v>
      </c>
      <c r="FI2" s="931" t="s">
        <v>2517</v>
      </c>
      <c r="FJ2" s="931" t="s">
        <v>2518</v>
      </c>
      <c r="FK2" s="931" t="s">
        <v>2519</v>
      </c>
      <c r="FL2" s="931" t="s">
        <v>2520</v>
      </c>
      <c r="FM2" s="931" t="s">
        <v>2521</v>
      </c>
      <c r="FN2" s="931" t="s">
        <v>2522</v>
      </c>
      <c r="FO2" s="931" t="s">
        <v>2523</v>
      </c>
      <c r="FP2" s="931" t="s">
        <v>2524</v>
      </c>
      <c r="FQ2" s="931" t="s">
        <v>2525</v>
      </c>
      <c r="FR2" s="931" t="s">
        <v>2526</v>
      </c>
      <c r="FS2" s="931" t="s">
        <v>2527</v>
      </c>
      <c r="FT2" s="931" t="s">
        <v>2528</v>
      </c>
      <c r="FU2" s="931" t="s">
        <v>2529</v>
      </c>
      <c r="FV2" s="931" t="s">
        <v>2530</v>
      </c>
      <c r="FW2" s="931" t="s">
        <v>2531</v>
      </c>
      <c r="FX2" s="931" t="s">
        <v>2532</v>
      </c>
      <c r="FY2" s="931" t="s">
        <v>2533</v>
      </c>
      <c r="FZ2" s="931" t="s">
        <v>2534</v>
      </c>
      <c r="GA2" s="931" t="s">
        <v>2535</v>
      </c>
      <c r="GB2" s="931" t="s">
        <v>2536</v>
      </c>
      <c r="GC2" s="931" t="s">
        <v>2537</v>
      </c>
      <c r="GD2" s="931" t="s">
        <v>2538</v>
      </c>
      <c r="GE2" s="931" t="s">
        <v>2539</v>
      </c>
      <c r="GF2" s="931" t="s">
        <v>2540</v>
      </c>
      <c r="GG2" s="931" t="s">
        <v>2541</v>
      </c>
      <c r="GH2" s="931" t="s">
        <v>2542</v>
      </c>
      <c r="GI2" s="931" t="s">
        <v>2543</v>
      </c>
      <c r="GJ2" s="931" t="s">
        <v>2544</v>
      </c>
      <c r="GK2" s="931" t="s">
        <v>2545</v>
      </c>
      <c r="GL2" s="931" t="s">
        <v>2546</v>
      </c>
      <c r="GM2" s="931" t="s">
        <v>2547</v>
      </c>
      <c r="GN2" s="931" t="s">
        <v>2548</v>
      </c>
      <c r="GO2" s="931" t="s">
        <v>2549</v>
      </c>
      <c r="GP2" s="931" t="s">
        <v>2550</v>
      </c>
      <c r="GQ2" s="931" t="s">
        <v>2551</v>
      </c>
      <c r="GR2" s="931" t="s">
        <v>2552</v>
      </c>
      <c r="GS2" s="931" t="s">
        <v>2553</v>
      </c>
      <c r="GT2" s="931" t="s">
        <v>2554</v>
      </c>
      <c r="GU2" s="931" t="s">
        <v>2555</v>
      </c>
      <c r="GV2" s="931" t="s">
        <v>2556</v>
      </c>
      <c r="GW2" s="931" t="s">
        <v>2557</v>
      </c>
      <c r="GX2" s="931" t="s">
        <v>2558</v>
      </c>
      <c r="GY2" s="931" t="s">
        <v>2559</v>
      </c>
      <c r="GZ2" s="931" t="s">
        <v>2560</v>
      </c>
      <c r="HA2" s="931" t="s">
        <v>2561</v>
      </c>
      <c r="HB2" s="931" t="s">
        <v>2368</v>
      </c>
      <c r="HC2" s="931" t="s">
        <v>2562</v>
      </c>
      <c r="HD2" s="931" t="s">
        <v>2563</v>
      </c>
      <c r="HE2" s="931" t="s">
        <v>2564</v>
      </c>
      <c r="HF2" s="931" t="s">
        <v>2565</v>
      </c>
      <c r="HG2" s="931" t="s">
        <v>2382</v>
      </c>
      <c r="HH2" s="931" t="s">
        <v>2566</v>
      </c>
      <c r="HI2" s="931" t="s">
        <v>2567</v>
      </c>
      <c r="HJ2" s="931" t="s">
        <v>2407</v>
      </c>
      <c r="HK2" s="931" t="s">
        <v>2568</v>
      </c>
      <c r="HL2" s="931" t="s">
        <v>2569</v>
      </c>
      <c r="HM2" s="931" t="s">
        <v>2446</v>
      </c>
      <c r="HN2" s="931" t="s">
        <v>2570</v>
      </c>
      <c r="HO2" s="931" t="s">
        <v>2571</v>
      </c>
      <c r="HP2" s="931" t="s">
        <v>2427</v>
      </c>
      <c r="HQ2" s="931" t="s">
        <v>2572</v>
      </c>
      <c r="HR2" s="931" t="s">
        <v>2573</v>
      </c>
      <c r="HS2" s="931" t="s">
        <v>2574</v>
      </c>
      <c r="HT2" s="931" t="s">
        <v>2456</v>
      </c>
      <c r="HU2" s="931" t="s">
        <v>2575</v>
      </c>
      <c r="HV2" s="931" t="s">
        <v>2576</v>
      </c>
      <c r="HW2" s="931" t="s">
        <v>2577</v>
      </c>
      <c r="HX2" s="984" t="s">
        <v>2578</v>
      </c>
      <c r="HY2" s="1005" t="s">
        <v>2579</v>
      </c>
      <c r="HZ2" s="1005" t="s">
        <v>2580</v>
      </c>
      <c r="IA2" s="1005" t="s">
        <v>2581</v>
      </c>
      <c r="IB2" s="1005" t="s">
        <v>2582</v>
      </c>
      <c r="IC2" s="1006" t="s">
        <v>2583</v>
      </c>
      <c r="ID2" s="1006" t="s">
        <v>2584</v>
      </c>
      <c r="IE2" s="1005" t="s">
        <v>2585</v>
      </c>
      <c r="IF2" s="1005" t="s">
        <v>2586</v>
      </c>
      <c r="IG2" s="1005" t="s">
        <v>2587</v>
      </c>
      <c r="IH2" s="1005" t="s">
        <v>2588</v>
      </c>
      <c r="II2" s="1005" t="s">
        <v>2589</v>
      </c>
      <c r="IJ2" s="1006" t="s">
        <v>2590</v>
      </c>
      <c r="IK2" s="1005" t="s">
        <v>2591</v>
      </c>
      <c r="IL2" s="1005" t="s">
        <v>2592</v>
      </c>
      <c r="IM2" s="1005" t="s">
        <v>2593</v>
      </c>
      <c r="IN2" s="1005" t="s">
        <v>2594</v>
      </c>
      <c r="IO2" s="1005" t="s">
        <v>2595</v>
      </c>
      <c r="IP2" s="1005" t="s">
        <v>2596</v>
      </c>
      <c r="IQ2" s="1005" t="s">
        <v>2597</v>
      </c>
      <c r="IR2" s="1005" t="s">
        <v>2598</v>
      </c>
      <c r="IS2" s="1005" t="s">
        <v>2599</v>
      </c>
      <c r="IT2" s="1005" t="s">
        <v>2600</v>
      </c>
      <c r="IU2" s="1005" t="s">
        <v>2601</v>
      </c>
      <c r="IV2" s="1005" t="s">
        <v>2602</v>
      </c>
      <c r="IW2" s="1005" t="s">
        <v>2603</v>
      </c>
      <c r="IX2" s="919" t="s">
        <v>2604</v>
      </c>
      <c r="IY2" s="919" t="s">
        <v>2605</v>
      </c>
      <c r="IZ2" s="919" t="s">
        <v>2606</v>
      </c>
      <c r="JA2" s="919" t="s">
        <v>2607</v>
      </c>
      <c r="JB2" s="919" t="s">
        <v>2608</v>
      </c>
      <c r="JC2" s="919" t="s">
        <v>2609</v>
      </c>
      <c r="JD2" s="919" t="s">
        <v>2610</v>
      </c>
      <c r="JE2" s="919" t="s">
        <v>2611</v>
      </c>
      <c r="JF2" s="919" t="s">
        <v>2612</v>
      </c>
      <c r="JG2" s="919" t="s">
        <v>2613</v>
      </c>
      <c r="JH2" s="919" t="s">
        <v>2614</v>
      </c>
      <c r="JI2" s="919" t="s">
        <v>2615</v>
      </c>
      <c r="JJ2" s="919" t="s">
        <v>2616</v>
      </c>
      <c r="JK2" s="919" t="s">
        <v>2617</v>
      </c>
      <c r="JL2" s="919" t="s">
        <v>2618</v>
      </c>
      <c r="JM2" s="919" t="s">
        <v>2619</v>
      </c>
      <c r="JN2" s="919" t="s">
        <v>2620</v>
      </c>
      <c r="JO2" s="919" t="s">
        <v>2621</v>
      </c>
      <c r="JP2" s="919" t="s">
        <v>2622</v>
      </c>
      <c r="JQ2" s="919" t="s">
        <v>2623</v>
      </c>
      <c r="JR2" s="919" t="s">
        <v>2624</v>
      </c>
      <c r="JS2" s="919" t="s">
        <v>2625</v>
      </c>
      <c r="JT2" s="919" t="s">
        <v>2626</v>
      </c>
      <c r="JU2" s="919" t="s">
        <v>2627</v>
      </c>
      <c r="JV2" s="919" t="s">
        <v>2628</v>
      </c>
      <c r="JW2" s="919" t="s">
        <v>2629</v>
      </c>
      <c r="JX2" s="919" t="s">
        <v>2630</v>
      </c>
      <c r="JY2" s="919" t="s">
        <v>2631</v>
      </c>
      <c r="JZ2" s="919" t="s">
        <v>2632</v>
      </c>
      <c r="KA2" s="919" t="s">
        <v>2633</v>
      </c>
      <c r="KB2" s="919" t="s">
        <v>2634</v>
      </c>
      <c r="KC2" s="919" t="s">
        <v>2635</v>
      </c>
      <c r="KD2" s="919" t="s">
        <v>2636</v>
      </c>
      <c r="KE2" s="919" t="s">
        <v>2637</v>
      </c>
      <c r="KF2" s="919" t="s">
        <v>2638</v>
      </c>
      <c r="KG2" s="919" t="s">
        <v>2639</v>
      </c>
      <c r="KH2" s="919" t="s">
        <v>2640</v>
      </c>
      <c r="KI2" s="919" t="s">
        <v>2641</v>
      </c>
      <c r="KJ2" s="919" t="s">
        <v>2642</v>
      </c>
      <c r="KK2" s="919" t="s">
        <v>2643</v>
      </c>
      <c r="KL2" s="919" t="s">
        <v>2644</v>
      </c>
      <c r="KM2" s="919" t="s">
        <v>2645</v>
      </c>
      <c r="KN2" s="919" t="s">
        <v>2646</v>
      </c>
      <c r="KO2" s="919" t="s">
        <v>2647</v>
      </c>
      <c r="KP2" s="919" t="s">
        <v>2648</v>
      </c>
      <c r="KQ2" s="919" t="s">
        <v>2649</v>
      </c>
      <c r="KR2" s="919" t="s">
        <v>2650</v>
      </c>
      <c r="KS2" s="919" t="s">
        <v>2651</v>
      </c>
      <c r="KT2" s="919" t="s">
        <v>2652</v>
      </c>
      <c r="KU2" s="919" t="s">
        <v>2653</v>
      </c>
      <c r="KV2" s="919" t="s">
        <v>2654</v>
      </c>
      <c r="KW2" s="919" t="s">
        <v>2655</v>
      </c>
      <c r="KX2" s="919" t="s">
        <v>2656</v>
      </c>
      <c r="KY2" s="919" t="s">
        <v>2657</v>
      </c>
      <c r="KZ2" s="919" t="s">
        <v>2658</v>
      </c>
      <c r="LA2" s="919" t="s">
        <v>2659</v>
      </c>
      <c r="LB2" s="919" t="s">
        <v>2660</v>
      </c>
      <c r="LC2" s="919" t="s">
        <v>2661</v>
      </c>
      <c r="LD2" s="919" t="s">
        <v>2662</v>
      </c>
      <c r="LE2" s="919" t="s">
        <v>2663</v>
      </c>
      <c r="LF2" s="919" t="s">
        <v>2664</v>
      </c>
      <c r="LG2" s="919" t="s">
        <v>2665</v>
      </c>
      <c r="LH2" s="919" t="s">
        <v>2666</v>
      </c>
      <c r="LI2" s="919" t="s">
        <v>2667</v>
      </c>
      <c r="LJ2" s="919" t="s">
        <v>2668</v>
      </c>
      <c r="LK2" s="919" t="s">
        <v>2669</v>
      </c>
      <c r="LL2" s="919" t="s">
        <v>2670</v>
      </c>
      <c r="LM2" s="919" t="s">
        <v>2671</v>
      </c>
      <c r="LN2" s="919" t="s">
        <v>2672</v>
      </c>
      <c r="LO2" s="919" t="s">
        <v>2673</v>
      </c>
      <c r="LP2" s="919" t="s">
        <v>2674</v>
      </c>
      <c r="LQ2" s="919" t="s">
        <v>2675</v>
      </c>
      <c r="LR2" s="919" t="s">
        <v>2676</v>
      </c>
      <c r="LS2" s="919" t="s">
        <v>2677</v>
      </c>
      <c r="LT2" s="919" t="s">
        <v>2678</v>
      </c>
      <c r="LU2" s="919" t="s">
        <v>2679</v>
      </c>
      <c r="LV2" s="919" t="s">
        <v>2680</v>
      </c>
      <c r="LW2" s="919" t="s">
        <v>2681</v>
      </c>
      <c r="LX2" s="919" t="s">
        <v>2682</v>
      </c>
      <c r="LY2" s="919" t="s">
        <v>2683</v>
      </c>
      <c r="LZ2" s="919" t="s">
        <v>2684</v>
      </c>
      <c r="MA2" s="919" t="s">
        <v>2685</v>
      </c>
      <c r="MB2" s="919" t="s">
        <v>2686</v>
      </c>
      <c r="MC2" s="926" t="s">
        <v>2687</v>
      </c>
      <c r="MD2" s="919" t="s">
        <v>2688</v>
      </c>
      <c r="ME2" s="919" t="s">
        <v>2689</v>
      </c>
      <c r="MF2" s="919" t="s">
        <v>2690</v>
      </c>
      <c r="MG2" s="919" t="s">
        <v>2691</v>
      </c>
      <c r="MH2" s="919" t="s">
        <v>2692</v>
      </c>
      <c r="MI2" s="919" t="s">
        <v>2693</v>
      </c>
      <c r="MJ2" s="919" t="s">
        <v>2694</v>
      </c>
      <c r="MK2" s="919" t="s">
        <v>2695</v>
      </c>
      <c r="ML2" s="919" t="s">
        <v>2696</v>
      </c>
      <c r="MM2" s="919" t="s">
        <v>2697</v>
      </c>
      <c r="MN2" s="919" t="s">
        <v>2698</v>
      </c>
      <c r="MO2" s="919" t="s">
        <v>2699</v>
      </c>
      <c r="MP2" s="919" t="s">
        <v>2700</v>
      </c>
      <c r="MQ2" s="919" t="s">
        <v>2701</v>
      </c>
      <c r="MR2" s="919" t="s">
        <v>2702</v>
      </c>
      <c r="MS2" s="919" t="s">
        <v>2703</v>
      </c>
      <c r="MT2" s="919" t="s">
        <v>2704</v>
      </c>
      <c r="MU2" s="919" t="s">
        <v>2705</v>
      </c>
      <c r="MV2" s="919" t="s">
        <v>2706</v>
      </c>
      <c r="MW2" s="919" t="s">
        <v>2707</v>
      </c>
      <c r="MX2" s="919" t="s">
        <v>2708</v>
      </c>
      <c r="MY2" s="919" t="s">
        <v>2709</v>
      </c>
      <c r="MZ2" s="919" t="s">
        <v>2710</v>
      </c>
      <c r="NA2" s="919" t="s">
        <v>2711</v>
      </c>
      <c r="NB2" s="919" t="s">
        <v>2712</v>
      </c>
      <c r="NC2" s="919" t="s">
        <v>2713</v>
      </c>
      <c r="ND2" s="919" t="s">
        <v>2714</v>
      </c>
      <c r="NE2" s="919" t="s">
        <v>2715</v>
      </c>
    </row>
    <row r="3" customFormat="1" ht="18.5" spans="1:369">
      <c r="A3" s="932" t="s">
        <v>2716</v>
      </c>
      <c r="B3" s="933" t="str">
        <f>IF(OR(A3="说服",A3="话术",A3="取悦",A3="恐吓"),"☯",IF(ISNUMBER(SEARCH(A3,VLOOKUP(IX$2,职业列表!$B$1:$G$370,6,0))),"★",""))</f>
        <v/>
      </c>
      <c r="C3" s="933"/>
      <c r="D3" s="933"/>
      <c r="E3" s="933"/>
      <c r="F3" s="933"/>
      <c r="G3" s="933"/>
      <c r="H3" s="933"/>
      <c r="I3" s="933"/>
      <c r="J3" s="933"/>
      <c r="K3" s="933"/>
      <c r="L3" s="933"/>
      <c r="M3" s="933">
        <v>1</v>
      </c>
      <c r="N3" s="933">
        <v>1</v>
      </c>
      <c r="O3" s="933">
        <v>1</v>
      </c>
      <c r="P3" s="933"/>
      <c r="Q3" s="933"/>
      <c r="R3" s="933">
        <v>1</v>
      </c>
      <c r="S3" s="933"/>
      <c r="T3" s="933">
        <v>1</v>
      </c>
      <c r="U3" s="933"/>
      <c r="V3" s="933">
        <v>1</v>
      </c>
      <c r="W3" s="933"/>
      <c r="X3" s="933">
        <v>1</v>
      </c>
      <c r="Y3" s="933"/>
      <c r="Z3" s="933"/>
      <c r="AA3" s="933"/>
      <c r="AB3" s="933">
        <v>1</v>
      </c>
      <c r="AC3" s="933"/>
      <c r="AD3" s="933"/>
      <c r="AE3" s="933">
        <v>1</v>
      </c>
      <c r="AF3" s="933"/>
      <c r="AG3" s="933">
        <v>1</v>
      </c>
      <c r="AH3" s="933">
        <v>1</v>
      </c>
      <c r="AI3" s="933">
        <v>1</v>
      </c>
      <c r="AJ3" s="933">
        <v>1</v>
      </c>
      <c r="AK3" s="933"/>
      <c r="AL3" s="933"/>
      <c r="AM3" s="933">
        <v>1</v>
      </c>
      <c r="AN3" s="933"/>
      <c r="AO3" s="933"/>
      <c r="AP3" s="933">
        <v>1</v>
      </c>
      <c r="AQ3" s="933">
        <v>1</v>
      </c>
      <c r="AR3" s="933"/>
      <c r="AS3" s="933"/>
      <c r="AT3" s="933"/>
      <c r="AU3" s="933"/>
      <c r="AV3" s="933"/>
      <c r="AW3" s="933"/>
      <c r="AX3" s="933"/>
      <c r="AY3" s="933"/>
      <c r="AZ3" s="933"/>
      <c r="BA3" s="933"/>
      <c r="BB3" s="933"/>
      <c r="BC3" s="933">
        <v>1</v>
      </c>
      <c r="BD3" s="933"/>
      <c r="BE3" s="933"/>
      <c r="BF3" s="933"/>
      <c r="BG3" s="933"/>
      <c r="BH3" s="933"/>
      <c r="BI3" s="933"/>
      <c r="BJ3" s="933"/>
      <c r="BK3" s="933"/>
      <c r="BL3" s="933"/>
      <c r="BM3" s="933">
        <v>1</v>
      </c>
      <c r="BN3" s="933"/>
      <c r="BO3" s="933"/>
      <c r="BP3" s="933"/>
      <c r="BQ3" s="933"/>
      <c r="BR3" s="933">
        <v>1</v>
      </c>
      <c r="BS3" s="933"/>
      <c r="BT3" s="933">
        <v>1</v>
      </c>
      <c r="BU3" s="933"/>
      <c r="BV3" s="933"/>
      <c r="BW3" s="933"/>
      <c r="BX3" s="933"/>
      <c r="BY3" s="933"/>
      <c r="BZ3" s="933"/>
      <c r="CA3" s="933"/>
      <c r="CB3" s="933"/>
      <c r="CC3" s="933"/>
      <c r="CD3" s="933"/>
      <c r="CE3" s="933"/>
      <c r="CF3" s="933"/>
      <c r="CG3" s="933"/>
      <c r="CH3" s="933"/>
      <c r="CI3" s="933"/>
      <c r="CJ3" s="933"/>
      <c r="CK3" s="933"/>
      <c r="CL3" s="933"/>
      <c r="CM3" s="933">
        <v>1</v>
      </c>
      <c r="CN3" s="933">
        <v>1</v>
      </c>
      <c r="CO3" s="933"/>
      <c r="CP3" s="933"/>
      <c r="CQ3" s="933"/>
      <c r="CR3" s="933"/>
      <c r="CS3" s="933"/>
      <c r="CT3" s="933"/>
      <c r="CU3" s="933"/>
      <c r="CV3" s="933">
        <v>1</v>
      </c>
      <c r="CW3" s="933"/>
      <c r="CX3" s="933">
        <v>1</v>
      </c>
      <c r="CY3" s="933">
        <v>1</v>
      </c>
      <c r="CZ3" s="933">
        <v>1</v>
      </c>
      <c r="DA3" s="933"/>
      <c r="DB3" s="933">
        <v>1</v>
      </c>
      <c r="DC3" s="933">
        <v>1</v>
      </c>
      <c r="DD3" s="933">
        <v>1</v>
      </c>
      <c r="DE3" s="933">
        <v>1</v>
      </c>
      <c r="DF3" s="933">
        <v>1</v>
      </c>
      <c r="DG3" s="933"/>
      <c r="DH3" s="933"/>
      <c r="DI3" s="933"/>
      <c r="DJ3" s="933">
        <v>1</v>
      </c>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v>1</v>
      </c>
      <c r="EK3" s="933"/>
      <c r="EL3" s="933"/>
      <c r="EM3" s="933"/>
      <c r="EN3" s="933">
        <v>1</v>
      </c>
      <c r="EO3" s="933"/>
      <c r="EP3" s="933"/>
      <c r="EQ3" s="933"/>
      <c r="ER3" s="933">
        <v>1</v>
      </c>
      <c r="ES3" s="933"/>
      <c r="ET3" s="933"/>
      <c r="EU3" s="933"/>
      <c r="EV3" s="933"/>
      <c r="EW3" s="933"/>
      <c r="EX3" s="933"/>
      <c r="EY3" s="933"/>
      <c r="EZ3" s="933"/>
      <c r="FA3" s="933"/>
      <c r="FB3" s="933">
        <v>1</v>
      </c>
      <c r="FC3" s="933">
        <v>1</v>
      </c>
      <c r="FD3" s="933"/>
      <c r="FE3" s="933">
        <v>1</v>
      </c>
      <c r="FF3" s="933"/>
      <c r="FG3" s="933"/>
      <c r="FH3" s="933"/>
      <c r="FI3" s="933">
        <v>1</v>
      </c>
      <c r="FJ3" s="933">
        <v>1</v>
      </c>
      <c r="FK3" s="933"/>
      <c r="FL3" s="933">
        <v>1</v>
      </c>
      <c r="FM3" s="933"/>
      <c r="FN3" s="933"/>
      <c r="FO3" s="933"/>
      <c r="FP3" s="933"/>
      <c r="FQ3" s="933"/>
      <c r="FR3" s="933"/>
      <c r="FS3" s="933"/>
      <c r="FT3" s="933"/>
      <c r="FU3" s="933"/>
      <c r="FV3" s="933"/>
      <c r="FW3" s="933"/>
      <c r="FX3" s="933"/>
      <c r="FY3" s="933"/>
      <c r="FZ3" s="933">
        <v>1</v>
      </c>
      <c r="GA3" s="933"/>
      <c r="GB3" s="933"/>
      <c r="GC3" s="933">
        <v>1</v>
      </c>
      <c r="GD3" s="933">
        <v>1</v>
      </c>
      <c r="GE3" s="933">
        <v>1</v>
      </c>
      <c r="GF3" s="933">
        <v>1</v>
      </c>
      <c r="GG3" s="933"/>
      <c r="GH3" s="933"/>
      <c r="GI3" s="933"/>
      <c r="GJ3" s="933"/>
      <c r="GK3" s="933"/>
      <c r="GL3" s="933"/>
      <c r="GM3" s="933"/>
      <c r="GN3" s="933"/>
      <c r="GO3" s="933"/>
      <c r="GP3" s="933"/>
      <c r="GQ3" s="933"/>
      <c r="GR3" s="933"/>
      <c r="GS3" s="933"/>
      <c r="GT3" s="933"/>
      <c r="GU3" s="933">
        <v>1</v>
      </c>
      <c r="GV3" s="933"/>
      <c r="GW3" s="933">
        <v>1</v>
      </c>
      <c r="GX3" s="933"/>
      <c r="GY3" s="933">
        <v>1</v>
      </c>
      <c r="GZ3" s="933"/>
      <c r="HA3" s="933"/>
      <c r="HB3" s="933"/>
      <c r="HC3" s="933"/>
      <c r="HD3" s="933"/>
      <c r="HE3" s="933"/>
      <c r="HF3" s="933"/>
      <c r="HG3" s="933"/>
      <c r="HH3" s="933"/>
      <c r="HI3" s="933"/>
      <c r="HJ3" s="933"/>
      <c r="HK3" s="933">
        <v>1</v>
      </c>
      <c r="HL3" s="933"/>
      <c r="HM3" s="933"/>
      <c r="HN3" s="933"/>
      <c r="HO3" s="933"/>
      <c r="HP3" s="933"/>
      <c r="HQ3" s="933"/>
      <c r="HR3" s="933"/>
      <c r="HS3" s="933"/>
      <c r="HT3" s="933"/>
      <c r="HU3" s="933"/>
      <c r="HV3" s="933"/>
      <c r="HW3" s="933"/>
      <c r="HX3" s="985"/>
      <c r="HY3" s="1007"/>
      <c r="HZ3" s="1007"/>
      <c r="IA3" s="1007"/>
      <c r="IB3" s="1007"/>
      <c r="IC3" s="1008"/>
      <c r="ID3" s="1008"/>
      <c r="IE3" s="1007"/>
      <c r="IF3" s="1007"/>
      <c r="IG3" s="1007"/>
      <c r="IH3" s="1007"/>
      <c r="II3" s="1007"/>
      <c r="IJ3" s="1007"/>
      <c r="IK3" s="1007"/>
      <c r="IL3" s="1007"/>
      <c r="IM3" s="1007"/>
      <c r="IN3" s="1007"/>
      <c r="IO3" s="1007"/>
      <c r="IP3" s="1008"/>
      <c r="IQ3" s="1008"/>
      <c r="IR3" s="1007"/>
      <c r="IS3" s="1007"/>
      <c r="IT3" s="1007"/>
      <c r="IU3" s="1007"/>
      <c r="IV3" s="1007"/>
      <c r="IW3" s="937"/>
      <c r="IX3" s="1045"/>
      <c r="IY3" s="1045"/>
      <c r="IZ3" s="1045"/>
      <c r="JA3" s="1045"/>
      <c r="JB3" s="1045"/>
      <c r="JC3" s="1045"/>
      <c r="JD3" s="1045"/>
      <c r="JE3" s="1045"/>
      <c r="JF3" s="1045"/>
      <c r="JG3" s="1045"/>
      <c r="JH3" s="1045"/>
      <c r="JI3" s="1045"/>
      <c r="JJ3" s="1045"/>
      <c r="JK3" s="1045"/>
      <c r="JL3" s="1045"/>
      <c r="JM3" s="1045"/>
      <c r="JN3" s="1045"/>
      <c r="JO3" s="1045"/>
      <c r="JP3" s="1045"/>
      <c r="JQ3" s="1045"/>
      <c r="JR3" s="1045"/>
      <c r="JS3" s="1045"/>
      <c r="JT3" s="1045"/>
      <c r="JU3" s="1045"/>
      <c r="JV3" s="1045"/>
      <c r="JW3" s="1045"/>
      <c r="JX3" s="1045"/>
      <c r="JY3" s="1045"/>
      <c r="JZ3" s="1045"/>
      <c r="KA3" s="1045"/>
      <c r="KB3" s="1045"/>
      <c r="KC3" s="1045"/>
      <c r="KD3" s="1045"/>
      <c r="KE3" s="1045"/>
      <c r="KF3" s="1045"/>
      <c r="KG3" s="1045"/>
      <c r="KH3" s="1045"/>
      <c r="KI3" s="1045"/>
      <c r="KJ3" s="1045"/>
      <c r="KK3" s="1045"/>
      <c r="KL3" s="1045"/>
      <c r="KM3" s="1045"/>
      <c r="KN3" s="1045"/>
      <c r="KO3" s="1045"/>
      <c r="KP3" s="1045"/>
      <c r="KQ3" s="1045"/>
      <c r="KR3" s="1045"/>
      <c r="KS3" s="1045"/>
      <c r="KT3" s="1045"/>
      <c r="KU3" s="1045"/>
      <c r="KV3" s="1045"/>
      <c r="KW3" s="1045"/>
      <c r="KX3" s="1045"/>
      <c r="KY3" s="1045"/>
      <c r="KZ3" s="1045"/>
      <c r="LA3" s="1045"/>
      <c r="LB3" s="1045"/>
      <c r="LC3" s="1045"/>
      <c r="LD3" s="1045"/>
      <c r="LE3" s="1045"/>
      <c r="LF3" s="1045"/>
      <c r="LG3" s="1045"/>
      <c r="LH3" s="1045"/>
      <c r="LI3" s="1045"/>
      <c r="LJ3" s="1045"/>
      <c r="LK3" s="1045"/>
      <c r="LL3" s="1045"/>
      <c r="LM3" s="1045"/>
      <c r="LN3" s="1045"/>
      <c r="LO3" s="1045"/>
      <c r="LP3" s="1045"/>
      <c r="LQ3" s="1045"/>
      <c r="LR3" s="1045"/>
      <c r="LS3" s="1045"/>
      <c r="LT3" s="1045"/>
      <c r="LU3" s="1045"/>
      <c r="LV3" s="1045"/>
      <c r="LW3" s="1045"/>
      <c r="LX3" s="1045"/>
      <c r="LY3" s="1045"/>
      <c r="LZ3" s="1045"/>
      <c r="MA3" s="1045"/>
      <c r="MB3" s="1045"/>
      <c r="MC3" s="1045"/>
      <c r="MD3" s="1045"/>
      <c r="ME3" s="1045"/>
      <c r="MF3" s="1045"/>
      <c r="MG3" s="1045"/>
      <c r="MH3" s="1045"/>
      <c r="MI3" s="1045"/>
      <c r="MJ3" s="1045"/>
      <c r="MK3" s="1045"/>
      <c r="ML3" s="1045"/>
      <c r="MM3" s="1045"/>
      <c r="MN3" s="1045"/>
      <c r="MO3" s="1045"/>
      <c r="MP3" s="1045"/>
      <c r="MQ3" s="1045"/>
      <c r="MR3" s="1045"/>
      <c r="MS3" s="1045"/>
      <c r="MT3" s="1045"/>
      <c r="MU3" s="1045"/>
      <c r="MV3" s="1045"/>
      <c r="MW3" s="1045"/>
      <c r="MX3" s="1045"/>
      <c r="MY3" s="1045"/>
      <c r="MZ3" s="1045"/>
      <c r="NA3" s="1045"/>
      <c r="NB3" s="1045"/>
      <c r="NC3" s="1045"/>
      <c r="ND3" s="1045"/>
      <c r="NE3" s="1045"/>
    </row>
    <row r="4" customFormat="1" ht="18.5" spans="1:369">
      <c r="A4" s="932" t="s">
        <v>2717</v>
      </c>
      <c r="B4" s="934" t="str">
        <f>IF(OR(A4="说服",A4="话术",A4="取悦",A4="恐吓"),"☯",IF(ISNUMBER(SEARCH(A4,VLOOKUP(IX$2,职业列表!$B$1:$G$370,6,0))),"★",""))</f>
        <v/>
      </c>
      <c r="C4" s="934"/>
      <c r="D4" s="934"/>
      <c r="E4" s="935"/>
      <c r="F4" s="934"/>
      <c r="G4" s="934"/>
      <c r="H4" s="934"/>
      <c r="I4" s="934"/>
      <c r="J4" s="934"/>
      <c r="K4" s="934"/>
      <c r="L4" s="934"/>
      <c r="M4" s="934"/>
      <c r="N4" s="934"/>
      <c r="O4" s="934"/>
      <c r="P4" s="934"/>
      <c r="Q4" s="934"/>
      <c r="R4" s="934"/>
      <c r="S4" s="934"/>
      <c r="T4" s="934">
        <v>1</v>
      </c>
      <c r="U4" s="934"/>
      <c r="V4" s="934">
        <v>1</v>
      </c>
      <c r="W4" s="934"/>
      <c r="X4" s="934"/>
      <c r="Y4" s="934"/>
      <c r="Z4" s="934"/>
      <c r="AA4" s="934"/>
      <c r="AB4" s="934">
        <v>1</v>
      </c>
      <c r="AC4" s="934"/>
      <c r="AD4" s="934"/>
      <c r="AE4" s="934"/>
      <c r="AF4" s="934"/>
      <c r="AG4" s="934"/>
      <c r="AH4" s="934"/>
      <c r="AI4" s="934">
        <v>1</v>
      </c>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v>1</v>
      </c>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FX4" s="934"/>
      <c r="FY4" s="934"/>
      <c r="FZ4" s="934"/>
      <c r="GA4" s="934"/>
      <c r="GB4" s="934"/>
      <c r="GC4" s="934"/>
      <c r="GD4" s="934"/>
      <c r="GE4" s="934"/>
      <c r="GF4" s="934"/>
      <c r="GG4" s="934"/>
      <c r="GH4" s="934"/>
      <c r="GI4" s="934"/>
      <c r="GJ4" s="934"/>
      <c r="GK4" s="934"/>
      <c r="GL4" s="934"/>
      <c r="GM4" s="934"/>
      <c r="GN4" s="934"/>
      <c r="GO4" s="934"/>
      <c r="GP4" s="934"/>
      <c r="GQ4" s="934"/>
      <c r="GR4" s="934"/>
      <c r="GS4" s="934"/>
      <c r="GT4" s="934"/>
      <c r="GU4" s="934"/>
      <c r="GV4" s="934"/>
      <c r="GW4" s="934"/>
      <c r="GX4" s="934"/>
      <c r="GY4" s="934"/>
      <c r="GZ4" s="934"/>
      <c r="HA4" s="934"/>
      <c r="HB4" s="934"/>
      <c r="HC4" s="934"/>
      <c r="HD4" s="934"/>
      <c r="HE4" s="934"/>
      <c r="HF4" s="934"/>
      <c r="HG4" s="934"/>
      <c r="HH4" s="934"/>
      <c r="HI4" s="934"/>
      <c r="HJ4" s="934"/>
      <c r="HK4" s="934"/>
      <c r="HL4" s="934"/>
      <c r="HM4" s="934"/>
      <c r="HN4" s="934"/>
      <c r="HO4" s="934"/>
      <c r="HP4" s="934"/>
      <c r="HQ4" s="934"/>
      <c r="HR4" s="934"/>
      <c r="HS4" s="934"/>
      <c r="HT4" s="934"/>
      <c r="HU4" s="934"/>
      <c r="HV4" s="934"/>
      <c r="HW4" s="934"/>
      <c r="HX4" s="986"/>
      <c r="HY4" s="1007"/>
      <c r="HZ4" s="1007"/>
      <c r="IA4" s="1007"/>
      <c r="IB4" s="1007"/>
      <c r="IC4" s="1008"/>
      <c r="ID4" s="1008"/>
      <c r="IE4" s="1007"/>
      <c r="IF4" s="1007"/>
      <c r="IG4" s="1007"/>
      <c r="IH4" s="1007"/>
      <c r="II4" s="1007"/>
      <c r="IJ4" s="1007"/>
      <c r="IK4" s="1007"/>
      <c r="IL4" s="1007"/>
      <c r="IM4" s="1007"/>
      <c r="IN4" s="1007"/>
      <c r="IO4" s="1007"/>
      <c r="IP4" s="1008"/>
      <c r="IQ4" s="1008"/>
      <c r="IR4" s="1007"/>
      <c r="IS4" s="1007"/>
      <c r="IT4" s="1007"/>
      <c r="IU4" s="1007"/>
      <c r="IV4" s="1007"/>
      <c r="IW4" s="937"/>
      <c r="IX4" s="1045"/>
      <c r="IY4" s="1045"/>
      <c r="IZ4" s="1045"/>
      <c r="JA4" s="1045"/>
      <c r="JB4" s="1045"/>
      <c r="JC4" s="1045"/>
      <c r="JD4" s="1045"/>
      <c r="JE4" s="1045"/>
      <c r="JF4" s="1045"/>
      <c r="JG4" s="1045"/>
      <c r="JH4" s="1045"/>
      <c r="JI4" s="1045"/>
      <c r="JJ4" s="1045"/>
      <c r="JK4" s="1045"/>
      <c r="JL4" s="1045"/>
      <c r="JM4" s="1045"/>
      <c r="JN4" s="1045"/>
      <c r="JO4" s="1045"/>
      <c r="JP4" s="1045"/>
      <c r="JQ4" s="1045"/>
      <c r="JR4" s="1045"/>
      <c r="JS4" s="1045"/>
      <c r="JT4" s="1045"/>
      <c r="JU4" s="1045"/>
      <c r="JV4" s="1045"/>
      <c r="JW4" s="1045"/>
      <c r="JX4" s="1045"/>
      <c r="JY4" s="1045"/>
      <c r="JZ4" s="1045"/>
      <c r="KA4" s="1045"/>
      <c r="KB4" s="1045"/>
      <c r="KC4" s="1045"/>
      <c r="KD4" s="1045"/>
      <c r="KE4" s="1045"/>
      <c r="KF4" s="1045"/>
      <c r="KG4" s="1045"/>
      <c r="KH4" s="1045"/>
      <c r="KI4" s="1045"/>
      <c r="KJ4" s="1045"/>
      <c r="KK4" s="1045"/>
      <c r="KL4" s="1045"/>
      <c r="KM4" s="1045"/>
      <c r="KN4" s="1045"/>
      <c r="KO4" s="1045"/>
      <c r="KP4" s="1045"/>
      <c r="KQ4" s="1045"/>
      <c r="KR4" s="1045"/>
      <c r="KS4" s="1045"/>
      <c r="KT4" s="1045"/>
      <c r="KU4" s="1045"/>
      <c r="KV4" s="1045"/>
      <c r="KW4" s="1045"/>
      <c r="KX4" s="1045"/>
      <c r="KY4" s="1045"/>
      <c r="KZ4" s="1045"/>
      <c r="LA4" s="1045"/>
      <c r="LB4" s="1045"/>
      <c r="LC4" s="1045"/>
      <c r="LD4" s="1045"/>
      <c r="LE4" s="1045"/>
      <c r="LF4" s="1045"/>
      <c r="LG4" s="1045"/>
      <c r="LH4" s="1045"/>
      <c r="LI4" s="1045"/>
      <c r="LJ4" s="1045"/>
      <c r="LK4" s="1045"/>
      <c r="LL4" s="1045"/>
      <c r="LM4" s="1045"/>
      <c r="LN4" s="1045"/>
      <c r="LO4" s="1045"/>
      <c r="LP4" s="1045"/>
      <c r="LQ4" s="1045"/>
      <c r="LR4" s="1045"/>
      <c r="LS4" s="1045"/>
      <c r="LT4" s="1045"/>
      <c r="LU4" s="1045"/>
      <c r="LV4" s="1045"/>
      <c r="LW4" s="1045"/>
      <c r="LX4" s="1045"/>
      <c r="LY4" s="1045"/>
      <c r="LZ4" s="1045"/>
      <c r="MA4" s="1045"/>
      <c r="MB4" s="1045"/>
      <c r="MC4" s="1045"/>
      <c r="MD4" s="1045"/>
      <c r="ME4" s="1045"/>
      <c r="MF4" s="1045"/>
      <c r="MG4" s="1045"/>
      <c r="MH4" s="1045"/>
      <c r="MI4" s="1045"/>
      <c r="MJ4" s="1045"/>
      <c r="MK4" s="1045"/>
      <c r="ML4" s="1045"/>
      <c r="MM4" s="1045"/>
      <c r="MN4" s="1045"/>
      <c r="MO4" s="1045"/>
      <c r="MP4" s="1045"/>
      <c r="MQ4" s="1045"/>
      <c r="MR4" s="1045"/>
      <c r="MS4" s="1045"/>
      <c r="MT4" s="1045"/>
      <c r="MU4" s="1045"/>
      <c r="MV4" s="1045"/>
      <c r="MW4" s="1045"/>
      <c r="MX4" s="1045"/>
      <c r="MY4" s="1045"/>
      <c r="MZ4" s="1045"/>
      <c r="NA4" s="1045"/>
      <c r="NB4" s="1045"/>
      <c r="NC4" s="1045"/>
      <c r="ND4" s="1045"/>
      <c r="NE4" s="1045"/>
    </row>
    <row r="5" customFormat="1" ht="18.5" spans="1:369">
      <c r="A5" s="932" t="s">
        <v>2718</v>
      </c>
      <c r="B5" s="936" t="str">
        <f>IF(OR(A5="说服",A5="话术",A5="取悦",A5="恐吓"),"☯",IF(ISNUMBER(SEARCH(A5,VLOOKUP(IX$2,职业列表!$B$1:$G$370,6,0))),"★",""))</f>
        <v/>
      </c>
      <c r="C5" s="934"/>
      <c r="D5" s="936"/>
      <c r="E5" s="936"/>
      <c r="F5" s="936">
        <v>2</v>
      </c>
      <c r="G5" s="936">
        <v>2</v>
      </c>
      <c r="H5" s="936">
        <v>1</v>
      </c>
      <c r="I5" s="936"/>
      <c r="J5" s="936"/>
      <c r="K5" s="936">
        <v>1</v>
      </c>
      <c r="L5" s="936">
        <v>2</v>
      </c>
      <c r="M5" s="936"/>
      <c r="N5" s="936"/>
      <c r="O5" s="936">
        <v>1</v>
      </c>
      <c r="P5" s="936">
        <v>2</v>
      </c>
      <c r="Q5" s="936">
        <v>1</v>
      </c>
      <c r="R5" s="936"/>
      <c r="S5" s="936">
        <v>2</v>
      </c>
      <c r="T5" s="936"/>
      <c r="U5" s="936">
        <v>1</v>
      </c>
      <c r="V5" s="936">
        <v>1</v>
      </c>
      <c r="W5" s="936"/>
      <c r="X5" s="936"/>
      <c r="Y5" s="936">
        <v>1</v>
      </c>
      <c r="Z5" s="936"/>
      <c r="AA5" s="936">
        <v>1</v>
      </c>
      <c r="AB5" s="936"/>
      <c r="AC5" s="936"/>
      <c r="AD5" s="936"/>
      <c r="AE5" s="936"/>
      <c r="AF5" s="936">
        <v>2</v>
      </c>
      <c r="AG5" s="936"/>
      <c r="AH5" s="936">
        <v>2</v>
      </c>
      <c r="AI5" s="936">
        <v>1</v>
      </c>
      <c r="AJ5" s="936">
        <v>2</v>
      </c>
      <c r="AK5" s="936">
        <v>1</v>
      </c>
      <c r="AL5" s="936"/>
      <c r="AM5" s="936">
        <v>1</v>
      </c>
      <c r="AN5" s="936">
        <v>1</v>
      </c>
      <c r="AO5" s="936">
        <v>2</v>
      </c>
      <c r="AP5" s="936">
        <v>2</v>
      </c>
      <c r="AQ5" s="936"/>
      <c r="AR5" s="936">
        <v>2</v>
      </c>
      <c r="AS5" s="936"/>
      <c r="AT5" s="936"/>
      <c r="AU5" s="936">
        <v>1</v>
      </c>
      <c r="AV5" s="936">
        <v>2</v>
      </c>
      <c r="AW5" s="936">
        <v>1</v>
      </c>
      <c r="AX5" s="936"/>
      <c r="AY5" s="936">
        <v>2</v>
      </c>
      <c r="AZ5" s="936"/>
      <c r="BA5" s="936"/>
      <c r="BB5" s="936">
        <v>2</v>
      </c>
      <c r="BC5" s="936"/>
      <c r="BD5" s="936">
        <v>1</v>
      </c>
      <c r="BE5" s="936"/>
      <c r="BF5" s="936"/>
      <c r="BG5" s="936">
        <v>2</v>
      </c>
      <c r="BH5" s="936"/>
      <c r="BI5" s="936">
        <v>2</v>
      </c>
      <c r="BJ5" s="936">
        <v>2</v>
      </c>
      <c r="BK5" s="936">
        <v>2</v>
      </c>
      <c r="BL5" s="936">
        <v>2</v>
      </c>
      <c r="BM5" s="936"/>
      <c r="BN5" s="936">
        <v>1</v>
      </c>
      <c r="BO5" s="936">
        <v>1</v>
      </c>
      <c r="BP5" s="936">
        <v>1</v>
      </c>
      <c r="BQ5" s="936"/>
      <c r="BR5" s="936"/>
      <c r="BS5" s="936"/>
      <c r="BT5" s="936"/>
      <c r="BU5" s="936"/>
      <c r="BV5" s="936">
        <v>2</v>
      </c>
      <c r="BW5" s="936"/>
      <c r="BX5" s="936"/>
      <c r="BY5" s="936">
        <v>2</v>
      </c>
      <c r="BZ5" s="936">
        <v>1</v>
      </c>
      <c r="CA5" s="936"/>
      <c r="CB5" s="936"/>
      <c r="CC5" s="936">
        <v>1</v>
      </c>
      <c r="CD5" s="936">
        <v>1</v>
      </c>
      <c r="CE5" s="936">
        <v>1</v>
      </c>
      <c r="CF5" s="936"/>
      <c r="CG5" s="936"/>
      <c r="CH5" s="936">
        <v>1</v>
      </c>
      <c r="CI5" s="936">
        <v>1</v>
      </c>
      <c r="CJ5" s="936">
        <v>1</v>
      </c>
      <c r="CK5" s="936"/>
      <c r="CL5" s="936"/>
      <c r="CM5" s="936">
        <v>1</v>
      </c>
      <c r="CN5" s="936"/>
      <c r="CO5" s="936">
        <v>1</v>
      </c>
      <c r="CP5" s="936"/>
      <c r="CQ5" s="936"/>
      <c r="CR5" s="936">
        <v>2</v>
      </c>
      <c r="CS5" s="936"/>
      <c r="CT5" s="936"/>
      <c r="CU5" s="936">
        <v>1</v>
      </c>
      <c r="CV5" s="936"/>
      <c r="CW5" s="936">
        <v>1</v>
      </c>
      <c r="CX5" s="936">
        <v>2</v>
      </c>
      <c r="CY5" s="936">
        <v>1</v>
      </c>
      <c r="CZ5" s="936">
        <v>2</v>
      </c>
      <c r="DA5" s="936">
        <v>2</v>
      </c>
      <c r="DB5" s="936"/>
      <c r="DC5" s="936">
        <v>1</v>
      </c>
      <c r="DD5" s="936"/>
      <c r="DE5" s="936"/>
      <c r="DF5" s="936"/>
      <c r="DG5" s="936">
        <v>1</v>
      </c>
      <c r="DH5" s="936">
        <v>2</v>
      </c>
      <c r="DI5" s="936">
        <v>2</v>
      </c>
      <c r="DJ5" s="936">
        <v>1</v>
      </c>
      <c r="DK5" s="936">
        <v>2</v>
      </c>
      <c r="DL5" s="936">
        <v>2</v>
      </c>
      <c r="DM5" s="936"/>
      <c r="DN5" s="936"/>
      <c r="DO5" s="936">
        <v>1</v>
      </c>
      <c r="DP5" s="936">
        <v>1</v>
      </c>
      <c r="DQ5" s="936">
        <v>1</v>
      </c>
      <c r="DR5" s="936">
        <v>1</v>
      </c>
      <c r="DS5" s="936">
        <v>3</v>
      </c>
      <c r="DT5" s="936">
        <v>2</v>
      </c>
      <c r="DU5" s="936">
        <v>1</v>
      </c>
      <c r="DV5" s="936">
        <v>1</v>
      </c>
      <c r="DW5" s="936">
        <v>1</v>
      </c>
      <c r="DX5" s="936">
        <v>1</v>
      </c>
      <c r="DY5" s="936">
        <v>2</v>
      </c>
      <c r="DZ5" s="936">
        <v>2</v>
      </c>
      <c r="EA5" s="936">
        <v>2</v>
      </c>
      <c r="EB5" s="936">
        <v>2</v>
      </c>
      <c r="EC5" s="936">
        <v>1</v>
      </c>
      <c r="ED5" s="936"/>
      <c r="EE5" s="936">
        <v>2</v>
      </c>
      <c r="EF5" s="936"/>
      <c r="EG5" s="936"/>
      <c r="EH5" s="936"/>
      <c r="EI5" s="936">
        <v>1</v>
      </c>
      <c r="EJ5" s="936">
        <v>1</v>
      </c>
      <c r="EK5" s="936">
        <v>1</v>
      </c>
      <c r="EL5" s="936"/>
      <c r="EM5" s="936">
        <v>2</v>
      </c>
      <c r="EN5" s="936"/>
      <c r="EO5" s="936">
        <v>1</v>
      </c>
      <c r="EP5" s="936"/>
      <c r="EQ5" s="936"/>
      <c r="ER5" s="936">
        <v>2</v>
      </c>
      <c r="ES5" s="936">
        <v>2</v>
      </c>
      <c r="ET5" s="936">
        <v>2</v>
      </c>
      <c r="EU5" s="936">
        <v>2</v>
      </c>
      <c r="EV5" s="936">
        <v>2</v>
      </c>
      <c r="EW5" s="936"/>
      <c r="EX5" s="936">
        <v>2</v>
      </c>
      <c r="EY5" s="936">
        <v>2</v>
      </c>
      <c r="EZ5" s="936"/>
      <c r="FA5" s="936">
        <v>2</v>
      </c>
      <c r="FB5" s="936">
        <v>1</v>
      </c>
      <c r="FC5" s="936"/>
      <c r="FD5" s="936"/>
      <c r="FE5" s="936">
        <v>1</v>
      </c>
      <c r="FF5" s="936">
        <v>1</v>
      </c>
      <c r="FG5" s="936">
        <v>1</v>
      </c>
      <c r="FH5" s="936"/>
      <c r="FI5" s="936"/>
      <c r="FJ5" s="936"/>
      <c r="FK5" s="936"/>
      <c r="FL5" s="936"/>
      <c r="FM5" s="936">
        <v>2</v>
      </c>
      <c r="FN5" s="936"/>
      <c r="FO5" s="936"/>
      <c r="FP5" s="936"/>
      <c r="FQ5" s="936">
        <v>2</v>
      </c>
      <c r="FR5" s="936">
        <v>1</v>
      </c>
      <c r="FS5" s="936"/>
      <c r="FT5" s="936"/>
      <c r="FU5" s="936"/>
      <c r="FV5" s="936">
        <v>1</v>
      </c>
      <c r="FW5" s="936"/>
      <c r="FX5" s="936"/>
      <c r="FY5" s="936">
        <v>2</v>
      </c>
      <c r="FZ5" s="936"/>
      <c r="GA5" s="936"/>
      <c r="GB5" s="936">
        <v>1</v>
      </c>
      <c r="GC5" s="936"/>
      <c r="GD5" s="936"/>
      <c r="GE5" s="936"/>
      <c r="GF5" s="936">
        <v>1</v>
      </c>
      <c r="GG5" s="936">
        <v>2</v>
      </c>
      <c r="GH5" s="936">
        <v>2</v>
      </c>
      <c r="GI5" s="936">
        <v>2</v>
      </c>
      <c r="GJ5" s="936"/>
      <c r="GK5" s="936"/>
      <c r="GL5" s="936"/>
      <c r="GM5" s="936"/>
      <c r="GN5" s="936">
        <v>2</v>
      </c>
      <c r="GO5" s="936">
        <v>2</v>
      </c>
      <c r="GP5" s="936">
        <v>1</v>
      </c>
      <c r="GQ5" s="936">
        <v>2</v>
      </c>
      <c r="GR5" s="936"/>
      <c r="GS5" s="936"/>
      <c r="GT5" s="936">
        <v>1</v>
      </c>
      <c r="GU5" s="936"/>
      <c r="GV5" s="936"/>
      <c r="GW5" s="936">
        <v>1</v>
      </c>
      <c r="GX5" s="936">
        <v>1</v>
      </c>
      <c r="GY5" s="936">
        <v>1</v>
      </c>
      <c r="GZ5" s="936">
        <v>1</v>
      </c>
      <c r="HA5" s="936"/>
      <c r="HB5" s="936"/>
      <c r="HC5" s="936">
        <v>1</v>
      </c>
      <c r="HD5" s="936">
        <v>1</v>
      </c>
      <c r="HE5" s="936">
        <v>1</v>
      </c>
      <c r="HF5" s="936"/>
      <c r="HG5" s="936">
        <v>1</v>
      </c>
      <c r="HH5" s="936">
        <v>1</v>
      </c>
      <c r="HI5" s="936"/>
      <c r="HJ5" s="936">
        <v>2</v>
      </c>
      <c r="HK5" s="936">
        <v>1</v>
      </c>
      <c r="HL5" s="936"/>
      <c r="HM5" s="936">
        <v>2</v>
      </c>
      <c r="HN5" s="936">
        <v>2</v>
      </c>
      <c r="HO5" s="936"/>
      <c r="HP5" s="936">
        <v>2</v>
      </c>
      <c r="HQ5" s="936"/>
      <c r="HR5" s="936">
        <v>1</v>
      </c>
      <c r="HS5" s="936">
        <v>1</v>
      </c>
      <c r="HT5" s="936">
        <v>1</v>
      </c>
      <c r="HU5" s="936"/>
      <c r="HV5" s="936">
        <v>1</v>
      </c>
      <c r="HW5" s="936"/>
      <c r="HX5" s="987">
        <v>1</v>
      </c>
      <c r="HY5" s="1009">
        <v>1</v>
      </c>
      <c r="HZ5" s="1009">
        <v>2</v>
      </c>
      <c r="IA5" s="1009"/>
      <c r="IB5" s="1009"/>
      <c r="IC5" s="1010">
        <v>1</v>
      </c>
      <c r="ID5" s="1010">
        <v>1</v>
      </c>
      <c r="IE5" s="1009"/>
      <c r="IF5" s="1009">
        <v>1</v>
      </c>
      <c r="IG5" s="1009">
        <v>1</v>
      </c>
      <c r="IH5" s="1009"/>
      <c r="II5" s="1009"/>
      <c r="IJ5" s="1009"/>
      <c r="IK5" s="1009"/>
      <c r="IL5" s="1009"/>
      <c r="IM5" s="1009"/>
      <c r="IN5" s="1009"/>
      <c r="IO5" s="1009"/>
      <c r="IP5" s="1010">
        <v>2</v>
      </c>
      <c r="IQ5" s="1010">
        <v>1</v>
      </c>
      <c r="IR5" s="1009"/>
      <c r="IS5" s="1009">
        <v>2</v>
      </c>
      <c r="IT5" s="1009">
        <v>1</v>
      </c>
      <c r="IU5" s="1009">
        <v>1</v>
      </c>
      <c r="IV5" s="1009">
        <v>1</v>
      </c>
      <c r="IW5" s="1046"/>
      <c r="IX5" s="1047"/>
      <c r="IY5" s="1047"/>
      <c r="IZ5" s="1047"/>
      <c r="JA5" s="1047"/>
      <c r="JB5" s="1047"/>
      <c r="JC5" s="1047"/>
      <c r="JD5" s="1047"/>
      <c r="JE5" s="1047"/>
      <c r="JF5" s="1047"/>
      <c r="JG5" s="1047"/>
      <c r="JH5" s="1047"/>
      <c r="JI5" s="1047"/>
      <c r="JJ5" s="1047"/>
      <c r="JK5" s="1047"/>
      <c r="JL5" s="1047"/>
      <c r="JM5" s="1047"/>
      <c r="JN5" s="1047"/>
      <c r="JO5" s="1047"/>
      <c r="JP5" s="1047"/>
      <c r="JQ5" s="1047"/>
      <c r="JR5" s="1047"/>
      <c r="JS5" s="1047"/>
      <c r="JT5" s="1047"/>
      <c r="JU5" s="1047"/>
      <c r="JV5" s="1047"/>
      <c r="JW5" s="1047"/>
      <c r="JX5" s="1047"/>
      <c r="JY5" s="1047"/>
      <c r="JZ5" s="1047"/>
      <c r="KA5" s="1047"/>
      <c r="KB5" s="1047"/>
      <c r="KC5" s="1047"/>
      <c r="KD5" s="1047"/>
      <c r="KE5" s="1047"/>
      <c r="KF5" s="1047"/>
      <c r="KG5" s="1047"/>
      <c r="KH5" s="1047"/>
      <c r="KI5" s="1047"/>
      <c r="KJ5" s="1047"/>
      <c r="KK5" s="1047"/>
      <c r="KL5" s="1047"/>
      <c r="KM5" s="1047"/>
      <c r="KN5" s="1047"/>
      <c r="KO5" s="1047"/>
      <c r="KP5" s="1047"/>
      <c r="KQ5" s="1047"/>
      <c r="KR5" s="1047"/>
      <c r="KS5" s="1047"/>
      <c r="KT5" s="1047"/>
      <c r="KU5" s="1047"/>
      <c r="KV5" s="1047"/>
      <c r="KW5" s="1047"/>
      <c r="KX5" s="1047"/>
      <c r="KY5" s="1047"/>
      <c r="KZ5" s="1047"/>
      <c r="LA5" s="1047"/>
      <c r="LB5" s="1047"/>
      <c r="LC5" s="1047"/>
      <c r="LD5" s="1047"/>
      <c r="LE5" s="1047"/>
      <c r="LF5" s="1047"/>
      <c r="LG5" s="1047"/>
      <c r="LH5" s="1047"/>
      <c r="LI5" s="1047"/>
      <c r="LJ5" s="1047"/>
      <c r="LK5" s="1047"/>
      <c r="LL5" s="1047"/>
      <c r="LM5" s="1047"/>
      <c r="LN5" s="1047"/>
      <c r="LO5" s="1047"/>
      <c r="LP5" s="1047"/>
      <c r="LQ5" s="1047"/>
      <c r="LR5" s="1047"/>
      <c r="LS5" s="1047"/>
      <c r="LT5" s="1047"/>
      <c r="LU5" s="1047"/>
      <c r="LV5" s="1047"/>
      <c r="LW5" s="1047"/>
      <c r="LX5" s="1047"/>
      <c r="LY5" s="1047"/>
      <c r="LZ5" s="1047"/>
      <c r="MA5" s="1047"/>
      <c r="MB5" s="1047"/>
      <c r="MC5" s="1047"/>
      <c r="MD5" s="1047"/>
      <c r="ME5" s="1047"/>
      <c r="MF5" s="1047"/>
      <c r="MG5" s="1047"/>
      <c r="MH5" s="1047"/>
      <c r="MI5" s="1047"/>
      <c r="MJ5" s="1047"/>
      <c r="MK5" s="1047"/>
      <c r="ML5" s="1047"/>
      <c r="MM5" s="1047"/>
      <c r="MN5" s="1047"/>
      <c r="MO5" s="1047"/>
      <c r="MP5" s="1047"/>
      <c r="MQ5" s="1047"/>
      <c r="MR5" s="1047"/>
      <c r="MS5" s="1047"/>
      <c r="MT5" s="1047"/>
      <c r="MU5" s="1047"/>
      <c r="MV5" s="1047"/>
      <c r="MW5" s="1047"/>
      <c r="MX5" s="1047"/>
      <c r="MY5" s="1047"/>
      <c r="MZ5" s="1047"/>
      <c r="NA5" s="1047"/>
      <c r="NB5" s="1047"/>
      <c r="NC5" s="1047"/>
      <c r="ND5" s="1047"/>
      <c r="NE5" s="1047"/>
    </row>
    <row r="6" customFormat="1" ht="17.5" spans="1:369">
      <c r="A6" s="932" t="s">
        <v>2719</v>
      </c>
      <c r="B6" s="937" t="str">
        <f>IF(OR(A6="说服",A6="话术",A6="取悦",A6="恐吓"),"☯",IF(ISNUMBER(SEARCH(A6,VLOOKUP(IX$2,职业列表!$B$1:$G$370,6,0))),"★",""))</f>
        <v/>
      </c>
      <c r="C6" s="937"/>
      <c r="D6" s="937"/>
      <c r="E6" s="937"/>
      <c r="F6" s="937"/>
      <c r="G6" s="937"/>
      <c r="H6" s="937"/>
      <c r="I6" s="937"/>
      <c r="J6" s="937"/>
      <c r="K6" s="937"/>
      <c r="L6" s="937"/>
      <c r="M6" s="937"/>
      <c r="N6" s="937"/>
      <c r="O6" s="937"/>
      <c r="P6" s="937"/>
      <c r="Q6" s="937"/>
      <c r="R6" s="937"/>
      <c r="S6" s="937"/>
      <c r="T6" s="937"/>
      <c r="U6" s="937"/>
      <c r="V6" s="937"/>
      <c r="W6" s="937"/>
      <c r="X6" s="937"/>
      <c r="Y6" s="937"/>
      <c r="Z6" s="937"/>
      <c r="AA6" s="937"/>
      <c r="AB6" s="937"/>
      <c r="AC6" s="937"/>
      <c r="AD6" s="937"/>
      <c r="AE6" s="937"/>
      <c r="AF6" s="937"/>
      <c r="AG6" s="937"/>
      <c r="AH6" s="937"/>
      <c r="AI6" s="937">
        <v>1</v>
      </c>
      <c r="AJ6" s="937"/>
      <c r="AK6" s="937"/>
      <c r="AL6" s="937"/>
      <c r="AM6" s="937"/>
      <c r="AN6" s="937"/>
      <c r="AO6" s="937"/>
      <c r="AP6" s="937"/>
      <c r="AQ6" s="937"/>
      <c r="AR6" s="937"/>
      <c r="AS6" s="937"/>
      <c r="AT6" s="937"/>
      <c r="AU6" s="937"/>
      <c r="AV6" s="937"/>
      <c r="AW6" s="937"/>
      <c r="AX6" s="937"/>
      <c r="AY6" s="937"/>
      <c r="AZ6" s="937"/>
      <c r="BA6" s="937"/>
      <c r="BB6" s="937"/>
      <c r="BC6" s="937"/>
      <c r="BD6" s="937"/>
      <c r="BE6" s="937"/>
      <c r="BF6" s="937"/>
      <c r="BG6" s="937"/>
      <c r="BH6" s="937"/>
      <c r="BI6" s="937"/>
      <c r="BJ6" s="937"/>
      <c r="BK6" s="937"/>
      <c r="BL6" s="937"/>
      <c r="BM6" s="937"/>
      <c r="BN6" s="937"/>
      <c r="BO6" s="937"/>
      <c r="BP6" s="937"/>
      <c r="BQ6" s="937"/>
      <c r="BR6" s="937"/>
      <c r="BS6" s="937"/>
      <c r="BT6" s="937"/>
      <c r="BU6" s="937"/>
      <c r="BV6" s="937"/>
      <c r="BW6" s="937"/>
      <c r="BX6" s="937"/>
      <c r="BY6" s="937"/>
      <c r="BZ6" s="937"/>
      <c r="CA6" s="937"/>
      <c r="CB6" s="937"/>
      <c r="CC6" s="937"/>
      <c r="CD6" s="937"/>
      <c r="CE6" s="937"/>
      <c r="CF6" s="937"/>
      <c r="CG6" s="937"/>
      <c r="CH6" s="937"/>
      <c r="CI6" s="937"/>
      <c r="CJ6" s="937"/>
      <c r="CK6" s="937"/>
      <c r="CL6" s="937"/>
      <c r="CM6" s="937"/>
      <c r="CN6" s="937"/>
      <c r="CO6" s="937"/>
      <c r="CP6" s="937"/>
      <c r="CQ6" s="937"/>
      <c r="CR6" s="937"/>
      <c r="CS6" s="937"/>
      <c r="CT6" s="937"/>
      <c r="CU6" s="937"/>
      <c r="CV6" s="937"/>
      <c r="CW6" s="937"/>
      <c r="CX6" s="937"/>
      <c r="CY6" s="937"/>
      <c r="CZ6" s="937"/>
      <c r="DA6" s="937"/>
      <c r="DB6" s="937">
        <v>1</v>
      </c>
      <c r="DC6" s="937"/>
      <c r="DD6" s="937"/>
      <c r="DE6" s="937">
        <v>1</v>
      </c>
      <c r="DF6" s="937"/>
      <c r="DG6" s="937"/>
      <c r="DH6" s="937"/>
      <c r="DI6" s="937"/>
      <c r="DJ6" s="937"/>
      <c r="DK6" s="937"/>
      <c r="DL6" s="937"/>
      <c r="DM6" s="937"/>
      <c r="DN6" s="937"/>
      <c r="DO6" s="937"/>
      <c r="DP6" s="937"/>
      <c r="DQ6" s="937"/>
      <c r="DR6" s="937"/>
      <c r="DS6" s="937"/>
      <c r="DT6" s="937"/>
      <c r="DU6" s="937"/>
      <c r="DV6" s="937"/>
      <c r="DW6" s="937"/>
      <c r="DX6" s="937"/>
      <c r="DY6" s="937"/>
      <c r="DZ6" s="937"/>
      <c r="EA6" s="937"/>
      <c r="EB6" s="937"/>
      <c r="EC6" s="937"/>
      <c r="ED6" s="937"/>
      <c r="EE6" s="937"/>
      <c r="EF6" s="937"/>
      <c r="EG6" s="937"/>
      <c r="EH6" s="937"/>
      <c r="EI6" s="937"/>
      <c r="EJ6" s="937"/>
      <c r="EK6" s="937"/>
      <c r="EL6" s="937"/>
      <c r="EM6" s="937"/>
      <c r="EN6" s="937"/>
      <c r="EO6" s="937"/>
      <c r="EP6" s="937"/>
      <c r="EQ6" s="937"/>
      <c r="ER6" s="937"/>
      <c r="ES6" s="937"/>
      <c r="ET6" s="937"/>
      <c r="EU6" s="937"/>
      <c r="EV6" s="937"/>
      <c r="EW6" s="937"/>
      <c r="EX6" s="937"/>
      <c r="EY6" s="937"/>
      <c r="EZ6" s="937"/>
      <c r="FA6" s="937"/>
      <c r="FB6" s="937"/>
      <c r="FC6" s="937"/>
      <c r="FD6" s="937"/>
      <c r="FE6" s="937"/>
      <c r="FF6" s="937"/>
      <c r="FG6" s="937"/>
      <c r="FH6" s="937"/>
      <c r="FI6" s="937"/>
      <c r="FJ6" s="937"/>
      <c r="FK6" s="937"/>
      <c r="FL6" s="937"/>
      <c r="FM6" s="937"/>
      <c r="FN6" s="937"/>
      <c r="FO6" s="937"/>
      <c r="FP6" s="937"/>
      <c r="FQ6" s="937"/>
      <c r="FR6" s="937"/>
      <c r="FS6" s="937"/>
      <c r="FT6" s="937"/>
      <c r="FU6" s="937"/>
      <c r="FV6" s="937"/>
      <c r="FW6" s="937"/>
      <c r="FX6" s="937"/>
      <c r="FY6" s="937"/>
      <c r="FZ6" s="937"/>
      <c r="GA6" s="937"/>
      <c r="GB6" s="937"/>
      <c r="GC6" s="937">
        <v>1</v>
      </c>
      <c r="GD6" s="937">
        <v>1</v>
      </c>
      <c r="GE6" s="937"/>
      <c r="GF6" s="937"/>
      <c r="GG6" s="937"/>
      <c r="GH6" s="937"/>
      <c r="GI6" s="937"/>
      <c r="GJ6" s="937"/>
      <c r="GK6" s="937"/>
      <c r="GL6" s="937"/>
      <c r="GM6" s="937"/>
      <c r="GN6" s="937"/>
      <c r="GO6" s="937"/>
      <c r="GP6" s="937"/>
      <c r="GQ6" s="937"/>
      <c r="GR6" s="937"/>
      <c r="GS6" s="937"/>
      <c r="GT6" s="937"/>
      <c r="GU6" s="937">
        <v>1</v>
      </c>
      <c r="GV6" s="937"/>
      <c r="GW6" s="937"/>
      <c r="GX6" s="937"/>
      <c r="GY6" s="937"/>
      <c r="GZ6" s="937"/>
      <c r="HA6" s="937"/>
      <c r="HB6" s="937"/>
      <c r="HC6" s="937"/>
      <c r="HD6" s="937"/>
      <c r="HE6" s="937"/>
      <c r="HF6" s="937"/>
      <c r="HG6" s="937"/>
      <c r="HH6" s="937"/>
      <c r="HI6" s="937"/>
      <c r="HJ6" s="937"/>
      <c r="HK6" s="937"/>
      <c r="HL6" s="937"/>
      <c r="HM6" s="937"/>
      <c r="HN6" s="937"/>
      <c r="HO6" s="937">
        <v>1</v>
      </c>
      <c r="HP6" s="937"/>
      <c r="HQ6" s="937"/>
      <c r="HR6" s="937"/>
      <c r="HS6" s="937"/>
      <c r="HT6" s="937"/>
      <c r="HU6" s="937">
        <v>1</v>
      </c>
      <c r="HV6" s="937"/>
      <c r="HW6" s="937"/>
      <c r="HX6" s="988"/>
      <c r="HY6" s="937"/>
      <c r="HZ6" s="937"/>
      <c r="IA6" s="937"/>
      <c r="IB6" s="937"/>
      <c r="IC6" s="988"/>
      <c r="ID6" s="988"/>
      <c r="IE6" s="937"/>
      <c r="IF6" s="937"/>
      <c r="IG6" s="937"/>
      <c r="IH6" s="937"/>
      <c r="II6" s="937"/>
      <c r="IJ6" s="937"/>
      <c r="IK6" s="937"/>
      <c r="IL6" s="937"/>
      <c r="IM6" s="937"/>
      <c r="IN6" s="937"/>
      <c r="IO6" s="937"/>
      <c r="IP6" s="988"/>
      <c r="IQ6" s="988"/>
      <c r="IR6" s="937"/>
      <c r="IS6" s="937"/>
      <c r="IT6" s="937"/>
      <c r="IU6" s="937"/>
      <c r="IV6" s="937"/>
      <c r="IW6" s="937"/>
      <c r="IX6" s="1045"/>
      <c r="IY6" s="1045"/>
      <c r="IZ6" s="1045"/>
      <c r="JA6" s="1045"/>
      <c r="JB6" s="1045"/>
      <c r="JC6" s="1045"/>
      <c r="JD6" s="1045"/>
      <c r="JE6" s="1045"/>
      <c r="JF6" s="1045"/>
      <c r="JG6" s="1045"/>
      <c r="JH6" s="1045"/>
      <c r="JI6" s="1045"/>
      <c r="JJ6" s="1045"/>
      <c r="JK6" s="1045"/>
      <c r="JL6" s="1045"/>
      <c r="JM6" s="1045"/>
      <c r="JN6" s="1045"/>
      <c r="JO6" s="1045"/>
      <c r="JP6" s="1045"/>
      <c r="JQ6" s="1045"/>
      <c r="JR6" s="1045"/>
      <c r="JS6" s="1045"/>
      <c r="JT6" s="1045"/>
      <c r="JU6" s="1045"/>
      <c r="JV6" s="1045"/>
      <c r="JW6" s="1045"/>
      <c r="JX6" s="1045"/>
      <c r="JY6" s="1045"/>
      <c r="JZ6" s="1045"/>
      <c r="KA6" s="1045"/>
      <c r="KB6" s="1045"/>
      <c r="KC6" s="1045"/>
      <c r="KD6" s="1045"/>
      <c r="KE6" s="1045"/>
      <c r="KF6" s="1045"/>
      <c r="KG6" s="1045"/>
      <c r="KH6" s="1045"/>
      <c r="KI6" s="1045"/>
      <c r="KJ6" s="1045"/>
      <c r="KK6" s="1045"/>
      <c r="KL6" s="1045"/>
      <c r="KM6" s="1045"/>
      <c r="KN6" s="1045"/>
      <c r="KO6" s="1045"/>
      <c r="KP6" s="1045"/>
      <c r="KQ6" s="1045"/>
      <c r="KR6" s="1045"/>
      <c r="KS6" s="1045"/>
      <c r="KT6" s="1045"/>
      <c r="KU6" s="1045"/>
      <c r="KV6" s="1045"/>
      <c r="KW6" s="1045"/>
      <c r="KX6" s="1045"/>
      <c r="KY6" s="1045"/>
      <c r="KZ6" s="1045"/>
      <c r="LA6" s="1045"/>
      <c r="LB6" s="1045"/>
      <c r="LC6" s="1045"/>
      <c r="LD6" s="1045"/>
      <c r="LE6" s="1045"/>
      <c r="LF6" s="1045"/>
      <c r="LG6" s="1045"/>
      <c r="LH6" s="1045"/>
      <c r="LI6" s="1045"/>
      <c r="LJ6" s="1045"/>
      <c r="LK6" s="1045"/>
      <c r="LL6" s="1045"/>
      <c r="LM6" s="1045"/>
      <c r="LN6" s="1045"/>
      <c r="LO6" s="1045"/>
      <c r="LP6" s="1045"/>
      <c r="LQ6" s="1045"/>
      <c r="LR6" s="1045"/>
      <c r="LS6" s="1045"/>
      <c r="LT6" s="1045"/>
      <c r="LU6" s="1045"/>
      <c r="LV6" s="1045"/>
      <c r="LW6" s="1045"/>
      <c r="LX6" s="1045"/>
      <c r="LY6" s="1045"/>
      <c r="LZ6" s="1045"/>
      <c r="MA6" s="1045"/>
      <c r="MB6" s="1045"/>
      <c r="MC6" s="1045"/>
      <c r="MD6" s="1045"/>
      <c r="ME6" s="1045"/>
      <c r="MF6" s="1045"/>
      <c r="MG6" s="1045"/>
      <c r="MH6" s="1045"/>
      <c r="MI6" s="1045"/>
      <c r="MJ6" s="1045"/>
      <c r="MK6" s="1045"/>
      <c r="ML6" s="1045"/>
      <c r="MM6" s="1045"/>
      <c r="MN6" s="1045"/>
      <c r="MO6" s="1045"/>
      <c r="MP6" s="1045"/>
      <c r="MQ6" s="1045"/>
      <c r="MR6" s="1045"/>
      <c r="MS6" s="1045"/>
      <c r="MT6" s="1045"/>
      <c r="MU6" s="1045"/>
      <c r="MV6" s="1045"/>
      <c r="MW6" s="1045"/>
      <c r="MX6" s="1045"/>
      <c r="MY6" s="1045"/>
      <c r="MZ6" s="1045"/>
      <c r="NA6" s="1045"/>
      <c r="NB6" s="1045"/>
      <c r="NC6" s="1045"/>
      <c r="ND6" s="1045"/>
      <c r="NE6" s="1045"/>
    </row>
    <row r="7" customFormat="1" ht="17.5" spans="1:369">
      <c r="A7" s="932" t="s">
        <v>67</v>
      </c>
      <c r="B7" s="938" t="str">
        <f>IF(OR(A7="说服",A7="话术",A7="取悦",A7="恐吓"),"☯",IF(ISNUMBER(SEARCH(A7,VLOOKUP(IX$2,职业列表!$B$1:$G$370,6,0))),"★",""))</f>
        <v/>
      </c>
      <c r="C7" s="938">
        <f>职业列表!J11</f>
        <v>0</v>
      </c>
      <c r="D7" s="938">
        <v>2</v>
      </c>
      <c r="E7" s="938">
        <v>2</v>
      </c>
      <c r="F7" s="938">
        <v>1</v>
      </c>
      <c r="G7" s="938">
        <v>2</v>
      </c>
      <c r="H7" s="938"/>
      <c r="I7" s="938"/>
      <c r="J7" s="938">
        <v>1</v>
      </c>
      <c r="K7" s="938">
        <v>1</v>
      </c>
      <c r="L7" s="938"/>
      <c r="M7" s="938"/>
      <c r="N7" s="938"/>
      <c r="O7" s="938">
        <v>2</v>
      </c>
      <c r="P7" s="938"/>
      <c r="Q7" s="938">
        <v>1</v>
      </c>
      <c r="R7" s="938">
        <v>1</v>
      </c>
      <c r="S7" s="938">
        <v>1</v>
      </c>
      <c r="T7" s="938"/>
      <c r="U7" s="938"/>
      <c r="V7" s="938"/>
      <c r="W7" s="938">
        <v>2</v>
      </c>
      <c r="X7" s="938">
        <v>1</v>
      </c>
      <c r="Y7" s="938">
        <v>1</v>
      </c>
      <c r="Z7" s="938">
        <v>2</v>
      </c>
      <c r="AA7" s="938">
        <v>2</v>
      </c>
      <c r="AB7" s="938"/>
      <c r="AC7" s="938">
        <v>2</v>
      </c>
      <c r="AD7" s="938"/>
      <c r="AE7" s="938">
        <v>1</v>
      </c>
      <c r="AF7" s="938"/>
      <c r="AG7" s="938"/>
      <c r="AH7" s="938"/>
      <c r="AI7" s="938"/>
      <c r="AJ7" s="938">
        <v>1</v>
      </c>
      <c r="AK7" s="938">
        <v>1</v>
      </c>
      <c r="AL7" s="938">
        <v>1</v>
      </c>
      <c r="AM7" s="938"/>
      <c r="AN7" s="938"/>
      <c r="AO7" s="938">
        <v>2</v>
      </c>
      <c r="AP7" s="938"/>
      <c r="AQ7" s="938">
        <v>1</v>
      </c>
      <c r="AR7" s="938">
        <v>3</v>
      </c>
      <c r="AS7" s="938">
        <v>1</v>
      </c>
      <c r="AT7" s="938">
        <v>2</v>
      </c>
      <c r="AU7" s="938">
        <v>2</v>
      </c>
      <c r="AV7" s="938">
        <v>1</v>
      </c>
      <c r="AW7" s="938">
        <v>1</v>
      </c>
      <c r="AX7" s="938">
        <v>1</v>
      </c>
      <c r="AY7" s="938">
        <v>1</v>
      </c>
      <c r="AZ7" s="938"/>
      <c r="BA7" s="938">
        <v>1</v>
      </c>
      <c r="BB7" s="938">
        <v>2</v>
      </c>
      <c r="BC7" s="938"/>
      <c r="BD7" s="938">
        <v>1</v>
      </c>
      <c r="BE7" s="938">
        <v>1</v>
      </c>
      <c r="BF7" s="938"/>
      <c r="BG7" s="938">
        <v>1</v>
      </c>
      <c r="BH7" s="938"/>
      <c r="BI7" s="938"/>
      <c r="BJ7" s="938"/>
      <c r="BK7" s="938">
        <v>2</v>
      </c>
      <c r="BL7" s="938"/>
      <c r="BM7" s="938">
        <v>1</v>
      </c>
      <c r="BN7" s="938"/>
      <c r="BO7" s="938">
        <v>2</v>
      </c>
      <c r="BP7" s="938"/>
      <c r="BQ7" s="938"/>
      <c r="BR7" s="938">
        <v>1</v>
      </c>
      <c r="BS7" s="938">
        <v>1</v>
      </c>
      <c r="BT7" s="938"/>
      <c r="BU7" s="938">
        <v>1</v>
      </c>
      <c r="BV7" s="938">
        <v>2</v>
      </c>
      <c r="BW7" s="938">
        <v>4</v>
      </c>
      <c r="BX7" s="938">
        <v>2</v>
      </c>
      <c r="BY7" s="938">
        <v>1</v>
      </c>
      <c r="BZ7" s="938">
        <v>2</v>
      </c>
      <c r="CA7" s="938"/>
      <c r="CB7" s="938"/>
      <c r="CC7" s="938">
        <v>4</v>
      </c>
      <c r="CD7" s="938"/>
      <c r="CE7" s="938">
        <v>1</v>
      </c>
      <c r="CF7" s="938"/>
      <c r="CG7" s="938">
        <v>1</v>
      </c>
      <c r="CH7" s="938"/>
      <c r="CI7" s="938">
        <v>2</v>
      </c>
      <c r="CJ7" s="938">
        <v>2</v>
      </c>
      <c r="CK7" s="938">
        <v>2</v>
      </c>
      <c r="CL7" s="938">
        <v>1</v>
      </c>
      <c r="CM7" s="938">
        <v>1</v>
      </c>
      <c r="CN7" s="938"/>
      <c r="CO7" s="938">
        <v>1</v>
      </c>
      <c r="CP7" s="938">
        <v>4</v>
      </c>
      <c r="CQ7" s="938">
        <v>1</v>
      </c>
      <c r="CR7" s="938">
        <v>1</v>
      </c>
      <c r="CS7" s="938"/>
      <c r="CT7" s="938">
        <v>2</v>
      </c>
      <c r="CU7" s="938">
        <v>3</v>
      </c>
      <c r="CV7" s="938"/>
      <c r="CW7" s="938"/>
      <c r="CX7" s="938">
        <v>1</v>
      </c>
      <c r="CY7" s="938"/>
      <c r="CZ7" s="938">
        <v>1</v>
      </c>
      <c r="DA7" s="938"/>
      <c r="DB7" s="938"/>
      <c r="DC7" s="938"/>
      <c r="DD7" s="938">
        <v>5</v>
      </c>
      <c r="DE7" s="938"/>
      <c r="DF7" s="938"/>
      <c r="DG7" s="938"/>
      <c r="DH7" s="938"/>
      <c r="DI7" s="938">
        <v>1</v>
      </c>
      <c r="DJ7" s="938">
        <v>2</v>
      </c>
      <c r="DK7" s="938">
        <v>2</v>
      </c>
      <c r="DL7" s="938">
        <v>3</v>
      </c>
      <c r="DM7" s="938"/>
      <c r="DN7" s="938"/>
      <c r="DO7" s="938">
        <v>1</v>
      </c>
      <c r="DP7" s="938">
        <v>1</v>
      </c>
      <c r="DQ7" s="938">
        <v>1</v>
      </c>
      <c r="DR7" s="938">
        <v>1</v>
      </c>
      <c r="DS7" s="938">
        <v>1</v>
      </c>
      <c r="DT7" s="938">
        <v>2</v>
      </c>
      <c r="DU7" s="938">
        <v>1</v>
      </c>
      <c r="DV7" s="938">
        <v>1</v>
      </c>
      <c r="DW7" s="938">
        <v>1</v>
      </c>
      <c r="DX7" s="938"/>
      <c r="DY7" s="938">
        <v>2</v>
      </c>
      <c r="DZ7" s="938"/>
      <c r="EA7" s="938">
        <v>1</v>
      </c>
      <c r="EB7" s="938">
        <v>2</v>
      </c>
      <c r="EC7" s="938">
        <v>1</v>
      </c>
      <c r="ED7" s="938">
        <v>2</v>
      </c>
      <c r="EE7" s="938">
        <v>2</v>
      </c>
      <c r="EF7" s="938">
        <v>2</v>
      </c>
      <c r="EG7" s="938">
        <v>2</v>
      </c>
      <c r="EH7" s="938">
        <v>2</v>
      </c>
      <c r="EI7" s="938">
        <v>1</v>
      </c>
      <c r="EJ7" s="938">
        <v>2</v>
      </c>
      <c r="EK7" s="938">
        <v>2</v>
      </c>
      <c r="EL7" s="938">
        <v>1</v>
      </c>
      <c r="EM7" s="938">
        <v>1</v>
      </c>
      <c r="EN7" s="938">
        <v>1</v>
      </c>
      <c r="EO7" s="938">
        <v>3</v>
      </c>
      <c r="EP7" s="938">
        <v>2</v>
      </c>
      <c r="EQ7" s="938">
        <v>2</v>
      </c>
      <c r="ER7" s="938">
        <v>1</v>
      </c>
      <c r="ES7" s="938">
        <v>1</v>
      </c>
      <c r="ET7" s="938">
        <v>4</v>
      </c>
      <c r="EU7" s="938">
        <v>2</v>
      </c>
      <c r="EV7" s="938">
        <v>2</v>
      </c>
      <c r="EW7" s="938">
        <v>1</v>
      </c>
      <c r="EX7" s="938">
        <v>2</v>
      </c>
      <c r="EY7" s="938">
        <v>2</v>
      </c>
      <c r="EZ7" s="938"/>
      <c r="FA7" s="938">
        <v>1</v>
      </c>
      <c r="FB7" s="938"/>
      <c r="FC7" s="938"/>
      <c r="FD7" s="938">
        <v>3</v>
      </c>
      <c r="FE7" s="938">
        <v>1</v>
      </c>
      <c r="FF7" s="938">
        <v>1</v>
      </c>
      <c r="FG7" s="938">
        <v>1</v>
      </c>
      <c r="FH7" s="938">
        <v>2</v>
      </c>
      <c r="FI7" s="938">
        <v>0</v>
      </c>
      <c r="FJ7" s="938">
        <v>1</v>
      </c>
      <c r="FK7" s="938">
        <v>1</v>
      </c>
      <c r="FL7" s="938"/>
      <c r="FM7" s="938">
        <v>2</v>
      </c>
      <c r="FN7" s="938">
        <v>1</v>
      </c>
      <c r="FO7" s="938">
        <v>2</v>
      </c>
      <c r="FP7" s="938"/>
      <c r="FQ7" s="938">
        <v>1</v>
      </c>
      <c r="FR7" s="938"/>
      <c r="FS7" s="938">
        <v>2</v>
      </c>
      <c r="FT7" s="938">
        <v>1</v>
      </c>
      <c r="FU7" s="938"/>
      <c r="FV7" s="938">
        <v>1</v>
      </c>
      <c r="FW7" s="938">
        <v>1</v>
      </c>
      <c r="FX7" s="938"/>
      <c r="FY7" s="938">
        <v>2</v>
      </c>
      <c r="FZ7" s="938">
        <v>1</v>
      </c>
      <c r="GA7" s="938"/>
      <c r="GB7" s="938"/>
      <c r="GC7" s="938"/>
      <c r="GD7" s="938"/>
      <c r="GE7" s="938"/>
      <c r="GF7" s="938"/>
      <c r="GG7" s="938">
        <v>2</v>
      </c>
      <c r="GH7" s="938">
        <v>2</v>
      </c>
      <c r="GI7" s="938">
        <v>2</v>
      </c>
      <c r="GJ7" s="938">
        <v>2</v>
      </c>
      <c r="GK7" s="938">
        <v>2</v>
      </c>
      <c r="GL7" s="938">
        <v>2</v>
      </c>
      <c r="GM7" s="938">
        <v>2</v>
      </c>
      <c r="GN7" s="938"/>
      <c r="GO7" s="938">
        <v>2</v>
      </c>
      <c r="GP7" s="938"/>
      <c r="GQ7" s="938">
        <v>1</v>
      </c>
      <c r="GR7" s="938">
        <v>2</v>
      </c>
      <c r="GS7" s="938">
        <v>1</v>
      </c>
      <c r="GT7" s="938">
        <v>2</v>
      </c>
      <c r="GU7" s="938"/>
      <c r="GV7" s="938">
        <v>3</v>
      </c>
      <c r="GW7" s="938"/>
      <c r="GX7" s="938">
        <v>2</v>
      </c>
      <c r="GY7" s="938">
        <v>1</v>
      </c>
      <c r="GZ7" s="938">
        <v>2</v>
      </c>
      <c r="HA7" s="938">
        <v>3</v>
      </c>
      <c r="HB7" s="938">
        <v>2</v>
      </c>
      <c r="HC7" s="938">
        <v>2</v>
      </c>
      <c r="HD7" s="938">
        <v>1</v>
      </c>
      <c r="HE7" s="938">
        <v>2</v>
      </c>
      <c r="HF7" s="938">
        <v>2</v>
      </c>
      <c r="HG7" s="938">
        <v>1</v>
      </c>
      <c r="HH7" s="938">
        <v>1</v>
      </c>
      <c r="HI7" s="938">
        <v>6</v>
      </c>
      <c r="HJ7" s="938">
        <v>3</v>
      </c>
      <c r="HK7" s="938"/>
      <c r="HL7" s="938"/>
      <c r="HM7" s="938">
        <v>1</v>
      </c>
      <c r="HN7" s="938"/>
      <c r="HO7" s="938">
        <v>1</v>
      </c>
      <c r="HP7" s="938">
        <v>2</v>
      </c>
      <c r="HQ7" s="938">
        <v>2</v>
      </c>
      <c r="HR7" s="938"/>
      <c r="HS7" s="938">
        <v>6</v>
      </c>
      <c r="HT7" s="938">
        <v>6</v>
      </c>
      <c r="HU7" s="938">
        <v>1</v>
      </c>
      <c r="HV7" s="938">
        <v>1</v>
      </c>
      <c r="HW7" s="938">
        <v>2</v>
      </c>
      <c r="HX7" s="989"/>
      <c r="HY7" s="929">
        <v>2</v>
      </c>
      <c r="HZ7" s="929">
        <v>2</v>
      </c>
      <c r="IA7" s="929">
        <v>2</v>
      </c>
      <c r="IB7" s="929">
        <v>2</v>
      </c>
      <c r="IC7" s="1011">
        <v>2</v>
      </c>
      <c r="ID7" s="1011">
        <v>2</v>
      </c>
      <c r="IE7" s="929">
        <v>2</v>
      </c>
      <c r="IF7" s="929">
        <v>2</v>
      </c>
      <c r="IG7" s="929">
        <v>2</v>
      </c>
      <c r="IH7" s="929">
        <v>2</v>
      </c>
      <c r="II7" s="929">
        <v>2</v>
      </c>
      <c r="IJ7" s="929">
        <v>2</v>
      </c>
      <c r="IK7" s="929">
        <v>2</v>
      </c>
      <c r="IL7" s="929">
        <v>2</v>
      </c>
      <c r="IM7" s="929">
        <v>2</v>
      </c>
      <c r="IN7" s="929"/>
      <c r="IO7" s="929">
        <v>2</v>
      </c>
      <c r="IP7" s="1011">
        <v>2</v>
      </c>
      <c r="IQ7" s="1011">
        <v>2</v>
      </c>
      <c r="IR7" s="929">
        <v>2</v>
      </c>
      <c r="IS7" s="929">
        <v>2</v>
      </c>
      <c r="IT7" s="929">
        <v>3</v>
      </c>
      <c r="IU7" s="929">
        <v>2</v>
      </c>
      <c r="IV7" s="929">
        <v>2</v>
      </c>
      <c r="IW7" s="929">
        <v>2</v>
      </c>
      <c r="IX7" s="1048" t="str">
        <f>IF(ISNUMBER(SEARCH("任意两项",VLOOKUP(IX$2,职业列表!$B$1:$G$370,6,0))),"2",IF(ISNUMBER(SEARCH("任意三项",VLOOKUP(IX$2,职业列表!$B$1:$G$370,6,0))),"3",""))</f>
        <v>2</v>
      </c>
      <c r="IY7" s="1048" t="str">
        <f>IF(ISNUMBER(SEARCH("任意两项",VLOOKUP(IY$2,职业列表!$B$1:$G$370,6,0))),"2",IF(ISNUMBER(SEARCH("任意三项",VLOOKUP(IY$2,职业列表!$B$1:$G$370,6,0))),"3",""))</f>
        <v>3</v>
      </c>
      <c r="IZ7" s="1048" t="str">
        <f>IF(ISNUMBER(SEARCH("任意两项",VLOOKUP(IZ$2,职业列表!$B$1:$G$370,6,0))),"2",IF(ISNUMBER(SEARCH("任意三项",VLOOKUP(IZ$2,职业列表!$B$1:$G$370,6,0))),"3",""))</f>
        <v>2</v>
      </c>
      <c r="JA7" s="1048" t="str">
        <f>IF(ISNUMBER(SEARCH("任意两项",VLOOKUP(JA$2,职业列表!$B$1:$G$370,6,0))),"2",IF(ISNUMBER(SEARCH("任意三项",VLOOKUP(JA$2,职业列表!$B$1:$G$370,6,0))),"3",""))</f>
        <v>2</v>
      </c>
      <c r="JB7" s="1048" t="str">
        <f>IF(ISNUMBER(SEARCH("任意两项",VLOOKUP(JB$2,职业列表!$B$1:$G$370,6,0))),"2",IF(ISNUMBER(SEARCH("任意三项",VLOOKUP(JB$2,职业列表!$B$1:$G$370,6,0))),"3",""))</f>
        <v>2</v>
      </c>
      <c r="JC7" s="1048" t="str">
        <f>IF(ISNUMBER(SEARCH("任意两项",VLOOKUP(JC$2,职业列表!$B$1:$G$370,6,0))),"2",IF(ISNUMBER(SEARCH("任意三项",VLOOKUP(JC$2,职业列表!$B$1:$G$370,6,0))),"3",""))</f>
        <v>2</v>
      </c>
      <c r="JD7" s="1048" t="str">
        <f>IF(ISNUMBER(SEARCH("任意两项",VLOOKUP(JD$2,职业列表!$B$1:$G$370,6,0))),"2",IF(ISNUMBER(SEARCH("任意三项",VLOOKUP(JD$2,职业列表!$B$1:$G$370,6,0))),"3",""))</f>
        <v>2</v>
      </c>
      <c r="JE7" s="1048" t="str">
        <f>IF(ISNUMBER(SEARCH("任意两项",VLOOKUP(JE$2,职业列表!$B$1:$G$370,6,0))),"2",IF(ISNUMBER(SEARCH("任意三项",VLOOKUP(JE$2,职业列表!$B$1:$G$370,6,0))),"3",""))</f>
        <v>3</v>
      </c>
      <c r="JF7" s="1048" t="str">
        <f>IF(ISNUMBER(SEARCH("任意两项",VLOOKUP(JF$2,职业列表!$B$1:$G$370,6,0))),"2",IF(ISNUMBER(SEARCH("任意三项",VLOOKUP(JF$2,职业列表!$B$1:$G$370,6,0))),"3",""))</f>
        <v>2</v>
      </c>
      <c r="JG7" s="1048" t="str">
        <f>IF(ISNUMBER(SEARCH("任意两项",VLOOKUP(JG$2,职业列表!$B$1:$G$370,6,0))),"2",IF(ISNUMBER(SEARCH("任意三项",VLOOKUP(JG$2,职业列表!$B$1:$G$370,6,0))),"3",""))</f>
        <v>2</v>
      </c>
      <c r="JH7" s="1048" t="str">
        <f>IF(ISNUMBER(SEARCH("任意两项",VLOOKUP(JH$2,职业列表!$B$1:$G$370,6,0))),"2",IF(ISNUMBER(SEARCH("任意三项",VLOOKUP(JH$2,职业列表!$B$1:$G$370,6,0))),"3",""))</f>
        <v>2</v>
      </c>
      <c r="JI7" s="1048" t="str">
        <f>IF(ISNUMBER(SEARCH("任意两项",VLOOKUP(JI$2,职业列表!$B$1:$G$370,6,0))),"2",IF(ISNUMBER(SEARCH("任意三项",VLOOKUP(JI$2,职业列表!$B$1:$G$370,6,0))),"3",""))</f>
        <v>2</v>
      </c>
      <c r="JJ7" s="1048" t="str">
        <f>IF(ISNUMBER(SEARCH("任意两项",VLOOKUP(JJ$2,职业列表!$B$1:$G$370,6,0))),"2",IF(ISNUMBER(SEARCH("任意三项",VLOOKUP(JJ$2,职业列表!$B$1:$G$370,6,0))),"3",""))</f>
        <v>2</v>
      </c>
      <c r="JK7" s="1048" t="str">
        <f>IF(ISNUMBER(SEARCH("任意两项",VLOOKUP(JK$2,职业列表!$B$1:$G$370,6,0))),"2",IF(ISNUMBER(SEARCH("任意三项",VLOOKUP(JK$2,职业列表!$B$1:$G$370,6,0))),"3",""))</f>
        <v>2</v>
      </c>
      <c r="JL7" s="1048" t="str">
        <f>IF(ISNUMBER(SEARCH("任意两项",VLOOKUP(JL$2,职业列表!$B$1:$G$370,6,0))),"2",IF(ISNUMBER(SEARCH("任意三项",VLOOKUP(JL$2,职业列表!$B$1:$G$370,6,0))),"3",""))</f>
        <v>2</v>
      </c>
      <c r="JM7" s="1048" t="str">
        <f>IF(ISNUMBER(SEARCH("任意两项",VLOOKUP(JM$2,职业列表!$B$1:$G$370,6,0))),"2",IF(ISNUMBER(SEARCH("任意三项",VLOOKUP(JM$2,职业列表!$B$1:$G$370,6,0))),"3",""))</f>
        <v>2</v>
      </c>
      <c r="JN7" s="1048" t="str">
        <f>IF(ISNUMBER(SEARCH("任意两项",VLOOKUP(JN$2,职业列表!$B$1:$G$370,6,0))),"2",IF(ISNUMBER(SEARCH("任意三项",VLOOKUP(JN$2,职业列表!$B$1:$G$370,6,0))),"3",""))</f>
        <v/>
      </c>
      <c r="JO7" s="1048" t="str">
        <f>IF(ISNUMBER(SEARCH("任意两项",VLOOKUP(JO$2,职业列表!$B$1:$G$370,6,0))),"2",IF(ISNUMBER(SEARCH("任意三项",VLOOKUP(JO$2,职业列表!$B$1:$G$370,6,0))),"3",""))</f>
        <v>2</v>
      </c>
      <c r="JP7" s="1048" t="str">
        <f>IF(ISNUMBER(SEARCH("任意两项",VLOOKUP(JP$2,职业列表!$B$1:$G$370,6,0))),"2",IF(ISNUMBER(SEARCH("任意三项",VLOOKUP(JP$2,职业列表!$B$1:$G$370,6,0))),"3",""))</f>
        <v>2</v>
      </c>
      <c r="JQ7" s="1048" t="str">
        <f>IF(ISNUMBER(SEARCH("任意两项",VLOOKUP(JQ$2,职业列表!$B$1:$G$370,6,0))),"2",IF(ISNUMBER(SEARCH("任意三项",VLOOKUP(JQ$2,职业列表!$B$1:$G$370,6,0))),"3",""))</f>
        <v>2</v>
      </c>
      <c r="JR7" s="1048" t="str">
        <f>IF(ISNUMBER(SEARCH("任意两项",VLOOKUP(JR$2,职业列表!$B$1:$G$370,6,0))),"2",IF(ISNUMBER(SEARCH("任意三项",VLOOKUP(JR$2,职业列表!$B$1:$G$370,6,0))),"3",""))</f>
        <v>2</v>
      </c>
      <c r="JS7" s="1048" t="str">
        <f>IF(ISNUMBER(SEARCH("任意两项",VLOOKUP(JS$2,职业列表!$B$1:$G$370,6,0))),"2",IF(ISNUMBER(SEARCH("任意三项",VLOOKUP(JS$2,职业列表!$B$1:$G$370,6,0))),"3",""))</f>
        <v>2</v>
      </c>
      <c r="JT7" s="1048" t="str">
        <f>IF(ISNUMBER(SEARCH("任意两项",VLOOKUP(JT$2,职业列表!$B$1:$G$370,6,0))),"2",IF(ISNUMBER(SEARCH("任意三项",VLOOKUP(JT$2,职业列表!$B$1:$G$370,6,0))),"3",""))</f>
        <v>2</v>
      </c>
      <c r="JU7" s="1048" t="str">
        <f>IF(ISNUMBER(SEARCH("任意两项",VLOOKUP(JU$2,职业列表!$B$1:$G$370,6,0))),"2",IF(ISNUMBER(SEARCH("任意三项",VLOOKUP(JU$2,职业列表!$B$1:$G$370,6,0))),"3",""))</f>
        <v>2</v>
      </c>
      <c r="JV7" s="1048" t="str">
        <f>IF(ISNUMBER(SEARCH("任意两项",VLOOKUP(JV$2,职业列表!$B$1:$G$370,6,0))),"2",IF(ISNUMBER(SEARCH("任意三项",VLOOKUP(JV$2,职业列表!$B$1:$G$370,6,0))),"3",""))</f>
        <v>2</v>
      </c>
      <c r="JW7" s="1048" t="str">
        <f>IF(ISNUMBER(SEARCH("任意两项",VLOOKUP(JW$2,职业列表!$B$1:$G$370,6,0))),"2",IF(ISNUMBER(SEARCH("任意三项",VLOOKUP(JW$2,职业列表!$B$1:$G$370,6,0))),"3",""))</f>
        <v>2</v>
      </c>
      <c r="JX7" s="1048" t="str">
        <f>IF(ISNUMBER(SEARCH("任意两项",VLOOKUP(JX$2,职业列表!$B$1:$G$370,6,0))),"2",IF(ISNUMBER(SEARCH("任意三项",VLOOKUP(JX$2,职业列表!$B$1:$G$370,6,0))),"3",""))</f>
        <v>3</v>
      </c>
      <c r="JY7" s="1048" t="str">
        <f>IF(ISNUMBER(SEARCH("任意两项",VLOOKUP(JY$2,职业列表!$B$1:$G$370,6,0))),"2",IF(ISNUMBER(SEARCH("任意三项",VLOOKUP(JY$2,职业列表!$B$1:$G$370,6,0))),"3",""))</f>
        <v>2</v>
      </c>
      <c r="JZ7" s="1048" t="str">
        <f>IF(ISNUMBER(SEARCH("任意两项",VLOOKUP(JZ$2,职业列表!$B$1:$G$370,6,0))),"2",IF(ISNUMBER(SEARCH("任意三项",VLOOKUP(JZ$2,职业列表!$B$1:$G$370,6,0))),"3",""))</f>
        <v>2</v>
      </c>
      <c r="KA7" s="1048" t="str">
        <f>IF(ISNUMBER(SEARCH("任意两项",VLOOKUP(KA$2,职业列表!$B$1:$G$370,6,0))),"2",IF(ISNUMBER(SEARCH("任意三项",VLOOKUP(KA$2,职业列表!$B$1:$G$370,6,0))),"3",""))</f>
        <v>2</v>
      </c>
      <c r="KB7" s="1048" t="str">
        <f>IF(ISNUMBER(SEARCH("任意两项",VLOOKUP(KB$2,职业列表!$B$1:$G$370,6,0))),"2",IF(ISNUMBER(SEARCH("任意三项",VLOOKUP(KB$2,职业列表!$B$1:$G$370,6,0))),"3",""))</f>
        <v>2</v>
      </c>
      <c r="KC7" s="1048" t="str">
        <f>IF(ISNUMBER(SEARCH("任意两项",VLOOKUP(KC$2,职业列表!$B$1:$G$370,6,0))),"2",IF(ISNUMBER(SEARCH("任意三项",VLOOKUP(KC$2,职业列表!$B$1:$G$370,6,0))),"3",""))</f>
        <v>2</v>
      </c>
      <c r="KD7" s="1048" t="str">
        <f>IF(ISNUMBER(SEARCH("任意两项",VLOOKUP(KD$2,职业列表!$B$1:$G$370,6,0))),"2",IF(ISNUMBER(SEARCH("任意三项",VLOOKUP(KD$2,职业列表!$B$1:$G$370,6,0))),"3",""))</f>
        <v>2</v>
      </c>
      <c r="KE7" s="1048" t="str">
        <f>IF(ISNUMBER(SEARCH("任意两项",VLOOKUP(KE$2,职业列表!$B$1:$G$370,6,0))),"2",IF(ISNUMBER(SEARCH("任意三项",VLOOKUP(KE$2,职业列表!$B$1:$G$370,6,0))),"3",""))</f>
        <v>3</v>
      </c>
      <c r="KF7" s="1048" t="str">
        <f>IF(ISNUMBER(SEARCH("任意两项",VLOOKUP(KF$2,职业列表!$B$1:$G$370,6,0))),"2",IF(ISNUMBER(SEARCH("任意三项",VLOOKUP(KF$2,职业列表!$B$1:$G$370,6,0))),"3",""))</f>
        <v>2</v>
      </c>
      <c r="KG7" s="1048" t="str">
        <f>IF(ISNUMBER(SEARCH("任意两项",VLOOKUP(KG$2,职业列表!$B$1:$G$370,6,0))),"2",IF(ISNUMBER(SEARCH("任意三项",VLOOKUP(KG$2,职业列表!$B$1:$G$370,6,0))),"3",""))</f>
        <v>3</v>
      </c>
      <c r="KH7" s="1048" t="str">
        <f>IF(ISNUMBER(SEARCH("任意两项",VLOOKUP(KH$2,职业列表!$B$1:$G$370,6,0))),"2",IF(ISNUMBER(SEARCH("任意三项",VLOOKUP(KH$2,职业列表!$B$1:$G$370,6,0))),"3",""))</f>
        <v>2</v>
      </c>
      <c r="KI7" s="1048" t="str">
        <f>IF(ISNUMBER(SEARCH("任意两项",VLOOKUP(KI$2,职业列表!$B$1:$G$370,6,0))),"2",IF(ISNUMBER(SEARCH("任意三项",VLOOKUP(KI$2,职业列表!$B$1:$G$370,6,0))),"3",""))</f>
        <v>3</v>
      </c>
      <c r="KJ7" s="1048" t="str">
        <f>IF(ISNUMBER(SEARCH("任意两项",VLOOKUP(KJ$2,职业列表!$B$1:$G$370,6,0))),"2",IF(ISNUMBER(SEARCH("任意三项",VLOOKUP(KJ$2,职业列表!$B$1:$G$370,6,0))),"3",""))</f>
        <v>2</v>
      </c>
      <c r="KK7" s="1048" t="str">
        <f>IF(ISNUMBER(SEARCH("任意两项",VLOOKUP(KK$2,职业列表!$B$1:$G$370,6,0))),"2",IF(ISNUMBER(SEARCH("任意三项",VLOOKUP(KK$2,职业列表!$B$1:$G$370,6,0))),"3",""))</f>
        <v>2</v>
      </c>
      <c r="KL7" s="1048" t="str">
        <f>IF(ISNUMBER(SEARCH("任意两项",VLOOKUP(KL$2,职业列表!$B$1:$G$370,6,0))),"2",IF(ISNUMBER(SEARCH("任意三项",VLOOKUP(KL$2,职业列表!$B$1:$G$370,6,0))),"3",""))</f>
        <v>3</v>
      </c>
      <c r="KM7" s="1048" t="str">
        <f>IF(ISNUMBER(SEARCH("任意两项",VLOOKUP(KM$2,职业列表!$B$1:$G$370,6,0))),"2",IF(ISNUMBER(SEARCH("任意三项",VLOOKUP(KM$2,职业列表!$B$1:$G$370,6,0))),"3",""))</f>
        <v>2</v>
      </c>
      <c r="KN7" s="1048" t="str">
        <f>IF(ISNUMBER(SEARCH("任意两项",VLOOKUP(KN$2,职业列表!$B$1:$G$370,6,0))),"2",IF(ISNUMBER(SEARCH("任意三项",VLOOKUP(KN$2,职业列表!$B$1:$G$370,6,0))),"3",""))</f>
        <v>2</v>
      </c>
      <c r="KO7" s="1048" t="str">
        <f>IF(ISNUMBER(SEARCH("任意两项",VLOOKUP(KO$2,职业列表!$B$1:$G$370,6,0))),"2",IF(ISNUMBER(SEARCH("任意三项",VLOOKUP(KO$2,职业列表!$B$1:$G$370,6,0))),"3",""))</f>
        <v>2</v>
      </c>
      <c r="KP7" s="1048" t="str">
        <f>IF(ISNUMBER(SEARCH("任意两项",VLOOKUP(KP$2,职业列表!$B$1:$G$370,6,0))),"2",IF(ISNUMBER(SEARCH("任意三项",VLOOKUP(KP$2,职业列表!$B$1:$G$370,6,0))),"3",""))</f>
        <v>2</v>
      </c>
      <c r="KQ7" s="1048" t="str">
        <f>IF(ISNUMBER(SEARCH("任意两项",VLOOKUP(KQ$2,职业列表!$B$1:$G$370,6,0))),"2",IF(ISNUMBER(SEARCH("任意三项",VLOOKUP(KQ$2,职业列表!$B$1:$G$370,6,0))),"3",""))</f>
        <v>2</v>
      </c>
      <c r="KR7" s="1048" t="str">
        <f>IF(ISNUMBER(SEARCH("任意两项",VLOOKUP(KR$2,职业列表!$B$1:$G$370,6,0))),"2",IF(ISNUMBER(SEARCH("任意三项",VLOOKUP(KR$2,职业列表!$B$1:$G$370,6,0))),"3",""))</f>
        <v>2</v>
      </c>
      <c r="KS7" s="1048" t="str">
        <f>IF(ISNUMBER(SEARCH("任意两项",VLOOKUP(KS$2,职业列表!$B$1:$G$370,6,0))),"2",IF(ISNUMBER(SEARCH("任意三项",VLOOKUP(KS$2,职业列表!$B$1:$G$370,6,0))),"3",""))</f>
        <v>2</v>
      </c>
      <c r="KT7" s="1048" t="str">
        <f>IF(ISNUMBER(SEARCH("任意两项",VLOOKUP(KT$2,职业列表!$B$1:$G$370,6,0))),"2",IF(ISNUMBER(SEARCH("任意三项",VLOOKUP(KT$2,职业列表!$B$1:$G$370,6,0))),"3",""))</f>
        <v>2</v>
      </c>
      <c r="KU7" s="1048" t="str">
        <f>IF(ISNUMBER(SEARCH("任意两项",VLOOKUP(KU$2,职业列表!$B$1:$G$370,6,0))),"2",IF(ISNUMBER(SEARCH("任意三项",VLOOKUP(KU$2,职业列表!$B$1:$G$370,6,0))),"3",""))</f>
        <v>2</v>
      </c>
      <c r="KV7" s="1048" t="str">
        <f>IF(ISNUMBER(SEARCH("任意两项",VLOOKUP(KV$2,职业列表!$B$1:$G$370,6,0))),"2",IF(ISNUMBER(SEARCH("任意三项",VLOOKUP(KV$2,职业列表!$B$1:$G$370,6,0))),"3",""))</f>
        <v>2</v>
      </c>
      <c r="KW7" s="1048" t="str">
        <f>IF(ISNUMBER(SEARCH("任意两项",VLOOKUP(KW$2,职业列表!$B$1:$G$370,6,0))),"2",IF(ISNUMBER(SEARCH("任意三项",VLOOKUP(KW$2,职业列表!$B$1:$G$370,6,0))),"3",""))</f>
        <v>2</v>
      </c>
      <c r="KX7" s="1048" t="str">
        <f>IF(ISNUMBER(SEARCH("任意两项",VLOOKUP(KX$2,职业列表!$B$1:$G$370,6,0))),"2",IF(ISNUMBER(SEARCH("任意三项",VLOOKUP(KX$2,职业列表!$B$1:$G$370,6,0))),"3",""))</f>
        <v>2</v>
      </c>
      <c r="KY7" s="1048" t="str">
        <f>IF(ISNUMBER(SEARCH("任意两项",VLOOKUP(KY$2,职业列表!$B$1:$G$370,6,0))),"2",IF(ISNUMBER(SEARCH("任意三项",VLOOKUP(KY$2,职业列表!$B$1:$G$370,6,0))),"3",""))</f>
        <v>2</v>
      </c>
      <c r="KZ7" s="1048" t="str">
        <f>IF(ISNUMBER(SEARCH("任意两项",VLOOKUP(KZ$2,职业列表!$B$1:$G$370,6,0))),"2",IF(ISNUMBER(SEARCH("任意三项",VLOOKUP(KZ$2,职业列表!$B$1:$G$370,6,0))),"3",""))</f>
        <v>2</v>
      </c>
      <c r="LA7" s="1048" t="str">
        <f>IF(ISNUMBER(SEARCH("任意两项",VLOOKUP(LA$2,职业列表!$B$1:$G$370,6,0))),"2",IF(ISNUMBER(SEARCH("任意三项",VLOOKUP(LA$2,职业列表!$B$1:$G$370,6,0))),"3",""))</f>
        <v>2</v>
      </c>
      <c r="LB7" s="1048" t="str">
        <f>IF(ISNUMBER(SEARCH("任意两项",VLOOKUP(LB$2,职业列表!$B$1:$G$370,6,0))),"2",IF(ISNUMBER(SEARCH("任意三项",VLOOKUP(LB$2,职业列表!$B$1:$G$370,6,0))),"3",""))</f>
        <v>3</v>
      </c>
      <c r="LC7" s="1048" t="str">
        <f>IF(ISNUMBER(SEARCH("任意两项",VLOOKUP(LC$2,职业列表!$B$1:$G$370,6,0))),"2",IF(ISNUMBER(SEARCH("任意三项",VLOOKUP(LC$2,职业列表!$B$1:$G$370,6,0))),"3",""))</f>
        <v>3</v>
      </c>
      <c r="LD7" s="1048" t="str">
        <f>IF(ISNUMBER(SEARCH("任意两项",VLOOKUP(LD$2,职业列表!$B$1:$G$370,6,0))),"2",IF(ISNUMBER(SEARCH("任意三项",VLOOKUP(LD$2,职业列表!$B$1:$G$370,6,0))),"3",""))</f>
        <v>2</v>
      </c>
      <c r="LE7" s="1048" t="str">
        <f>IF(ISNUMBER(SEARCH("任意两项",VLOOKUP(LE$2,职业列表!$B$1:$G$370,6,0))),"2",IF(ISNUMBER(SEARCH("任意三项",VLOOKUP(LE$2,职业列表!$B$1:$G$370,6,0))),"3",""))</f>
        <v>2</v>
      </c>
      <c r="LF7" s="1048" t="str">
        <f>IF(ISNUMBER(SEARCH("任意两项",VLOOKUP(LF$2,职业列表!$B$1:$G$370,6,0))),"2",IF(ISNUMBER(SEARCH("任意三项",VLOOKUP(LF$2,职业列表!$B$1:$G$370,6,0))),"3",""))</f>
        <v>3</v>
      </c>
      <c r="LG7" s="1048" t="str">
        <f>IF(ISNUMBER(SEARCH("任意两项",VLOOKUP(LG$2,职业列表!$B$1:$G$370,6,0))),"2",IF(ISNUMBER(SEARCH("任意三项",VLOOKUP(LG$2,职业列表!$B$1:$G$370,6,0))),"3",""))</f>
        <v/>
      </c>
      <c r="LH7" s="1048" t="str">
        <f>IF(ISNUMBER(SEARCH("任意两项",VLOOKUP(LH$2,职业列表!$B$1:$G$370,6,0))),"2",IF(ISNUMBER(SEARCH("任意三项",VLOOKUP(LH$2,职业列表!$B$1:$G$370,6,0))),"3",""))</f>
        <v>3</v>
      </c>
      <c r="LI7" s="1048" t="str">
        <f>IF(ISNUMBER(SEARCH("任意两项",VLOOKUP(LI$2,职业列表!$B$1:$G$370,6,0))),"2",IF(ISNUMBER(SEARCH("任意三项",VLOOKUP(LI$2,职业列表!$B$1:$G$370,6,0))),"3",""))</f>
        <v>2</v>
      </c>
      <c r="LJ7" s="1048" t="str">
        <f>IF(ISNUMBER(SEARCH("任意两项",VLOOKUP(LJ$2,职业列表!$B$1:$G$370,6,0))),"2",IF(ISNUMBER(SEARCH("任意三项",VLOOKUP(LJ$2,职业列表!$B$1:$G$370,6,0))),"3",""))</f>
        <v>2</v>
      </c>
      <c r="LK7" s="1048" t="str">
        <f>IF(ISNUMBER(SEARCH("任意两项",VLOOKUP(LK$2,职业列表!$B$1:$G$370,6,0))),"2",IF(ISNUMBER(SEARCH("任意三项",VLOOKUP(LK$2,职业列表!$B$1:$G$370,6,0))),"3",""))</f>
        <v>3</v>
      </c>
      <c r="LL7" s="1048" t="str">
        <f>IF(ISNUMBER(SEARCH("任意两项",VLOOKUP(LL$2,职业列表!$B$1:$G$370,6,0))),"2",IF(ISNUMBER(SEARCH("任意三项",VLOOKUP(LL$2,职业列表!$B$1:$G$370,6,0))),"3",""))</f>
        <v>2</v>
      </c>
      <c r="LM7" s="1048" t="str">
        <f>IF(ISNUMBER(SEARCH("任意两项",VLOOKUP(LM$2,职业列表!$B$1:$G$370,6,0))),"2",IF(ISNUMBER(SEARCH("任意三项",VLOOKUP(LM$2,职业列表!$B$1:$G$370,6,0))),"3",""))</f>
        <v>3</v>
      </c>
      <c r="LN7" s="1048" t="str">
        <f>IF(ISNUMBER(SEARCH("任意两项",VLOOKUP(LN$2,职业列表!$B$1:$G$370,6,0))),"2",IF(ISNUMBER(SEARCH("任意三项",VLOOKUP(LN$2,职业列表!$B$1:$G$370,6,0))),"3",""))</f>
        <v/>
      </c>
      <c r="LO7" s="1048" t="str">
        <f>IF(ISNUMBER(SEARCH("任意两项",VLOOKUP(LO$2,职业列表!$B$1:$G$370,6,0))),"2",IF(ISNUMBER(SEARCH("任意三项",VLOOKUP(LO$2,职业列表!$B$1:$G$370,6,0))),"3",""))</f>
        <v>2</v>
      </c>
      <c r="LP7" s="1048" t="str">
        <f>IF(ISNUMBER(SEARCH("任意两项",VLOOKUP(LP$2,职业列表!$B$1:$G$370,6,0))),"2",IF(ISNUMBER(SEARCH("任意三项",VLOOKUP(LP$2,职业列表!$B$1:$G$370,6,0))),"3",""))</f>
        <v>2</v>
      </c>
      <c r="LQ7" s="1048" t="str">
        <f>IF(ISNUMBER(SEARCH("任意两项",VLOOKUP(LQ$2,职业列表!$B$1:$G$370,6,0))),"2",IF(ISNUMBER(SEARCH("任意三项",VLOOKUP(LQ$2,职业列表!$B$1:$G$370,6,0))),"3",""))</f>
        <v>2</v>
      </c>
      <c r="LR7" s="1048" t="str">
        <f>IF(ISNUMBER(SEARCH("任意两项",VLOOKUP(LR$2,职业列表!$B$1:$G$370,6,0))),"2",IF(ISNUMBER(SEARCH("任意三项",VLOOKUP(LR$2,职业列表!$B$1:$G$370,6,0))),"3",""))</f>
        <v>2</v>
      </c>
      <c r="LS7" s="1048" t="str">
        <f>IF(ISNUMBER(SEARCH("任意两项",VLOOKUP(LS$2,职业列表!$B$1:$G$370,6,0))),"2",IF(ISNUMBER(SEARCH("任意三项",VLOOKUP(LS$2,职业列表!$B$1:$G$370,6,0))),"3",""))</f>
        <v>2</v>
      </c>
      <c r="LT7" s="1048" t="str">
        <f>IF(ISNUMBER(SEARCH("任意两项",VLOOKUP(LT$2,职业列表!$B$1:$G$370,6,0))),"2",IF(ISNUMBER(SEARCH("任意三项",VLOOKUP(LT$2,职业列表!$B$1:$G$370,6,0))),"3",""))</f>
        <v>2</v>
      </c>
      <c r="LU7" s="1048" t="str">
        <f>IF(ISNUMBER(SEARCH("任意两项",VLOOKUP(LU$2,职业列表!$B$1:$G$370,6,0))),"2",IF(ISNUMBER(SEARCH("任意三项",VLOOKUP(LU$2,职业列表!$B$1:$G$370,6,0))),"3",""))</f>
        <v>2</v>
      </c>
      <c r="LV7" s="1048" t="str">
        <f>IF(ISNUMBER(SEARCH("任意两项",VLOOKUP(LV$2,职业列表!$B$1:$G$370,6,0))),"2",IF(ISNUMBER(SEARCH("任意三项",VLOOKUP(LV$2,职业列表!$B$1:$G$370,6,0))),"3",""))</f>
        <v>2</v>
      </c>
      <c r="LW7" s="1048" t="str">
        <f>IF(ISNUMBER(SEARCH("任意两项",VLOOKUP(LW$2,职业列表!$B$1:$G$370,6,0))),"2",IF(ISNUMBER(SEARCH("任意三项",VLOOKUP(LW$2,职业列表!$B$1:$G$370,6,0))),"3",""))</f>
        <v>2</v>
      </c>
      <c r="LX7" s="1048" t="str">
        <f>IF(ISNUMBER(SEARCH("任意两项",VLOOKUP(LX$2,职业列表!$B$1:$G$370,6,0))),"2",IF(ISNUMBER(SEARCH("任意三项",VLOOKUP(LX$2,职业列表!$B$1:$G$370,6,0))),"3",""))</f>
        <v>2</v>
      </c>
      <c r="LY7" s="1048" t="str">
        <f>IF(ISNUMBER(SEARCH("任意两项",VLOOKUP(LY$2,职业列表!$B$1:$G$370,6,0))),"2",IF(ISNUMBER(SEARCH("任意三项",VLOOKUP(LY$2,职业列表!$B$1:$G$370,6,0))),"3",""))</f>
        <v>2</v>
      </c>
      <c r="LZ7" s="1048" t="str">
        <f>IF(ISNUMBER(SEARCH("任意两项",VLOOKUP(LZ$2,职业列表!$B$1:$G$370,6,0))),"2",IF(ISNUMBER(SEARCH("任意三项",VLOOKUP(LZ$2,职业列表!$B$1:$G$370,6,0))),"3",""))</f>
        <v>2</v>
      </c>
      <c r="MA7" s="1048" t="str">
        <f>IF(ISNUMBER(SEARCH("任意两项",VLOOKUP(MA$2,职业列表!$B$1:$G$370,6,0))),"2",IF(ISNUMBER(SEARCH("任意三项",VLOOKUP(MA$2,职业列表!$B$1:$G$370,6,0))),"3",""))</f>
        <v>2</v>
      </c>
      <c r="MB7" s="1048" t="str">
        <f>IF(ISNUMBER(SEARCH("任意两项",VLOOKUP(MB$2,职业列表!$B$1:$G$370,6,0))),"2",IF(ISNUMBER(SEARCH("任意三项",VLOOKUP(MB$2,职业列表!$B$1:$G$370,6,0))),"3",""))</f>
        <v>2</v>
      </c>
      <c r="MC7" s="1048" t="str">
        <f>IF(ISNUMBER(SEARCH("任意两项",VLOOKUP(MC$2,职业列表!$B$1:$G$370,6,0))),"2",IF(ISNUMBER(SEARCH("任意三项",VLOOKUP(MC$2,职业列表!$B$1:$G$370,6,0))),"3",""))</f>
        <v>2</v>
      </c>
      <c r="MD7" s="1048" t="str">
        <f>IF(ISNUMBER(SEARCH("任意两项",VLOOKUP(MD$2,职业列表!$B$1:$G$370,6,0))),"2",IF(ISNUMBER(SEARCH("任意三项",VLOOKUP(MD$2,职业列表!$B$1:$G$370,6,0))),"3",""))</f>
        <v>2</v>
      </c>
      <c r="ME7" s="1048" t="str">
        <f>IF(ISNUMBER(SEARCH("任意两项",VLOOKUP(ME$2,职业列表!$B$1:$G$370,6,0))),"2",IF(ISNUMBER(SEARCH("任意三项",VLOOKUP(ME$2,职业列表!$B$1:$G$370,6,0))),"3",""))</f>
        <v>2</v>
      </c>
      <c r="MF7" s="1048" t="str">
        <f>IF(ISNUMBER(SEARCH("任意两项",VLOOKUP(MF$2,职业列表!$B$1:$G$370,6,0))),"2",IF(ISNUMBER(SEARCH("任意三项",VLOOKUP(MF$2,职业列表!$B$1:$G$370,6,0))),"3",""))</f>
        <v>2</v>
      </c>
      <c r="MG7" s="1048" t="str">
        <f>IF(ISNUMBER(SEARCH("任意两项",VLOOKUP(MG$2,职业列表!$B$1:$G$370,6,0))),"2",IF(ISNUMBER(SEARCH("任意三项",VLOOKUP(MG$2,职业列表!$B$1:$G$370,6,0))),"3",""))</f>
        <v>2</v>
      </c>
      <c r="MH7" s="1048" t="str">
        <f>IF(ISNUMBER(SEARCH("任意两项",VLOOKUP(MH$2,职业列表!$B$1:$G$370,6,0))),"2",IF(ISNUMBER(SEARCH("任意三项",VLOOKUP(MH$2,职业列表!$B$1:$G$370,6,0))),"3",""))</f>
        <v>2</v>
      </c>
      <c r="MI7" s="1048" t="str">
        <f>IF(ISNUMBER(SEARCH("任意两项",VLOOKUP(MI$2,职业列表!$B$1:$G$370,6,0))),"2",IF(ISNUMBER(SEARCH("任意三项",VLOOKUP(MI$2,职业列表!$B$1:$G$370,6,0))),"3",""))</f>
        <v>2</v>
      </c>
      <c r="MJ7" s="1048" t="str">
        <f>IF(ISNUMBER(SEARCH("任意两项",VLOOKUP(MJ$2,职业列表!$B$1:$G$370,6,0))),"2",IF(ISNUMBER(SEARCH("任意三项",VLOOKUP(MJ$2,职业列表!$B$1:$G$370,6,0))),"3",""))</f>
        <v>2</v>
      </c>
      <c r="MK7" s="1048" t="str">
        <f>IF(ISNUMBER(SEARCH("任意两项",VLOOKUP(MK$2,职业列表!$B$1:$G$370,6,0))),"2",IF(ISNUMBER(SEARCH("任意三项",VLOOKUP(MK$2,职业列表!$B$1:$G$370,6,0))),"3",""))</f>
        <v>2</v>
      </c>
      <c r="ML7" s="1048" t="str">
        <f>IF(ISNUMBER(SEARCH("任意两项",VLOOKUP(ML$2,职业列表!$B$1:$G$370,6,0))),"2",IF(ISNUMBER(SEARCH("任意三项",VLOOKUP(ML$2,职业列表!$B$1:$G$370,6,0))),"3",""))</f>
        <v>2</v>
      </c>
      <c r="MM7" s="1048" t="str">
        <f>IF(ISNUMBER(SEARCH("任意两项",VLOOKUP(MM$2,职业列表!$B$1:$G$370,6,0))),"2",IF(ISNUMBER(SEARCH("任意三项",VLOOKUP(MM$2,职业列表!$B$1:$G$370,6,0))),"3",""))</f>
        <v>2</v>
      </c>
      <c r="MN7" s="1048" t="str">
        <f>IF(ISNUMBER(SEARCH("任意两项",VLOOKUP(MN$2,职业列表!$B$1:$G$370,6,0))),"2",IF(ISNUMBER(SEARCH("任意三项",VLOOKUP(MN$2,职业列表!$B$1:$G$370,6,0))),"3",""))</f>
        <v>2</v>
      </c>
      <c r="MO7" s="1048" t="str">
        <f>IF(ISNUMBER(SEARCH("任意两项",VLOOKUP(MO$2,职业列表!$B$1:$G$370,6,0))),"2",IF(ISNUMBER(SEARCH("任意三项",VLOOKUP(MO$2,职业列表!$B$1:$G$370,6,0))),"3",""))</f>
        <v>2</v>
      </c>
      <c r="MP7" s="1048" t="str">
        <f>IF(ISNUMBER(SEARCH("任意两项",VLOOKUP(MP$2,职业列表!$B$1:$G$370,6,0))),"2",IF(ISNUMBER(SEARCH("任意三项",VLOOKUP(MP$2,职业列表!$B$1:$G$370,6,0))),"3",""))</f>
        <v>2</v>
      </c>
      <c r="MQ7" s="1048" t="str">
        <f>IF(ISNUMBER(SEARCH("任意两项",VLOOKUP(MQ$2,职业列表!$B$1:$G$370,6,0))),"2",IF(ISNUMBER(SEARCH("任意三项",VLOOKUP(MQ$2,职业列表!$B$1:$G$370,6,0))),"3",""))</f>
        <v>2</v>
      </c>
      <c r="MR7" s="1048" t="str">
        <f>IF(ISNUMBER(SEARCH("任意两项",VLOOKUP(MR$2,职业列表!$B$1:$G$370,6,0))),"2",IF(ISNUMBER(SEARCH("任意三项",VLOOKUP(MR$2,职业列表!$B$1:$G$370,6,0))),"3",""))</f>
        <v>2</v>
      </c>
      <c r="MS7" s="1048" t="str">
        <f>IF(ISNUMBER(SEARCH("任意两项",VLOOKUP(MS$2,职业列表!$B$1:$G$370,6,0))),"2",IF(ISNUMBER(SEARCH("任意三项",VLOOKUP(MS$2,职业列表!$B$1:$G$370,6,0))),"3",""))</f>
        <v>2</v>
      </c>
      <c r="MT7" s="1048" t="str">
        <f>IF(ISNUMBER(SEARCH("任意两项",VLOOKUP(MT$2,职业列表!$B$1:$G$370,6,0))),"2",IF(ISNUMBER(SEARCH("任意三项",VLOOKUP(MT$2,职业列表!$B$1:$G$370,6,0))),"3",""))</f>
        <v>2</v>
      </c>
      <c r="MU7" s="1048" t="str">
        <f>IF(ISNUMBER(SEARCH("任意两项",VLOOKUP(MU$2,职业列表!$B$1:$G$370,6,0))),"2",IF(ISNUMBER(SEARCH("任意三项",VLOOKUP(MU$2,职业列表!$B$1:$G$370,6,0))),"3",""))</f>
        <v>2</v>
      </c>
      <c r="MV7" s="1048" t="str">
        <f>IF(ISNUMBER(SEARCH("任意两项",VLOOKUP(MV$2,职业列表!$B$1:$G$370,6,0))),"2",IF(ISNUMBER(SEARCH("任意三项",VLOOKUP(MV$2,职业列表!$B$1:$G$370,6,0))),"3",""))</f>
        <v>2</v>
      </c>
      <c r="MW7" s="1048" t="str">
        <f>IF(ISNUMBER(SEARCH("任意两项",VLOOKUP(MW$2,职业列表!$B$1:$G$370,6,0))),"2",IF(ISNUMBER(SEARCH("任意三项",VLOOKUP(MW$2,职业列表!$B$1:$G$370,6,0))),"3",""))</f>
        <v>2</v>
      </c>
      <c r="MX7" s="1048" t="str">
        <f>IF(ISNUMBER(SEARCH("任意两项",VLOOKUP(MX$2,职业列表!$B$1:$G$370,6,0))),"2",IF(ISNUMBER(SEARCH("任意三项",VLOOKUP(MX$2,职业列表!$B$1:$G$370,6,0))),"3",""))</f>
        <v>2</v>
      </c>
      <c r="MY7" s="1048" t="str">
        <f>IF(ISNUMBER(SEARCH("任意两项",VLOOKUP(MY$2,职业列表!$B$1:$G$370,6,0))),"2",IF(ISNUMBER(SEARCH("任意三项",VLOOKUP(MY$2,职业列表!$B$1:$G$370,6,0))),"3",""))</f>
        <v>2</v>
      </c>
      <c r="MZ7" s="1048" t="str">
        <f>IF(ISNUMBER(SEARCH("任意两项",VLOOKUP(MZ$2,职业列表!$B$1:$G$370,6,0))),"2",IF(ISNUMBER(SEARCH("任意三项",VLOOKUP(MZ$2,职业列表!$B$1:$G$370,6,0))),"3",""))</f>
        <v>2</v>
      </c>
      <c r="NA7" s="1048" t="str">
        <f>IF(ISNUMBER(SEARCH("任意两项",VLOOKUP(NA$2,职业列表!$B$1:$G$370,6,0))),"2",IF(ISNUMBER(SEARCH("任意三项",VLOOKUP(NA$2,职业列表!$B$1:$G$370,6,0))),"3",""))</f>
        <v>2</v>
      </c>
      <c r="NB7" s="1048" t="str">
        <f>IF(ISNUMBER(SEARCH("任意两项",VLOOKUP(NB$2,职业列表!$B$1:$G$370,6,0))),"2",IF(ISNUMBER(SEARCH("任意三项",VLOOKUP(NB$2,职业列表!$B$1:$G$370,6,0))),"3",""))</f>
        <v>3</v>
      </c>
      <c r="NC7" s="1048" t="str">
        <f>IF(ISNUMBER(SEARCH("任意两项",VLOOKUP(NC$2,职业列表!$B$1:$G$370,6,0))),"2",IF(ISNUMBER(SEARCH("任意三项",VLOOKUP(NC$2,职业列表!$B$1:$G$370,6,0))),"3",""))</f>
        <v>2</v>
      </c>
      <c r="ND7" s="1048" t="str">
        <f>IF(ISNUMBER(SEARCH("任意两项",VLOOKUP(ND$2,职业列表!$B$1:$G$370,6,0))),"2",IF(ISNUMBER(SEARCH("任意三项",VLOOKUP(ND$2,职业列表!$B$1:$G$370,6,0))),"3",""))</f>
        <v>2</v>
      </c>
      <c r="NE7" s="1048" t="str">
        <f>IF(ISNUMBER(SEARCH("任意两项",VLOOKUP(NE$2,职业列表!$B$1:$G$370,6,0))),"2",IF(ISNUMBER(SEARCH("任意三项",VLOOKUP(NE$2,职业列表!$B$1:$G$370,6,0))),"3",""))</f>
        <v>2</v>
      </c>
    </row>
    <row r="8" customFormat="1" spans="1:369">
      <c r="A8" s="932" t="s">
        <v>59</v>
      </c>
      <c r="B8" s="939" t="str">
        <f>IF(OR(A8="说服",A8="话术",A8="取悦",A8="恐吓"),"☯",IF(ISNUMBER(SEARCH(A8,VLOOKUP(IX$2,职业列表!$B$1:$G$370,6,0))),"★",""))</f>
        <v/>
      </c>
      <c r="C8" s="940" t="str">
        <f>IF(ISTEXT(IFERROR(VLOOKUP(本职技能!A8,职业列表!I3:J10,1,FALSE),0)),"★","")</f>
        <v/>
      </c>
      <c r="D8" s="939" t="s">
        <v>74</v>
      </c>
      <c r="E8" s="939"/>
      <c r="F8" s="939"/>
      <c r="G8" s="939"/>
      <c r="H8" s="939"/>
      <c r="I8" s="939"/>
      <c r="J8" s="939"/>
      <c r="K8" s="939"/>
      <c r="L8" s="939" t="s">
        <v>74</v>
      </c>
      <c r="M8" s="939"/>
      <c r="N8" s="939" t="s">
        <v>74</v>
      </c>
      <c r="O8" s="939"/>
      <c r="P8" s="939"/>
      <c r="Q8" s="939"/>
      <c r="R8" s="939"/>
      <c r="S8" s="939" t="s">
        <v>74</v>
      </c>
      <c r="T8" s="939"/>
      <c r="U8" s="939" t="s">
        <v>74</v>
      </c>
      <c r="V8" s="939"/>
      <c r="W8" s="939"/>
      <c r="X8" s="939" t="s">
        <v>2716</v>
      </c>
      <c r="Y8" s="939" t="s">
        <v>74</v>
      </c>
      <c r="Z8" s="939"/>
      <c r="AA8" s="939"/>
      <c r="AB8" s="939"/>
      <c r="AC8" s="939" t="s">
        <v>74</v>
      </c>
      <c r="AD8" s="939"/>
      <c r="AE8" s="939"/>
      <c r="AF8" s="939"/>
      <c r="AG8" s="939"/>
      <c r="AH8" s="939"/>
      <c r="AI8" s="939"/>
      <c r="AJ8" s="939"/>
      <c r="AK8" s="939" t="s">
        <v>74</v>
      </c>
      <c r="AL8" s="939" t="s">
        <v>74</v>
      </c>
      <c r="AM8" s="939"/>
      <c r="AN8" s="939"/>
      <c r="AO8" s="939" t="s">
        <v>74</v>
      </c>
      <c r="AP8" s="939"/>
      <c r="AQ8" s="939" t="s">
        <v>74</v>
      </c>
      <c r="AR8" s="939"/>
      <c r="AS8" s="939"/>
      <c r="AT8" s="939"/>
      <c r="AU8" s="939"/>
      <c r="AV8" s="939"/>
      <c r="AW8" s="939" t="s">
        <v>74</v>
      </c>
      <c r="AX8" s="939" t="s">
        <v>74</v>
      </c>
      <c r="AY8" s="939" t="s">
        <v>74</v>
      </c>
      <c r="AZ8" s="939"/>
      <c r="BA8" s="939"/>
      <c r="BB8" s="939"/>
      <c r="BC8" s="939"/>
      <c r="BD8" s="939"/>
      <c r="BE8" s="939"/>
      <c r="BF8" s="939"/>
      <c r="BG8" s="939"/>
      <c r="BH8" s="939"/>
      <c r="BI8" s="939" t="s">
        <v>74</v>
      </c>
      <c r="BJ8" s="939"/>
      <c r="BK8" s="939"/>
      <c r="BL8" s="939"/>
      <c r="BM8" s="939"/>
      <c r="BN8" s="939"/>
      <c r="BO8" s="939"/>
      <c r="BP8" s="939"/>
      <c r="BQ8" s="939"/>
      <c r="BR8" s="939"/>
      <c r="BS8" s="939"/>
      <c r="BT8" s="939"/>
      <c r="BU8" s="939"/>
      <c r="BV8" s="939" t="s">
        <v>74</v>
      </c>
      <c r="BW8" s="939" t="s">
        <v>74</v>
      </c>
      <c r="BX8" s="939"/>
      <c r="BY8" s="939" t="s">
        <v>74</v>
      </c>
      <c r="BZ8" s="939"/>
      <c r="CA8" s="939"/>
      <c r="CB8" s="939" t="s">
        <v>74</v>
      </c>
      <c r="CC8" s="939"/>
      <c r="CD8" s="939"/>
      <c r="CE8" s="939"/>
      <c r="CF8" s="939"/>
      <c r="CG8" s="939"/>
      <c r="CH8" s="939" t="s">
        <v>74</v>
      </c>
      <c r="CI8" s="939"/>
      <c r="CJ8" s="939"/>
      <c r="CK8" s="939"/>
      <c r="CL8" s="939" t="s">
        <v>74</v>
      </c>
      <c r="CM8" s="939"/>
      <c r="CN8" s="939"/>
      <c r="CO8" s="939"/>
      <c r="CP8" s="939"/>
      <c r="CQ8" s="939"/>
      <c r="CR8" s="939"/>
      <c r="CS8" s="939"/>
      <c r="CT8" s="939" t="s">
        <v>74</v>
      </c>
      <c r="CU8" s="939"/>
      <c r="CV8" s="939"/>
      <c r="CW8" s="939"/>
      <c r="CX8" s="939" t="s">
        <v>74</v>
      </c>
      <c r="CY8" s="939"/>
      <c r="CZ8" s="939" t="s">
        <v>74</v>
      </c>
      <c r="DA8" s="939" t="s">
        <v>74</v>
      </c>
      <c r="DB8" s="939"/>
      <c r="DC8" s="939"/>
      <c r="DD8" s="939"/>
      <c r="DE8" s="939"/>
      <c r="DF8" s="939"/>
      <c r="DG8" s="939" t="s">
        <v>74</v>
      </c>
      <c r="DH8" s="939" t="s">
        <v>74</v>
      </c>
      <c r="DI8" s="939" t="s">
        <v>74</v>
      </c>
      <c r="DJ8" s="939" t="s">
        <v>74</v>
      </c>
      <c r="DK8" s="939" t="s">
        <v>74</v>
      </c>
      <c r="DL8" s="939"/>
      <c r="DM8" s="939" t="s">
        <v>74</v>
      </c>
      <c r="DN8" s="939"/>
      <c r="DO8" s="939"/>
      <c r="DP8" s="939"/>
      <c r="DQ8" s="939"/>
      <c r="DR8" s="939"/>
      <c r="DS8" s="939"/>
      <c r="DT8" s="939" t="s">
        <v>74</v>
      </c>
      <c r="DU8" s="939" t="s">
        <v>74</v>
      </c>
      <c r="DV8" s="939" t="s">
        <v>74</v>
      </c>
      <c r="DW8" s="939"/>
      <c r="DX8" s="939"/>
      <c r="DY8" s="939"/>
      <c r="DZ8" s="939"/>
      <c r="EA8" s="939" t="s">
        <v>74</v>
      </c>
      <c r="EB8" s="939" t="s">
        <v>74</v>
      </c>
      <c r="EC8" s="939"/>
      <c r="ED8" s="939" t="s">
        <v>74</v>
      </c>
      <c r="EE8" s="939" t="s">
        <v>74</v>
      </c>
      <c r="EF8" s="939"/>
      <c r="EG8" s="939"/>
      <c r="EH8" s="939"/>
      <c r="EI8" s="939" t="s">
        <v>74</v>
      </c>
      <c r="EJ8" s="939" t="s">
        <v>74</v>
      </c>
      <c r="EK8" s="939"/>
      <c r="EL8" s="939"/>
      <c r="EM8" s="939" t="s">
        <v>74</v>
      </c>
      <c r="EN8" s="939"/>
      <c r="EO8" s="939" t="s">
        <v>74</v>
      </c>
      <c r="EP8" s="939"/>
      <c r="EQ8" s="939"/>
      <c r="ER8" s="939" t="s">
        <v>74</v>
      </c>
      <c r="ES8" s="939" t="s">
        <v>74</v>
      </c>
      <c r="ET8" s="939" t="s">
        <v>74</v>
      </c>
      <c r="EU8" s="939"/>
      <c r="EV8" s="939" t="s">
        <v>74</v>
      </c>
      <c r="EW8" s="939" t="s">
        <v>74</v>
      </c>
      <c r="EX8" s="939"/>
      <c r="EY8" s="939" t="s">
        <v>74</v>
      </c>
      <c r="EZ8" s="939"/>
      <c r="FA8" s="939"/>
      <c r="FB8" s="939"/>
      <c r="FC8" s="939"/>
      <c r="FD8" s="939"/>
      <c r="FE8" s="939"/>
      <c r="FF8" s="939"/>
      <c r="FG8" s="939"/>
      <c r="FH8" s="939"/>
      <c r="FI8" s="939"/>
      <c r="FJ8" s="939"/>
      <c r="FK8" s="939"/>
      <c r="FL8" s="939"/>
      <c r="FM8" s="939"/>
      <c r="FN8" s="939"/>
      <c r="FO8" s="939"/>
      <c r="FP8" s="939"/>
      <c r="FQ8" s="939"/>
      <c r="FR8" s="939"/>
      <c r="FS8" s="939" t="s">
        <v>74</v>
      </c>
      <c r="FT8" s="939"/>
      <c r="FU8" s="939"/>
      <c r="FV8" s="939" t="s">
        <v>74</v>
      </c>
      <c r="FW8" s="939"/>
      <c r="FX8" s="939"/>
      <c r="FY8" s="939"/>
      <c r="FZ8" s="939" t="s">
        <v>74</v>
      </c>
      <c r="GA8" s="939"/>
      <c r="GB8" s="939"/>
      <c r="GC8" s="939"/>
      <c r="GD8" s="939"/>
      <c r="GE8" s="939"/>
      <c r="GF8" s="939"/>
      <c r="GG8" s="939"/>
      <c r="GH8" s="939"/>
      <c r="GI8" s="939"/>
      <c r="GJ8" s="939"/>
      <c r="GK8" s="939"/>
      <c r="GL8" s="939"/>
      <c r="GM8" s="939"/>
      <c r="GN8" s="939"/>
      <c r="GO8" s="939"/>
      <c r="GP8" s="939"/>
      <c r="GQ8" s="939"/>
      <c r="GR8" s="939"/>
      <c r="GS8" s="939"/>
      <c r="GT8" s="939"/>
      <c r="GU8" s="939"/>
      <c r="GV8" s="939"/>
      <c r="GW8" s="939"/>
      <c r="GX8" s="939"/>
      <c r="GY8" s="939"/>
      <c r="GZ8" s="940" t="s">
        <v>74</v>
      </c>
      <c r="HA8" s="939"/>
      <c r="HB8" s="939"/>
      <c r="HC8" s="939"/>
      <c r="HD8" s="939"/>
      <c r="HE8" s="939"/>
      <c r="HF8" s="939"/>
      <c r="HG8" s="940" t="s">
        <v>74</v>
      </c>
      <c r="HH8" s="939"/>
      <c r="HI8" s="939"/>
      <c r="HJ8" s="939"/>
      <c r="HK8" s="939"/>
      <c r="HL8" s="939"/>
      <c r="HM8" s="940" t="s">
        <v>74</v>
      </c>
      <c r="HN8" s="939"/>
      <c r="HO8" s="939"/>
      <c r="HP8" s="939" t="s">
        <v>74</v>
      </c>
      <c r="HQ8" s="939"/>
      <c r="HR8" s="939"/>
      <c r="HS8" s="939"/>
      <c r="HT8" s="939"/>
      <c r="HU8" s="939" t="s">
        <v>2719</v>
      </c>
      <c r="HV8" s="939" t="s">
        <v>74</v>
      </c>
      <c r="HW8" s="939"/>
      <c r="HX8" s="990"/>
      <c r="HY8" s="1012"/>
      <c r="HZ8" s="1012"/>
      <c r="IA8" s="1012"/>
      <c r="IB8" s="1012"/>
      <c r="IC8" s="1013"/>
      <c r="ID8" s="1013"/>
      <c r="IE8" s="1012"/>
      <c r="IF8" s="1012"/>
      <c r="IG8" s="939" t="s">
        <v>74</v>
      </c>
      <c r="IH8" s="1012"/>
      <c r="II8" s="939" t="s">
        <v>74</v>
      </c>
      <c r="IJ8" s="939" t="s">
        <v>74</v>
      </c>
      <c r="IK8" s="1012"/>
      <c r="IL8" s="1012"/>
      <c r="IM8" s="1012"/>
      <c r="IN8" s="1012"/>
      <c r="IO8" s="1012"/>
      <c r="IP8" s="1013"/>
      <c r="IQ8" s="1013"/>
      <c r="IR8" s="1012"/>
      <c r="IS8" s="1012"/>
      <c r="IT8" s="1012"/>
      <c r="IU8" s="972" t="s">
        <v>74</v>
      </c>
      <c r="IV8" s="1012"/>
      <c r="IW8" s="929"/>
      <c r="IX8" s="929" t="str">
        <f>IF(ISNUMBER(SEARCH($A8,VLOOKUP(IX$2,职业列表!$B$1:$G$370,6,0))),"★","")</f>
        <v/>
      </c>
      <c r="IY8" s="929" t="str">
        <f>IF(ISNUMBER(SEARCH($A8,VLOOKUP(IY$2,职业列表!$B$1:$G$370,6,0))),"★","")</f>
        <v/>
      </c>
      <c r="IZ8" s="929" t="str">
        <f>IF(ISNUMBER(SEARCH($A8,VLOOKUP(IZ$2,职业列表!$B$1:$G$370,6,0))),"★","")</f>
        <v/>
      </c>
      <c r="JA8" s="929" t="str">
        <f>IF(ISNUMBER(SEARCH($A8,VLOOKUP(JA$2,职业列表!$B$1:$G$370,6,0))),"★","")</f>
        <v/>
      </c>
      <c r="JB8" s="929" t="str">
        <f>IF(ISNUMBER(SEARCH($A8,VLOOKUP(JB$2,职业列表!$B$1:$G$370,6,0))),"★","")</f>
        <v/>
      </c>
      <c r="JC8" s="929" t="str">
        <f>IF(ISNUMBER(SEARCH($A8,VLOOKUP(JC$2,职业列表!$B$1:$G$370,6,0))),"★","")</f>
        <v/>
      </c>
      <c r="JD8" s="929" t="str">
        <f>IF(ISNUMBER(SEARCH($A8,VLOOKUP(JD$2,职业列表!$B$1:$G$370,6,0))),"★","")</f>
        <v>★</v>
      </c>
      <c r="JE8" s="929" t="str">
        <f>IF(ISNUMBER(SEARCH($A8,VLOOKUP(JE$2,职业列表!$B$1:$G$370,6,0))),"★","")</f>
        <v/>
      </c>
      <c r="JF8" s="929" t="str">
        <f>IF(ISNUMBER(SEARCH($A8,VLOOKUP(JF$2,职业列表!$B$1:$G$370,6,0))),"★","")</f>
        <v/>
      </c>
      <c r="JG8" s="929" t="str">
        <f>IF(ISNUMBER(SEARCH($A8,VLOOKUP(JG$2,职业列表!$B$1:$G$370,6,0))),"★","")</f>
        <v/>
      </c>
      <c r="JH8" s="929" t="str">
        <f>IF(ISNUMBER(SEARCH($A8,VLOOKUP(JH$2,职业列表!$B$1:$G$370,6,0))),"★","")</f>
        <v/>
      </c>
      <c r="JI8" s="929" t="str">
        <f>IF(ISNUMBER(SEARCH($A8,VLOOKUP(JI$2,职业列表!$B$1:$G$370,6,0))),"★","")</f>
        <v/>
      </c>
      <c r="JJ8" s="929" t="str">
        <f>IF(ISNUMBER(SEARCH($A8,VLOOKUP(JJ$2,职业列表!$B$1:$G$370,6,0))),"★","")</f>
        <v/>
      </c>
      <c r="JK8" s="929" t="str">
        <f>IF(ISNUMBER(SEARCH($A8,VLOOKUP(JK$2,职业列表!$B$1:$G$370,6,0))),"★","")</f>
        <v/>
      </c>
      <c r="JL8" s="929" t="str">
        <f>IF(ISNUMBER(SEARCH($A8,VLOOKUP(JL$2,职业列表!$B$1:$G$370,6,0))),"★","")</f>
        <v/>
      </c>
      <c r="JM8" s="929" t="str">
        <f>IF(ISNUMBER(SEARCH($A8,VLOOKUP(JM$2,职业列表!$B$1:$G$370,6,0))),"★","")</f>
        <v/>
      </c>
      <c r="JN8" s="929" t="str">
        <f>IF(ISNUMBER(SEARCH($A8,VLOOKUP(JN$2,职业列表!$B$1:$G$370,6,0))),"★","")</f>
        <v/>
      </c>
      <c r="JO8" s="929" t="str">
        <f>IF(ISNUMBER(SEARCH($A8,VLOOKUP(JO$2,职业列表!$B$1:$G$370,6,0))),"★","")</f>
        <v/>
      </c>
      <c r="JP8" s="929" t="str">
        <f>IF(ISNUMBER(SEARCH($A8,VLOOKUP(JP$2,职业列表!$B$1:$G$370,6,0))),"★","")</f>
        <v/>
      </c>
      <c r="JQ8" s="929" t="str">
        <f>IF(ISNUMBER(SEARCH($A8,VLOOKUP(JQ$2,职业列表!$B$1:$G$370,6,0))),"★","")</f>
        <v/>
      </c>
      <c r="JR8" s="929" t="str">
        <f>IF(ISNUMBER(SEARCH($A8,VLOOKUP(JR$2,职业列表!$B$1:$G$370,6,0))),"★","")</f>
        <v/>
      </c>
      <c r="JS8" s="929" t="str">
        <f>IF(ISNUMBER(SEARCH($A8,VLOOKUP(JS$2,职业列表!$B$1:$G$370,6,0))),"★","")</f>
        <v/>
      </c>
      <c r="JT8" s="929" t="str">
        <f>IF(ISNUMBER(SEARCH($A8,VLOOKUP(JT$2,职业列表!$B$1:$G$370,6,0))),"★","")</f>
        <v/>
      </c>
      <c r="JU8" s="929" t="str">
        <f>IF(ISNUMBER(SEARCH($A8,VLOOKUP(JU$2,职业列表!$B$1:$G$370,6,0))),"★","")</f>
        <v/>
      </c>
      <c r="JV8" s="929" t="str">
        <f>IF(ISNUMBER(SEARCH($A8,VLOOKUP(JV$2,职业列表!$B$1:$G$370,6,0))),"★","")</f>
        <v/>
      </c>
      <c r="JW8" s="929" t="str">
        <f>IF(ISNUMBER(SEARCH($A8,VLOOKUP(JW$2,职业列表!$B$1:$G$370,6,0))),"★","")</f>
        <v/>
      </c>
      <c r="JX8" s="929" t="str">
        <f>IF(ISNUMBER(SEARCH($A8,VLOOKUP(JX$2,职业列表!$B$1:$G$370,6,0))),"★","")</f>
        <v/>
      </c>
      <c r="JY8" s="929" t="str">
        <f>IF(ISNUMBER(SEARCH($A8,VLOOKUP(JY$2,职业列表!$B$1:$G$370,6,0))),"★","")</f>
        <v/>
      </c>
      <c r="JZ8" s="929" t="str">
        <f>IF(ISNUMBER(SEARCH($A8,VLOOKUP(JZ$2,职业列表!$B$1:$G$370,6,0))),"★","")</f>
        <v/>
      </c>
      <c r="KA8" s="929" t="str">
        <f>IF(ISNUMBER(SEARCH($A8,VLOOKUP(KA$2,职业列表!$B$1:$G$370,6,0))),"★","")</f>
        <v/>
      </c>
      <c r="KB8" s="929" t="str">
        <f>IF(ISNUMBER(SEARCH($A8,VLOOKUP(KB$2,职业列表!$B$1:$G$370,6,0))),"★","")</f>
        <v/>
      </c>
      <c r="KC8" s="929" t="str">
        <f>IF(ISNUMBER(SEARCH($A8,VLOOKUP(KC$2,职业列表!$B$1:$G$370,6,0))),"★","")</f>
        <v/>
      </c>
      <c r="KD8" s="929" t="str">
        <f>IF(ISNUMBER(SEARCH($A8,VLOOKUP(KD$2,职业列表!$B$1:$G$370,6,0))),"★","")</f>
        <v/>
      </c>
      <c r="KE8" s="929" t="str">
        <f>IF(ISNUMBER(SEARCH($A8,VLOOKUP(KE$2,职业列表!$B$1:$G$370,6,0))),"★","")</f>
        <v/>
      </c>
      <c r="KF8" s="929" t="str">
        <f>IF(ISNUMBER(SEARCH($A8,VLOOKUP(KF$2,职业列表!$B$1:$G$370,6,0))),"★","")</f>
        <v/>
      </c>
      <c r="KG8" s="929" t="str">
        <f>IF(ISNUMBER(SEARCH($A8,VLOOKUP(KG$2,职业列表!$B$1:$G$370,6,0))),"★","")</f>
        <v/>
      </c>
      <c r="KH8" s="929" t="str">
        <f>IF(ISNUMBER(SEARCH($A8,VLOOKUP(KH$2,职业列表!$B$1:$G$370,6,0))),"★","")</f>
        <v/>
      </c>
      <c r="KI8" s="929" t="str">
        <f>IF(ISNUMBER(SEARCH($A8,VLOOKUP(KI$2,职业列表!$B$1:$G$370,6,0))),"★","")</f>
        <v/>
      </c>
      <c r="KJ8" s="929" t="str">
        <f>IF(ISNUMBER(SEARCH($A8,VLOOKUP(KJ$2,职业列表!$B$1:$G$370,6,0))),"★","")</f>
        <v/>
      </c>
      <c r="KK8" s="929" t="str">
        <f>IF(ISNUMBER(SEARCH($A8,VLOOKUP(KK$2,职业列表!$B$1:$G$370,6,0))),"★","")</f>
        <v/>
      </c>
      <c r="KL8" s="929" t="str">
        <f>IF(ISNUMBER(SEARCH($A8,VLOOKUP(KL$2,职业列表!$B$1:$G$370,6,0))),"★","")</f>
        <v/>
      </c>
      <c r="KM8" s="929" t="str">
        <f>IF(ISNUMBER(SEARCH($A8,VLOOKUP(KM$2,职业列表!$B$1:$G$370,6,0))),"★","")</f>
        <v/>
      </c>
      <c r="KN8" s="929" t="str">
        <f>IF(ISNUMBER(SEARCH($A8,VLOOKUP(KN$2,职业列表!$B$1:$G$370,6,0))),"★","")</f>
        <v/>
      </c>
      <c r="KO8" s="929" t="str">
        <f>IF(ISNUMBER(SEARCH($A8,VLOOKUP(KO$2,职业列表!$B$1:$G$370,6,0))),"★","")</f>
        <v/>
      </c>
      <c r="KP8" s="929" t="str">
        <f>IF(ISNUMBER(SEARCH($A8,VLOOKUP(KP$2,职业列表!$B$1:$G$370,6,0))),"★","")</f>
        <v/>
      </c>
      <c r="KQ8" s="929" t="str">
        <f>IF(ISNUMBER(SEARCH($A8,VLOOKUP(KQ$2,职业列表!$B$1:$G$370,6,0))),"★","")</f>
        <v/>
      </c>
      <c r="KR8" s="929" t="str">
        <f>IF(ISNUMBER(SEARCH($A8,VLOOKUP(KR$2,职业列表!$B$1:$G$370,6,0))),"★","")</f>
        <v>★</v>
      </c>
      <c r="KS8" s="929" t="str">
        <f>IF(ISNUMBER(SEARCH($A8,VLOOKUP(KS$2,职业列表!$B$1:$G$370,6,0))),"★","")</f>
        <v/>
      </c>
      <c r="KT8" s="929" t="str">
        <f>IF(ISNUMBER(SEARCH($A8,VLOOKUP(KT$2,职业列表!$B$1:$G$370,6,0))),"★","")</f>
        <v>★</v>
      </c>
      <c r="KU8" s="929" t="str">
        <f>IF(ISNUMBER(SEARCH($A8,VLOOKUP(KU$2,职业列表!$B$1:$G$370,6,0))),"★","")</f>
        <v/>
      </c>
      <c r="KV8" s="929" t="str">
        <f>IF(ISNUMBER(SEARCH($A8,VLOOKUP(KV$2,职业列表!$B$1:$G$370,6,0))),"★","")</f>
        <v/>
      </c>
      <c r="KW8" s="929" t="str">
        <f>IF(ISNUMBER(SEARCH($A8,VLOOKUP(KW$2,职业列表!$B$1:$G$370,6,0))),"★","")</f>
        <v/>
      </c>
      <c r="KX8" s="929" t="str">
        <f>IF(ISNUMBER(SEARCH($A8,VLOOKUP(KX$2,职业列表!$B$1:$G$370,6,0))),"★","")</f>
        <v/>
      </c>
      <c r="KY8" s="929" t="str">
        <f>IF(ISNUMBER(SEARCH($A8,VLOOKUP(KY$2,职业列表!$B$1:$G$370,6,0))),"★","")</f>
        <v/>
      </c>
      <c r="KZ8" s="929" t="str">
        <f>IF(ISNUMBER(SEARCH($A8,VLOOKUP(KZ$2,职业列表!$B$1:$G$370,6,0))),"★","")</f>
        <v/>
      </c>
      <c r="LA8" s="929" t="str">
        <f>IF(ISNUMBER(SEARCH($A8,VLOOKUP(LA$2,职业列表!$B$1:$G$370,6,0))),"★","")</f>
        <v>★</v>
      </c>
      <c r="LB8" s="929" t="str">
        <f>IF(ISNUMBER(SEARCH($A8,VLOOKUP(LB$2,职业列表!$B$1:$G$370,6,0))),"★","")</f>
        <v/>
      </c>
      <c r="LC8" s="929" t="str">
        <f>IF(ISNUMBER(SEARCH($A8,VLOOKUP(LC$2,职业列表!$B$1:$G$370,6,0))),"★","")</f>
        <v/>
      </c>
      <c r="LD8" s="929" t="str">
        <f>IF(ISNUMBER(SEARCH($A8,VLOOKUP(LD$2,职业列表!$B$1:$G$370,6,0))),"★","")</f>
        <v/>
      </c>
      <c r="LE8" s="929" t="str">
        <f>IF(ISNUMBER(SEARCH($A8,VLOOKUP(LE$2,职业列表!$B$1:$G$370,6,0))),"★","")</f>
        <v/>
      </c>
      <c r="LF8" s="929" t="str">
        <f>IF(ISNUMBER(SEARCH($A8,VLOOKUP(LF$2,职业列表!$B$1:$G$370,6,0))),"★","")</f>
        <v/>
      </c>
      <c r="LG8" s="929" t="str">
        <f>IF(ISNUMBER(SEARCH($A8,VLOOKUP(LG$2,职业列表!$B$1:$G$370,6,0))),"★","")</f>
        <v/>
      </c>
      <c r="LH8" s="929" t="str">
        <f>IF(ISNUMBER(SEARCH($A8,VLOOKUP(LH$2,职业列表!$B$1:$G$370,6,0))),"★","")</f>
        <v/>
      </c>
      <c r="LI8" s="929" t="str">
        <f>IF(ISNUMBER(SEARCH($A8,VLOOKUP(LI$2,职业列表!$B$1:$G$370,6,0))),"★","")</f>
        <v/>
      </c>
      <c r="LJ8" s="929" t="str">
        <f>IF(ISNUMBER(SEARCH($A8,VLOOKUP(LJ$2,职业列表!$B$1:$G$370,6,0))),"★","")</f>
        <v/>
      </c>
      <c r="LK8" s="929" t="str">
        <f>IF(ISNUMBER(SEARCH($A8,VLOOKUP(LK$2,职业列表!$B$1:$G$370,6,0))),"★","")</f>
        <v/>
      </c>
      <c r="LL8" s="929" t="str">
        <f>IF(ISNUMBER(SEARCH($A8,VLOOKUP(LL$2,职业列表!$B$1:$G$370,6,0))),"★","")</f>
        <v/>
      </c>
      <c r="LM8" s="929" t="str">
        <f>IF(ISNUMBER(SEARCH($A8,VLOOKUP(LM$2,职业列表!$B$1:$G$370,6,0))),"★","")</f>
        <v/>
      </c>
      <c r="LN8" s="929" t="str">
        <f>IF(ISNUMBER(SEARCH($A8,VLOOKUP(LN$2,职业列表!$B$1:$G$370,6,0))),"★","")</f>
        <v/>
      </c>
      <c r="LO8" s="929" t="str">
        <f>IF(ISNUMBER(SEARCH($A8,VLOOKUP(LO$2,职业列表!$B$1:$G$370,6,0))),"★","")</f>
        <v/>
      </c>
      <c r="LP8" s="929" t="str">
        <f>IF(ISNUMBER(SEARCH($A8,VLOOKUP(LP$2,职业列表!$B$1:$G$370,6,0))),"★","")</f>
        <v/>
      </c>
      <c r="LQ8" s="929" t="str">
        <f>IF(ISNUMBER(SEARCH($A8,VLOOKUP(LQ$2,职业列表!$B$1:$G$370,6,0))),"★","")</f>
        <v/>
      </c>
      <c r="LR8" s="929" t="str">
        <f>IF(ISNUMBER(SEARCH($A8,VLOOKUP(LR$2,职业列表!$B$1:$G$370,6,0))),"★","")</f>
        <v/>
      </c>
      <c r="LS8" s="929" t="str">
        <f>IF(ISNUMBER(SEARCH($A8,VLOOKUP(LS$2,职业列表!$B$1:$G$370,6,0))),"★","")</f>
        <v/>
      </c>
      <c r="LT8" s="929" t="str">
        <f>IF(ISNUMBER(SEARCH($A8,VLOOKUP(LT$2,职业列表!$B$1:$G$370,6,0))),"★","")</f>
        <v/>
      </c>
      <c r="LU8" s="929" t="str">
        <f>IF(ISNUMBER(SEARCH($A8,VLOOKUP(LU$2,职业列表!$B$1:$G$370,6,0))),"★","")</f>
        <v/>
      </c>
      <c r="LV8" s="929" t="str">
        <f>IF(ISNUMBER(SEARCH($A8,VLOOKUP(LV$2,职业列表!$B$1:$G$370,6,0))),"★","")</f>
        <v/>
      </c>
      <c r="LW8" s="929" t="str">
        <f>IF(ISNUMBER(SEARCH($A8,VLOOKUP(LW$2,职业列表!$B$1:$G$370,6,0))),"★","")</f>
        <v>★</v>
      </c>
      <c r="LX8" s="929" t="str">
        <f>IF(ISNUMBER(SEARCH($A8,VLOOKUP(LX$2,职业列表!$B$1:$G$370,6,0))),"★","")</f>
        <v>★</v>
      </c>
      <c r="LY8" s="929" t="str">
        <f>IF(ISNUMBER(SEARCH($A8,VLOOKUP(LY$2,职业列表!$B$1:$G$370,6,0))),"★","")</f>
        <v/>
      </c>
      <c r="LZ8" s="929" t="str">
        <f>IF(ISNUMBER(SEARCH($A8,VLOOKUP(LZ$2,职业列表!$B$1:$G$370,6,0))),"★","")</f>
        <v>★</v>
      </c>
      <c r="MA8" s="929" t="str">
        <f>IF(ISNUMBER(SEARCH($A8,VLOOKUP(MA$2,职业列表!$B$1:$G$370,6,0))),"★","")</f>
        <v>★</v>
      </c>
      <c r="MB8" s="929" t="str">
        <f>IF(ISNUMBER(SEARCH($A8,VLOOKUP(MB$2,职业列表!$B$1:$G$370,6,0))),"★","")</f>
        <v/>
      </c>
      <c r="MC8" s="929" t="str">
        <f>IF(ISNUMBER(SEARCH($A8,VLOOKUP(MC$2,职业列表!$B$1:$G$370,6,0))),"★","")</f>
        <v/>
      </c>
      <c r="MD8" s="929" t="str">
        <f>IF(ISNUMBER(SEARCH($A8,VLOOKUP(MD$2,职业列表!$B$1:$G$370,6,0))),"★","")</f>
        <v>★</v>
      </c>
      <c r="ME8" s="929" t="str">
        <f>IF(ISNUMBER(SEARCH($A8,VLOOKUP(ME$2,职业列表!$B$1:$G$370,6,0))),"★","")</f>
        <v/>
      </c>
      <c r="MF8" s="929" t="str">
        <f>IF(ISNUMBER(SEARCH($A8,VLOOKUP(MF$2,职业列表!$B$1:$G$370,6,0))),"★","")</f>
        <v/>
      </c>
      <c r="MG8" s="929" t="str">
        <f>IF(ISNUMBER(SEARCH($A8,VLOOKUP(MG$2,职业列表!$B$1:$G$370,6,0))),"★","")</f>
        <v/>
      </c>
      <c r="MH8" s="929" t="str">
        <f>IF(ISNUMBER(SEARCH($A8,VLOOKUP(MH$2,职业列表!$B$1:$G$370,6,0))),"★","")</f>
        <v/>
      </c>
      <c r="MI8" s="929" t="str">
        <f>IF(ISNUMBER(SEARCH($A8,VLOOKUP(MI$2,职业列表!$B$1:$G$370,6,0))),"★","")</f>
        <v/>
      </c>
      <c r="MJ8" s="929" t="str">
        <f>IF(ISNUMBER(SEARCH($A8,VLOOKUP(MJ$2,职业列表!$B$1:$G$370,6,0))),"★","")</f>
        <v/>
      </c>
      <c r="MK8" s="929" t="str">
        <f>IF(ISNUMBER(SEARCH($A8,VLOOKUP(MK$2,职业列表!$B$1:$G$370,6,0))),"★","")</f>
        <v/>
      </c>
      <c r="ML8" s="929" t="str">
        <f>IF(ISNUMBER(SEARCH($A8,VLOOKUP(ML$2,职业列表!$B$1:$G$370,6,0))),"★","")</f>
        <v>★</v>
      </c>
      <c r="MM8" s="929" t="str">
        <f>IF(ISNUMBER(SEARCH($A8,VLOOKUP(MM$2,职业列表!$B$1:$G$370,6,0))),"★","")</f>
        <v/>
      </c>
      <c r="MN8" s="929" t="str">
        <f>IF(ISNUMBER(SEARCH($A8,VLOOKUP(MN$2,职业列表!$B$1:$G$370,6,0))),"★","")</f>
        <v>★</v>
      </c>
      <c r="MO8" s="929" t="str">
        <f>IF(ISNUMBER(SEARCH($A8,VLOOKUP(MO$2,职业列表!$B$1:$G$370,6,0))),"★","")</f>
        <v/>
      </c>
      <c r="MP8" s="929" t="str">
        <f>IF(ISNUMBER(SEARCH($A8,VLOOKUP(MP$2,职业列表!$B$1:$G$370,6,0))),"★","")</f>
        <v/>
      </c>
      <c r="MQ8" s="929" t="str">
        <f>IF(ISNUMBER(SEARCH($A8,VLOOKUP(MQ$2,职业列表!$B$1:$G$370,6,0))),"★","")</f>
        <v/>
      </c>
      <c r="MR8" s="929" t="str">
        <f>IF(ISNUMBER(SEARCH($A8,VLOOKUP(MR$2,职业列表!$B$1:$G$370,6,0))),"★","")</f>
        <v/>
      </c>
      <c r="MS8" s="929" t="str">
        <f>IF(ISNUMBER(SEARCH($A8,VLOOKUP(MS$2,职业列表!$B$1:$G$370,6,0))),"★","")</f>
        <v/>
      </c>
      <c r="MT8" s="929" t="str">
        <f>IF(ISNUMBER(SEARCH($A8,VLOOKUP(MT$2,职业列表!$B$1:$G$370,6,0))),"★","")</f>
        <v>★</v>
      </c>
      <c r="MU8" s="929" t="str">
        <f>IF(ISNUMBER(SEARCH($A8,VLOOKUP(MU$2,职业列表!$B$1:$G$370,6,0))),"★","")</f>
        <v/>
      </c>
      <c r="MV8" s="929" t="str">
        <f>IF(ISNUMBER(SEARCH($A8,VLOOKUP(MV$2,职业列表!$B$1:$G$370,6,0))),"★","")</f>
        <v>★</v>
      </c>
      <c r="MW8" s="929" t="str">
        <f>IF(ISNUMBER(SEARCH($A8,VLOOKUP(MW$2,职业列表!$B$1:$G$370,6,0))),"★","")</f>
        <v/>
      </c>
      <c r="MX8" s="929" t="str">
        <f>IF(ISNUMBER(SEARCH($A8,VLOOKUP(MX$2,职业列表!$B$1:$G$370,6,0))),"★","")</f>
        <v/>
      </c>
      <c r="MY8" s="929" t="str">
        <f>IF(ISNUMBER(SEARCH($A8,VLOOKUP(MY$2,职业列表!$B$1:$G$370,6,0))),"★","")</f>
        <v>★</v>
      </c>
      <c r="MZ8" s="929" t="str">
        <f>IF(ISNUMBER(SEARCH($A8,VLOOKUP(MZ$2,职业列表!$B$1:$G$370,6,0))),"★","")</f>
        <v/>
      </c>
      <c r="NA8" s="929" t="str">
        <f>IF(ISNUMBER(SEARCH($A8,VLOOKUP(NA$2,职业列表!$B$1:$G$370,6,0))),"★","")</f>
        <v/>
      </c>
      <c r="NB8" s="929" t="str">
        <f>IF(ISNUMBER(SEARCH($A8,VLOOKUP(NB$2,职业列表!$B$1:$G$370,6,0))),"★","")</f>
        <v/>
      </c>
      <c r="NC8" s="929" t="str">
        <f>IF(ISNUMBER(SEARCH($A8,VLOOKUP(NC$2,职业列表!$B$1:$G$370,6,0))),"★","")</f>
        <v/>
      </c>
      <c r="ND8" s="929" t="str">
        <f>IF(ISNUMBER(SEARCH($A8,VLOOKUP(ND$2,职业列表!$B$1:$G$370,6,0))),"★","")</f>
        <v/>
      </c>
      <c r="NE8" s="929" t="str">
        <f>IF(ISNUMBER(SEARCH($A8,VLOOKUP(NE$2,职业列表!$B$1:$G$370,6,0))),"★","")</f>
        <v/>
      </c>
    </row>
    <row r="9" customFormat="1" spans="1:369">
      <c r="A9" s="932" t="s">
        <v>61</v>
      </c>
      <c r="B9" s="939" t="str">
        <f>IF(OR(A9="说服",A9="话术",A9="取悦",A9="恐吓"),"☯",IF(ISNUMBER(SEARCH(A9,VLOOKUP(IX$2,职业列表!$B$1:$G$370,6,0))),"★",""))</f>
        <v/>
      </c>
      <c r="C9" s="939" t="str">
        <f>IF(ISTEXT(IFERROR(VLOOKUP(A9,职业列表!I3:J10,1,FALSE),0)),"★","")</f>
        <v/>
      </c>
      <c r="D9" s="939"/>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c r="AL9" s="939"/>
      <c r="AM9" s="939"/>
      <c r="AN9" s="939"/>
      <c r="AO9" s="939"/>
      <c r="AP9" s="939"/>
      <c r="AQ9" s="939"/>
      <c r="AR9" s="939"/>
      <c r="AS9" s="939"/>
      <c r="AT9" s="939"/>
      <c r="AU9" s="939"/>
      <c r="AV9" s="939"/>
      <c r="AW9" s="939"/>
      <c r="AX9" s="939"/>
      <c r="AY9" s="939"/>
      <c r="AZ9" s="939"/>
      <c r="BA9" s="939"/>
      <c r="BB9" s="939"/>
      <c r="BC9" s="939"/>
      <c r="BD9" s="939"/>
      <c r="BE9" s="939"/>
      <c r="BF9" s="939"/>
      <c r="BG9" s="939"/>
      <c r="BH9" s="939"/>
      <c r="BI9" s="939"/>
      <c r="BJ9" s="939"/>
      <c r="BK9" s="939"/>
      <c r="BL9" s="939"/>
      <c r="BM9" s="939"/>
      <c r="BN9" s="939"/>
      <c r="BO9" s="939"/>
      <c r="BP9" s="939"/>
      <c r="BQ9" s="939"/>
      <c r="BR9" s="939"/>
      <c r="BS9" s="939"/>
      <c r="BT9" s="939"/>
      <c r="BU9" s="939"/>
      <c r="BV9" s="939"/>
      <c r="BW9" s="939"/>
      <c r="BX9" s="939"/>
      <c r="BY9" s="939"/>
      <c r="BZ9" s="939"/>
      <c r="CA9" s="939"/>
      <c r="CB9" s="939"/>
      <c r="CC9" s="939"/>
      <c r="CD9" s="939"/>
      <c r="CE9" s="939" t="s">
        <v>74</v>
      </c>
      <c r="CF9" s="939"/>
      <c r="CG9" s="939" t="s">
        <v>74</v>
      </c>
      <c r="CH9" s="939"/>
      <c r="CI9" s="939"/>
      <c r="CJ9" s="939"/>
      <c r="CK9" s="939"/>
      <c r="CL9" s="939"/>
      <c r="CM9" s="939"/>
      <c r="CN9" s="939"/>
      <c r="CO9" s="939"/>
      <c r="CP9" s="939"/>
      <c r="CQ9" s="939"/>
      <c r="CR9" s="939"/>
      <c r="CS9" s="939"/>
      <c r="CT9" s="939"/>
      <c r="CU9" s="939"/>
      <c r="CV9" s="939"/>
      <c r="CW9" s="939"/>
      <c r="CX9" s="939"/>
      <c r="CY9" s="939"/>
      <c r="CZ9" s="939"/>
      <c r="DA9" s="939"/>
      <c r="DB9" s="939"/>
      <c r="DC9" s="939"/>
      <c r="DD9" s="939"/>
      <c r="DE9" s="939"/>
      <c r="DF9" s="939"/>
      <c r="DG9" s="939"/>
      <c r="DH9" s="939"/>
      <c r="DI9" s="939"/>
      <c r="DJ9" s="939"/>
      <c r="DK9" s="939"/>
      <c r="DL9" s="939"/>
      <c r="DM9" s="939"/>
      <c r="DN9" s="939"/>
      <c r="DO9" s="939"/>
      <c r="DP9" s="939"/>
      <c r="DQ9" s="939"/>
      <c r="DR9" s="939"/>
      <c r="DS9" s="939"/>
      <c r="DT9" s="939"/>
      <c r="DU9" s="939"/>
      <c r="DV9" s="939"/>
      <c r="DW9" s="939"/>
      <c r="DX9" s="939"/>
      <c r="DY9" s="939"/>
      <c r="DZ9" s="939"/>
      <c r="EA9" s="939"/>
      <c r="EB9" s="939"/>
      <c r="EC9" s="939"/>
      <c r="ED9" s="939"/>
      <c r="EE9" s="939"/>
      <c r="EF9" s="939"/>
      <c r="EG9" s="939"/>
      <c r="EH9" s="939"/>
      <c r="EI9" s="939"/>
      <c r="EJ9" s="939"/>
      <c r="EK9" s="939"/>
      <c r="EL9" s="939"/>
      <c r="EM9" s="939"/>
      <c r="EN9" s="939" t="s">
        <v>74</v>
      </c>
      <c r="EO9" s="939"/>
      <c r="EP9" s="939"/>
      <c r="EQ9" s="939"/>
      <c r="ER9" s="939"/>
      <c r="ES9" s="939"/>
      <c r="ET9" s="939"/>
      <c r="EU9" s="939"/>
      <c r="EV9" s="939"/>
      <c r="EW9" s="939"/>
      <c r="EX9" s="939"/>
      <c r="EY9" s="939"/>
      <c r="EZ9" s="939"/>
      <c r="FA9" s="939"/>
      <c r="FB9" s="939"/>
      <c r="FC9" s="939"/>
      <c r="FD9" s="939"/>
      <c r="FE9" s="939"/>
      <c r="FF9" s="939"/>
      <c r="FG9" s="939"/>
      <c r="FH9" s="939"/>
      <c r="FI9" s="939"/>
      <c r="FJ9" s="939"/>
      <c r="FK9" s="939"/>
      <c r="FL9" s="939"/>
      <c r="FM9" s="939"/>
      <c r="FN9" s="939"/>
      <c r="FO9" s="939"/>
      <c r="FP9" s="939"/>
      <c r="FQ9" s="939"/>
      <c r="FR9" s="939"/>
      <c r="FS9" s="939"/>
      <c r="FT9" s="939"/>
      <c r="FU9" s="939"/>
      <c r="FV9" s="939"/>
      <c r="FW9" s="939"/>
      <c r="FX9" s="939"/>
      <c r="FY9" s="939"/>
      <c r="FZ9" s="939"/>
      <c r="GA9" s="939"/>
      <c r="GB9" s="939"/>
      <c r="GC9" s="939"/>
      <c r="GD9" s="939"/>
      <c r="GE9" s="939"/>
      <c r="GF9" s="939"/>
      <c r="GG9" s="939"/>
      <c r="GH9" s="939"/>
      <c r="GI9" s="939"/>
      <c r="GJ9" s="939"/>
      <c r="GK9" s="939"/>
      <c r="GL9" s="939"/>
      <c r="GM9" s="939"/>
      <c r="GN9" s="939"/>
      <c r="GO9" s="939"/>
      <c r="GP9" s="939"/>
      <c r="GQ9" s="939"/>
      <c r="GR9" s="939"/>
      <c r="GS9" s="939"/>
      <c r="GT9" s="939"/>
      <c r="GU9" s="939"/>
      <c r="GV9" s="939"/>
      <c r="GW9" s="939"/>
      <c r="GX9" s="939"/>
      <c r="GY9" s="939"/>
      <c r="GZ9" s="939"/>
      <c r="HA9" s="939"/>
      <c r="HB9" s="939"/>
      <c r="HC9" s="939"/>
      <c r="HD9" s="939"/>
      <c r="HE9" s="939"/>
      <c r="HF9" s="940" t="s">
        <v>74</v>
      </c>
      <c r="HG9" s="939"/>
      <c r="HH9" s="939"/>
      <c r="HI9" s="939"/>
      <c r="HJ9" s="939"/>
      <c r="HK9" s="939"/>
      <c r="HL9" s="940" t="s">
        <v>74</v>
      </c>
      <c r="HM9" s="939"/>
      <c r="HN9" s="939"/>
      <c r="HO9" s="939"/>
      <c r="HP9" s="939"/>
      <c r="HQ9" s="939"/>
      <c r="HR9" s="939"/>
      <c r="HS9" s="939"/>
      <c r="HT9" s="939"/>
      <c r="HU9" s="939"/>
      <c r="HV9" s="939"/>
      <c r="HW9" s="939"/>
      <c r="HX9" s="990"/>
      <c r="HY9" s="939" t="s">
        <v>74</v>
      </c>
      <c r="HZ9" s="1012"/>
      <c r="IA9" s="1012"/>
      <c r="IB9" s="1012"/>
      <c r="IC9" s="1013"/>
      <c r="ID9" s="1013"/>
      <c r="IE9" s="1012"/>
      <c r="IF9" s="1012"/>
      <c r="IG9" s="1012"/>
      <c r="IH9" s="1012"/>
      <c r="II9" s="1012"/>
      <c r="IJ9" s="1012"/>
      <c r="IK9" s="1012"/>
      <c r="IL9" s="1012"/>
      <c r="IM9" s="1012"/>
      <c r="IN9" s="1012"/>
      <c r="IO9" s="1012"/>
      <c r="IP9" s="1013"/>
      <c r="IQ9" s="1013"/>
      <c r="IR9" s="1012"/>
      <c r="IS9" s="1012"/>
      <c r="IT9" s="1012"/>
      <c r="IU9" s="1012"/>
      <c r="IV9" s="972" t="s">
        <v>74</v>
      </c>
      <c r="IW9" s="929"/>
      <c r="IX9" s="929" t="str">
        <f>IF(ISNUMBER(SEARCH($A9,VLOOKUP(IX$2,职业列表!$B$1:$G$370,6,0))),"★","")</f>
        <v/>
      </c>
      <c r="IY9" s="929" t="str">
        <f>IF(ISNUMBER(SEARCH($A9,VLOOKUP(IY$2,职业列表!$B$1:$G$370,6,0))),"★","")</f>
        <v/>
      </c>
      <c r="IZ9" s="929" t="str">
        <f>IF(ISNUMBER(SEARCH($A9,VLOOKUP(IZ$2,职业列表!$B$1:$G$370,6,0))),"★","")</f>
        <v/>
      </c>
      <c r="JA9" s="929" t="str">
        <f>IF(ISNUMBER(SEARCH($A9,VLOOKUP(JA$2,职业列表!$B$1:$G$370,6,0))),"★","")</f>
        <v/>
      </c>
      <c r="JB9" s="929" t="str">
        <f>IF(ISNUMBER(SEARCH($A9,VLOOKUP(JB$2,职业列表!$B$1:$G$370,6,0))),"★","")</f>
        <v/>
      </c>
      <c r="JC9" s="929" t="str">
        <f>IF(ISNUMBER(SEARCH($A9,VLOOKUP(JC$2,职业列表!$B$1:$G$370,6,0))),"★","")</f>
        <v/>
      </c>
      <c r="JD9" s="929" t="str">
        <f>IF(ISNUMBER(SEARCH($A9,VLOOKUP(JD$2,职业列表!$B$1:$G$370,6,0))),"★","")</f>
        <v/>
      </c>
      <c r="JE9" s="929" t="str">
        <f>IF(ISNUMBER(SEARCH($A9,VLOOKUP(JE$2,职业列表!$B$1:$G$370,6,0))),"★","")</f>
        <v/>
      </c>
      <c r="JF9" s="929" t="str">
        <f>IF(ISNUMBER(SEARCH($A9,VLOOKUP(JF$2,职业列表!$B$1:$G$370,6,0))),"★","")</f>
        <v/>
      </c>
      <c r="JG9" s="929" t="str">
        <f>IF(ISNUMBER(SEARCH($A9,VLOOKUP(JG$2,职业列表!$B$1:$G$370,6,0))),"★","")</f>
        <v/>
      </c>
      <c r="JH9" s="929" t="str">
        <f>IF(ISNUMBER(SEARCH($A9,VLOOKUP(JH$2,职业列表!$B$1:$G$370,6,0))),"★","")</f>
        <v/>
      </c>
      <c r="JI9" s="929" t="str">
        <f>IF(ISNUMBER(SEARCH($A9,VLOOKUP(JI$2,职业列表!$B$1:$G$370,6,0))),"★","")</f>
        <v/>
      </c>
      <c r="JJ9" s="929" t="str">
        <f>IF(ISNUMBER(SEARCH($A9,VLOOKUP(JJ$2,职业列表!$B$1:$G$370,6,0))),"★","")</f>
        <v/>
      </c>
      <c r="JK9" s="929" t="str">
        <f>IF(ISNUMBER(SEARCH($A9,VLOOKUP(JK$2,职业列表!$B$1:$G$370,6,0))),"★","")</f>
        <v/>
      </c>
      <c r="JL9" s="929" t="str">
        <f>IF(ISNUMBER(SEARCH($A9,VLOOKUP(JL$2,职业列表!$B$1:$G$370,6,0))),"★","")</f>
        <v/>
      </c>
      <c r="JM9" s="929" t="str">
        <f>IF(ISNUMBER(SEARCH($A9,VLOOKUP(JM$2,职业列表!$B$1:$G$370,6,0))),"★","")</f>
        <v/>
      </c>
      <c r="JN9" s="929" t="str">
        <f>IF(ISNUMBER(SEARCH($A9,VLOOKUP(JN$2,职业列表!$B$1:$G$370,6,0))),"★","")</f>
        <v/>
      </c>
      <c r="JO9" s="929" t="str">
        <f>IF(ISNUMBER(SEARCH($A9,VLOOKUP(JO$2,职业列表!$B$1:$G$370,6,0))),"★","")</f>
        <v/>
      </c>
      <c r="JP9" s="929" t="str">
        <f>IF(ISNUMBER(SEARCH($A9,VLOOKUP(JP$2,职业列表!$B$1:$G$370,6,0))),"★","")</f>
        <v/>
      </c>
      <c r="JQ9" s="929" t="str">
        <f>IF(ISNUMBER(SEARCH($A9,VLOOKUP(JQ$2,职业列表!$B$1:$G$370,6,0))),"★","")</f>
        <v/>
      </c>
      <c r="JR9" s="929" t="str">
        <f>IF(ISNUMBER(SEARCH($A9,VLOOKUP(JR$2,职业列表!$B$1:$G$370,6,0))),"★","")</f>
        <v/>
      </c>
      <c r="JS9" s="929" t="str">
        <f>IF(ISNUMBER(SEARCH($A9,VLOOKUP(JS$2,职业列表!$B$1:$G$370,6,0))),"★","")</f>
        <v/>
      </c>
      <c r="JT9" s="929" t="str">
        <f>IF(ISNUMBER(SEARCH($A9,VLOOKUP(JT$2,职业列表!$B$1:$G$370,6,0))),"★","")</f>
        <v/>
      </c>
      <c r="JU9" s="929" t="str">
        <f>IF(ISNUMBER(SEARCH($A9,VLOOKUP(JU$2,职业列表!$B$1:$G$370,6,0))),"★","")</f>
        <v/>
      </c>
      <c r="JV9" s="929" t="str">
        <f>IF(ISNUMBER(SEARCH($A9,VLOOKUP(JV$2,职业列表!$B$1:$G$370,6,0))),"★","")</f>
        <v/>
      </c>
      <c r="JW9" s="929" t="str">
        <f>IF(ISNUMBER(SEARCH($A9,VLOOKUP(JW$2,职业列表!$B$1:$G$370,6,0))),"★","")</f>
        <v/>
      </c>
      <c r="JX9" s="929" t="str">
        <f>IF(ISNUMBER(SEARCH($A9,VLOOKUP(JX$2,职业列表!$B$1:$G$370,6,0))),"★","")</f>
        <v/>
      </c>
      <c r="JY9" s="929" t="str">
        <f>IF(ISNUMBER(SEARCH($A9,VLOOKUP(JY$2,职业列表!$B$1:$G$370,6,0))),"★","")</f>
        <v/>
      </c>
      <c r="JZ9" s="929" t="str">
        <f>IF(ISNUMBER(SEARCH($A9,VLOOKUP(JZ$2,职业列表!$B$1:$G$370,6,0))),"★","")</f>
        <v/>
      </c>
      <c r="KA9" s="929" t="str">
        <f>IF(ISNUMBER(SEARCH($A9,VLOOKUP(KA$2,职业列表!$B$1:$G$370,6,0))),"★","")</f>
        <v/>
      </c>
      <c r="KB9" s="929" t="str">
        <f>IF(ISNUMBER(SEARCH($A9,VLOOKUP(KB$2,职业列表!$B$1:$G$370,6,0))),"★","")</f>
        <v/>
      </c>
      <c r="KC9" s="929" t="str">
        <f>IF(ISNUMBER(SEARCH($A9,VLOOKUP(KC$2,职业列表!$B$1:$G$370,6,0))),"★","")</f>
        <v/>
      </c>
      <c r="KD9" s="929" t="str">
        <f>IF(ISNUMBER(SEARCH($A9,VLOOKUP(KD$2,职业列表!$B$1:$G$370,6,0))),"★","")</f>
        <v/>
      </c>
      <c r="KE9" s="929" t="str">
        <f>IF(ISNUMBER(SEARCH($A9,VLOOKUP(KE$2,职业列表!$B$1:$G$370,6,0))),"★","")</f>
        <v/>
      </c>
      <c r="KF9" s="929" t="str">
        <f>IF(ISNUMBER(SEARCH($A9,VLOOKUP(KF$2,职业列表!$B$1:$G$370,6,0))),"★","")</f>
        <v/>
      </c>
      <c r="KG9" s="929" t="str">
        <f>IF(ISNUMBER(SEARCH($A9,VLOOKUP(KG$2,职业列表!$B$1:$G$370,6,0))),"★","")</f>
        <v/>
      </c>
      <c r="KH9" s="929" t="str">
        <f>IF(ISNUMBER(SEARCH($A9,VLOOKUP(KH$2,职业列表!$B$1:$G$370,6,0))),"★","")</f>
        <v/>
      </c>
      <c r="KI9" s="929" t="str">
        <f>IF(ISNUMBER(SEARCH($A9,VLOOKUP(KI$2,职业列表!$B$1:$G$370,6,0))),"★","")</f>
        <v/>
      </c>
      <c r="KJ9" s="929" t="str">
        <f>IF(ISNUMBER(SEARCH($A9,VLOOKUP(KJ$2,职业列表!$B$1:$G$370,6,0))),"★","")</f>
        <v/>
      </c>
      <c r="KK9" s="929" t="str">
        <f>IF(ISNUMBER(SEARCH($A9,VLOOKUP(KK$2,职业列表!$B$1:$G$370,6,0))),"★","")</f>
        <v/>
      </c>
      <c r="KL9" s="929" t="str">
        <f>IF(ISNUMBER(SEARCH($A9,VLOOKUP(KL$2,职业列表!$B$1:$G$370,6,0))),"★","")</f>
        <v/>
      </c>
      <c r="KM9" s="929" t="str">
        <f>IF(ISNUMBER(SEARCH($A9,VLOOKUP(KM$2,职业列表!$B$1:$G$370,6,0))),"★","")</f>
        <v/>
      </c>
      <c r="KN9" s="929" t="str">
        <f>IF(ISNUMBER(SEARCH($A9,VLOOKUP(KN$2,职业列表!$B$1:$G$370,6,0))),"★","")</f>
        <v/>
      </c>
      <c r="KO9" s="929" t="str">
        <f>IF(ISNUMBER(SEARCH($A9,VLOOKUP(KO$2,职业列表!$B$1:$G$370,6,0))),"★","")</f>
        <v/>
      </c>
      <c r="KP9" s="929" t="str">
        <f>IF(ISNUMBER(SEARCH($A9,VLOOKUP(KP$2,职业列表!$B$1:$G$370,6,0))),"★","")</f>
        <v/>
      </c>
      <c r="KQ9" s="929" t="str">
        <f>IF(ISNUMBER(SEARCH($A9,VLOOKUP(KQ$2,职业列表!$B$1:$G$370,6,0))),"★","")</f>
        <v/>
      </c>
      <c r="KR9" s="929" t="str">
        <f>IF(ISNUMBER(SEARCH($A9,VLOOKUP(KR$2,职业列表!$B$1:$G$370,6,0))),"★","")</f>
        <v/>
      </c>
      <c r="KS9" s="929" t="str">
        <f>IF(ISNUMBER(SEARCH($A9,VLOOKUP(KS$2,职业列表!$B$1:$G$370,6,0))),"★","")</f>
        <v/>
      </c>
      <c r="KT9" s="929" t="str">
        <f>IF(ISNUMBER(SEARCH($A9,VLOOKUP(KT$2,职业列表!$B$1:$G$370,6,0))),"★","")</f>
        <v/>
      </c>
      <c r="KU9" s="929" t="str">
        <f>IF(ISNUMBER(SEARCH($A9,VLOOKUP(KU$2,职业列表!$B$1:$G$370,6,0))),"★","")</f>
        <v/>
      </c>
      <c r="KV9" s="929" t="str">
        <f>IF(ISNUMBER(SEARCH($A9,VLOOKUP(KV$2,职业列表!$B$1:$G$370,6,0))),"★","")</f>
        <v/>
      </c>
      <c r="KW9" s="929" t="str">
        <f>IF(ISNUMBER(SEARCH($A9,VLOOKUP(KW$2,职业列表!$B$1:$G$370,6,0))),"★","")</f>
        <v/>
      </c>
      <c r="KX9" s="929" t="str">
        <f>IF(ISNUMBER(SEARCH($A9,VLOOKUP(KX$2,职业列表!$B$1:$G$370,6,0))),"★","")</f>
        <v/>
      </c>
      <c r="KY9" s="929" t="str">
        <f>IF(ISNUMBER(SEARCH($A9,VLOOKUP(KY$2,职业列表!$B$1:$G$370,6,0))),"★","")</f>
        <v/>
      </c>
      <c r="KZ9" s="929" t="str">
        <f>IF(ISNUMBER(SEARCH($A9,VLOOKUP(KZ$2,职业列表!$B$1:$G$370,6,0))),"★","")</f>
        <v/>
      </c>
      <c r="LA9" s="929" t="str">
        <f>IF(ISNUMBER(SEARCH($A9,VLOOKUP(LA$2,职业列表!$B$1:$G$370,6,0))),"★","")</f>
        <v/>
      </c>
      <c r="LB9" s="929" t="str">
        <f>IF(ISNUMBER(SEARCH($A9,VLOOKUP(LB$2,职业列表!$B$1:$G$370,6,0))),"★","")</f>
        <v/>
      </c>
      <c r="LC9" s="929" t="str">
        <f>IF(ISNUMBER(SEARCH($A9,VLOOKUP(LC$2,职业列表!$B$1:$G$370,6,0))),"★","")</f>
        <v/>
      </c>
      <c r="LD9" s="929" t="str">
        <f>IF(ISNUMBER(SEARCH($A9,VLOOKUP(LD$2,职业列表!$B$1:$G$370,6,0))),"★","")</f>
        <v/>
      </c>
      <c r="LE9" s="929" t="str">
        <f>IF(ISNUMBER(SEARCH($A9,VLOOKUP(LE$2,职业列表!$B$1:$G$370,6,0))),"★","")</f>
        <v/>
      </c>
      <c r="LF9" s="929" t="str">
        <f>IF(ISNUMBER(SEARCH($A9,VLOOKUP(LF$2,职业列表!$B$1:$G$370,6,0))),"★","")</f>
        <v/>
      </c>
      <c r="LG9" s="929" t="str">
        <f>IF(ISNUMBER(SEARCH($A9,VLOOKUP(LG$2,职业列表!$B$1:$G$370,6,0))),"★","")</f>
        <v/>
      </c>
      <c r="LH9" s="929" t="str">
        <f>IF(ISNUMBER(SEARCH($A9,VLOOKUP(LH$2,职业列表!$B$1:$G$370,6,0))),"★","")</f>
        <v/>
      </c>
      <c r="LI9" s="929" t="str">
        <f>IF(ISNUMBER(SEARCH($A9,VLOOKUP(LI$2,职业列表!$B$1:$G$370,6,0))),"★","")</f>
        <v/>
      </c>
      <c r="LJ9" s="929" t="str">
        <f>IF(ISNUMBER(SEARCH($A9,VLOOKUP(LJ$2,职业列表!$B$1:$G$370,6,0))),"★","")</f>
        <v/>
      </c>
      <c r="LK9" s="929" t="str">
        <f>IF(ISNUMBER(SEARCH($A9,VLOOKUP(LK$2,职业列表!$B$1:$G$370,6,0))),"★","")</f>
        <v/>
      </c>
      <c r="LL9" s="929" t="str">
        <f>IF(ISNUMBER(SEARCH($A9,VLOOKUP(LL$2,职业列表!$B$1:$G$370,6,0))),"★","")</f>
        <v/>
      </c>
      <c r="LM9" s="929" t="str">
        <f>IF(ISNUMBER(SEARCH($A9,VLOOKUP(LM$2,职业列表!$B$1:$G$370,6,0))),"★","")</f>
        <v/>
      </c>
      <c r="LN9" s="929" t="str">
        <f>IF(ISNUMBER(SEARCH($A9,VLOOKUP(LN$2,职业列表!$B$1:$G$370,6,0))),"★","")</f>
        <v/>
      </c>
      <c r="LO9" s="929" t="str">
        <f>IF(ISNUMBER(SEARCH($A9,VLOOKUP(LO$2,职业列表!$B$1:$G$370,6,0))),"★","")</f>
        <v/>
      </c>
      <c r="LP9" s="929" t="str">
        <f>IF(ISNUMBER(SEARCH($A9,VLOOKUP(LP$2,职业列表!$B$1:$G$370,6,0))),"★","")</f>
        <v/>
      </c>
      <c r="LQ9" s="929" t="str">
        <f>IF(ISNUMBER(SEARCH($A9,VLOOKUP(LQ$2,职业列表!$B$1:$G$370,6,0))),"★","")</f>
        <v/>
      </c>
      <c r="LR9" s="929" t="str">
        <f>IF(ISNUMBER(SEARCH($A9,VLOOKUP(LR$2,职业列表!$B$1:$G$370,6,0))),"★","")</f>
        <v/>
      </c>
      <c r="LS9" s="929" t="str">
        <f>IF(ISNUMBER(SEARCH($A9,VLOOKUP(LS$2,职业列表!$B$1:$G$370,6,0))),"★","")</f>
        <v/>
      </c>
      <c r="LT9" s="929" t="str">
        <f>IF(ISNUMBER(SEARCH($A9,VLOOKUP(LT$2,职业列表!$B$1:$G$370,6,0))),"★","")</f>
        <v/>
      </c>
      <c r="LU9" s="929" t="str">
        <f>IF(ISNUMBER(SEARCH($A9,VLOOKUP(LU$2,职业列表!$B$1:$G$370,6,0))),"★","")</f>
        <v/>
      </c>
      <c r="LV9" s="929" t="str">
        <f>IF(ISNUMBER(SEARCH($A9,VLOOKUP(LV$2,职业列表!$B$1:$G$370,6,0))),"★","")</f>
        <v/>
      </c>
      <c r="LW9" s="929" t="str">
        <f>IF(ISNUMBER(SEARCH($A9,VLOOKUP(LW$2,职业列表!$B$1:$G$370,6,0))),"★","")</f>
        <v/>
      </c>
      <c r="LX9" s="929" t="str">
        <f>IF(ISNUMBER(SEARCH($A9,VLOOKUP(LX$2,职业列表!$B$1:$G$370,6,0))),"★","")</f>
        <v/>
      </c>
      <c r="LY9" s="929" t="str">
        <f>IF(ISNUMBER(SEARCH($A9,VLOOKUP(LY$2,职业列表!$B$1:$G$370,6,0))),"★","")</f>
        <v/>
      </c>
      <c r="LZ9" s="929" t="str">
        <f>IF(ISNUMBER(SEARCH($A9,VLOOKUP(LZ$2,职业列表!$B$1:$G$370,6,0))),"★","")</f>
        <v/>
      </c>
      <c r="MA9" s="929" t="str">
        <f>IF(ISNUMBER(SEARCH($A9,VLOOKUP(MA$2,职业列表!$B$1:$G$370,6,0))),"★","")</f>
        <v/>
      </c>
      <c r="MB9" s="929" t="str">
        <f>IF(ISNUMBER(SEARCH($A9,VLOOKUP(MB$2,职业列表!$B$1:$G$370,6,0))),"★","")</f>
        <v/>
      </c>
      <c r="MC9" s="929" t="str">
        <f>IF(ISNUMBER(SEARCH($A9,VLOOKUP(MC$2,职业列表!$B$1:$G$370,6,0))),"★","")</f>
        <v/>
      </c>
      <c r="MD9" s="929" t="str">
        <f>IF(ISNUMBER(SEARCH($A9,VLOOKUP(MD$2,职业列表!$B$1:$G$370,6,0))),"★","")</f>
        <v/>
      </c>
      <c r="ME9" s="929" t="str">
        <f>IF(ISNUMBER(SEARCH($A9,VLOOKUP(ME$2,职业列表!$B$1:$G$370,6,0))),"★","")</f>
        <v/>
      </c>
      <c r="MF9" s="929" t="str">
        <f>IF(ISNUMBER(SEARCH($A9,VLOOKUP(MF$2,职业列表!$B$1:$G$370,6,0))),"★","")</f>
        <v/>
      </c>
      <c r="MG9" s="929" t="str">
        <f>IF(ISNUMBER(SEARCH($A9,VLOOKUP(MG$2,职业列表!$B$1:$G$370,6,0))),"★","")</f>
        <v/>
      </c>
      <c r="MH9" s="929" t="str">
        <f>IF(ISNUMBER(SEARCH($A9,VLOOKUP(MH$2,职业列表!$B$1:$G$370,6,0))),"★","")</f>
        <v/>
      </c>
      <c r="MI9" s="929" t="str">
        <f>IF(ISNUMBER(SEARCH($A9,VLOOKUP(MI$2,职业列表!$B$1:$G$370,6,0))),"★","")</f>
        <v/>
      </c>
      <c r="MJ9" s="929" t="str">
        <f>IF(ISNUMBER(SEARCH($A9,VLOOKUP(MJ$2,职业列表!$B$1:$G$370,6,0))),"★","")</f>
        <v/>
      </c>
      <c r="MK9" s="929" t="str">
        <f>IF(ISNUMBER(SEARCH($A9,VLOOKUP(MK$2,职业列表!$B$1:$G$370,6,0))),"★","")</f>
        <v/>
      </c>
      <c r="ML9" s="929" t="str">
        <f>IF(ISNUMBER(SEARCH($A9,VLOOKUP(ML$2,职业列表!$B$1:$G$370,6,0))),"★","")</f>
        <v/>
      </c>
      <c r="MM9" s="929" t="str">
        <f>IF(ISNUMBER(SEARCH($A9,VLOOKUP(MM$2,职业列表!$B$1:$G$370,6,0))),"★","")</f>
        <v/>
      </c>
      <c r="MN9" s="929" t="str">
        <f>IF(ISNUMBER(SEARCH($A9,VLOOKUP(MN$2,职业列表!$B$1:$G$370,6,0))),"★","")</f>
        <v/>
      </c>
      <c r="MO9" s="929" t="str">
        <f>IF(ISNUMBER(SEARCH($A9,VLOOKUP(MO$2,职业列表!$B$1:$G$370,6,0))),"★","")</f>
        <v/>
      </c>
      <c r="MP9" s="929" t="str">
        <f>IF(ISNUMBER(SEARCH($A9,VLOOKUP(MP$2,职业列表!$B$1:$G$370,6,0))),"★","")</f>
        <v/>
      </c>
      <c r="MQ9" s="929" t="str">
        <f>IF(ISNUMBER(SEARCH($A9,VLOOKUP(MQ$2,职业列表!$B$1:$G$370,6,0))),"★","")</f>
        <v/>
      </c>
      <c r="MR9" s="929" t="str">
        <f>IF(ISNUMBER(SEARCH($A9,VLOOKUP(MR$2,职业列表!$B$1:$G$370,6,0))),"★","")</f>
        <v/>
      </c>
      <c r="MS9" s="929" t="str">
        <f>IF(ISNUMBER(SEARCH($A9,VLOOKUP(MS$2,职业列表!$B$1:$G$370,6,0))),"★","")</f>
        <v/>
      </c>
      <c r="MT9" s="929" t="str">
        <f>IF(ISNUMBER(SEARCH($A9,VLOOKUP(MT$2,职业列表!$B$1:$G$370,6,0))),"★","")</f>
        <v/>
      </c>
      <c r="MU9" s="929" t="str">
        <f>IF(ISNUMBER(SEARCH($A9,VLOOKUP(MU$2,职业列表!$B$1:$G$370,6,0))),"★","")</f>
        <v/>
      </c>
      <c r="MV9" s="929" t="str">
        <f>IF(ISNUMBER(SEARCH($A9,VLOOKUP(MV$2,职业列表!$B$1:$G$370,6,0))),"★","")</f>
        <v/>
      </c>
      <c r="MW9" s="929" t="str">
        <f>IF(ISNUMBER(SEARCH($A9,VLOOKUP(MW$2,职业列表!$B$1:$G$370,6,0))),"★","")</f>
        <v/>
      </c>
      <c r="MX9" s="929" t="str">
        <f>IF(ISNUMBER(SEARCH($A9,VLOOKUP(MX$2,职业列表!$B$1:$G$370,6,0))),"★","")</f>
        <v/>
      </c>
      <c r="MY9" s="929" t="str">
        <f>IF(ISNUMBER(SEARCH($A9,VLOOKUP(MY$2,职业列表!$B$1:$G$370,6,0))),"★","")</f>
        <v/>
      </c>
      <c r="MZ9" s="929" t="str">
        <f>IF(ISNUMBER(SEARCH($A9,VLOOKUP(MZ$2,职业列表!$B$1:$G$370,6,0))),"★","")</f>
        <v/>
      </c>
      <c r="NA9" s="929" t="str">
        <f>IF(ISNUMBER(SEARCH($A9,VLOOKUP(NA$2,职业列表!$B$1:$G$370,6,0))),"★","")</f>
        <v/>
      </c>
      <c r="NB9" s="929" t="str">
        <f>IF(ISNUMBER(SEARCH($A9,VLOOKUP(NB$2,职业列表!$B$1:$G$370,6,0))),"★","")</f>
        <v/>
      </c>
      <c r="NC9" s="929" t="str">
        <f>IF(ISNUMBER(SEARCH($A9,VLOOKUP(NC$2,职业列表!$B$1:$G$370,6,0))),"★","")</f>
        <v/>
      </c>
      <c r="ND9" s="929" t="str">
        <f>IF(ISNUMBER(SEARCH($A9,VLOOKUP(ND$2,职业列表!$B$1:$G$370,6,0))),"★","")</f>
        <v/>
      </c>
      <c r="NE9" s="929" t="str">
        <f>IF(ISNUMBER(SEARCH($A9,VLOOKUP(NE$2,职业列表!$B$1:$G$370,6,0))),"★","")</f>
        <v/>
      </c>
    </row>
    <row r="10" customFormat="1" spans="1:369">
      <c r="A10" s="932" t="s">
        <v>65</v>
      </c>
      <c r="B10" s="939" t="str">
        <f>IF(OR(A10="说服",A10="话术",A10="取悦",A10="恐吓"),"☯",IF(ISNUMBER(SEARCH(A10,VLOOKUP(IX$2,职业列表!$B$1:$G$370,6,0))),"★",""))</f>
        <v/>
      </c>
      <c r="C10" s="939" t="str">
        <f>IF(ISTEXT(IFERROR(VLOOKUP(A10,职业列表!I3:J10,1,FALSE),0)),"★","")</f>
        <v/>
      </c>
      <c r="D10" s="939"/>
      <c r="E10" s="939"/>
      <c r="F10" s="939"/>
      <c r="G10" s="939"/>
      <c r="H10" s="939"/>
      <c r="I10" s="939"/>
      <c r="J10" s="939"/>
      <c r="K10" s="939" t="s">
        <v>74</v>
      </c>
      <c r="L10" s="939" t="s">
        <v>74</v>
      </c>
      <c r="M10" s="939" t="s">
        <v>74</v>
      </c>
      <c r="N10" s="939"/>
      <c r="O10" s="939"/>
      <c r="P10" s="939"/>
      <c r="Q10" s="939"/>
      <c r="R10" s="939"/>
      <c r="S10" s="939"/>
      <c r="T10" s="939"/>
      <c r="U10" s="939" t="s">
        <v>74</v>
      </c>
      <c r="V10" s="939"/>
      <c r="W10" s="939"/>
      <c r="X10" s="939" t="s">
        <v>2716</v>
      </c>
      <c r="Y10" s="939"/>
      <c r="Z10" s="939"/>
      <c r="AA10" s="939"/>
      <c r="AB10" s="939"/>
      <c r="AC10" s="939"/>
      <c r="AD10" s="939"/>
      <c r="AE10" s="939"/>
      <c r="AF10" s="939"/>
      <c r="AG10" s="939" t="s">
        <v>74</v>
      </c>
      <c r="AH10" s="939" t="s">
        <v>74</v>
      </c>
      <c r="AI10" s="939" t="s">
        <v>74</v>
      </c>
      <c r="AJ10" s="939"/>
      <c r="AK10" s="939" t="s">
        <v>74</v>
      </c>
      <c r="AL10" s="939" t="s">
        <v>74</v>
      </c>
      <c r="AM10" s="939"/>
      <c r="AN10" s="939"/>
      <c r="AO10" s="939"/>
      <c r="AP10" s="939"/>
      <c r="AQ10" s="939"/>
      <c r="AR10" s="939"/>
      <c r="AS10" s="939"/>
      <c r="AT10" s="939"/>
      <c r="AU10" s="939"/>
      <c r="AV10" s="939"/>
      <c r="AW10" s="939"/>
      <c r="AX10" s="939"/>
      <c r="AY10" s="939"/>
      <c r="AZ10" s="939"/>
      <c r="BA10" s="939"/>
      <c r="BB10" s="939"/>
      <c r="BC10" s="939"/>
      <c r="BD10" s="939"/>
      <c r="BE10" s="939"/>
      <c r="BF10" s="939"/>
      <c r="BG10" s="939"/>
      <c r="BH10" s="939"/>
      <c r="BI10" s="939"/>
      <c r="BJ10" s="939"/>
      <c r="BK10" s="939"/>
      <c r="BL10" s="939"/>
      <c r="BM10" s="939"/>
      <c r="BN10" s="939"/>
      <c r="BO10" s="939"/>
      <c r="BP10" s="939"/>
      <c r="BQ10" s="939"/>
      <c r="BR10" s="939"/>
      <c r="BS10" s="939"/>
      <c r="BT10" s="939"/>
      <c r="BU10" s="939"/>
      <c r="BV10" s="939"/>
      <c r="BW10" s="939"/>
      <c r="BX10" s="939"/>
      <c r="BY10" s="939"/>
      <c r="BZ10" s="939"/>
      <c r="CA10" s="939"/>
      <c r="CB10" s="939" t="s">
        <v>74</v>
      </c>
      <c r="CC10" s="939"/>
      <c r="CD10" s="939"/>
      <c r="CE10" s="939"/>
      <c r="CF10" s="939"/>
      <c r="CG10" s="939"/>
      <c r="CH10" s="939"/>
      <c r="CI10" s="939"/>
      <c r="CJ10" s="939"/>
      <c r="CK10" s="939"/>
      <c r="CL10" s="939"/>
      <c r="CM10" s="939"/>
      <c r="CN10" s="939"/>
      <c r="CO10" s="939"/>
      <c r="CP10" s="939"/>
      <c r="CQ10" s="939"/>
      <c r="CR10" s="939"/>
      <c r="CS10" s="939"/>
      <c r="CT10" s="939"/>
      <c r="CU10" s="939"/>
      <c r="CV10" s="939"/>
      <c r="CW10" s="939"/>
      <c r="CX10" s="939"/>
      <c r="CY10" s="939"/>
      <c r="CZ10" s="939"/>
      <c r="DA10" s="939"/>
      <c r="DB10" s="939"/>
      <c r="DC10" s="939"/>
      <c r="DD10" s="939"/>
      <c r="DE10" s="939"/>
      <c r="DF10" s="939"/>
      <c r="DG10" s="939"/>
      <c r="DH10" s="939"/>
      <c r="DI10" s="939"/>
      <c r="DJ10" s="939"/>
      <c r="DK10" s="939"/>
      <c r="DL10" s="939"/>
      <c r="DM10" s="939"/>
      <c r="DN10" s="939"/>
      <c r="DO10" s="939"/>
      <c r="DP10" s="939"/>
      <c r="DQ10" s="939"/>
      <c r="DR10" s="939"/>
      <c r="DS10" s="939"/>
      <c r="DT10" s="939"/>
      <c r="DU10" s="939"/>
      <c r="DV10" s="939"/>
      <c r="DW10" s="939"/>
      <c r="DX10" s="939"/>
      <c r="DY10" s="939"/>
      <c r="DZ10" s="939"/>
      <c r="EA10" s="939"/>
      <c r="EB10" s="939" t="s">
        <v>74</v>
      </c>
      <c r="EC10" s="939"/>
      <c r="ED10" s="939"/>
      <c r="EE10" s="939"/>
      <c r="EF10" s="939"/>
      <c r="EG10" s="939"/>
      <c r="EH10" s="939"/>
      <c r="EI10" s="939"/>
      <c r="EJ10" s="939"/>
      <c r="EK10" s="939"/>
      <c r="EL10" s="939"/>
      <c r="EM10" s="939"/>
      <c r="EN10" s="939"/>
      <c r="EO10" s="939"/>
      <c r="EP10" s="939"/>
      <c r="EQ10" s="939"/>
      <c r="ER10" s="939"/>
      <c r="ES10" s="939"/>
      <c r="ET10" s="939"/>
      <c r="EU10" s="939"/>
      <c r="EV10" s="939" t="s">
        <v>74</v>
      </c>
      <c r="EW10" s="939"/>
      <c r="EX10" s="939"/>
      <c r="EY10" s="939"/>
      <c r="EZ10" s="939"/>
      <c r="FA10" s="939"/>
      <c r="FB10" s="939" t="s">
        <v>74</v>
      </c>
      <c r="FC10" s="939"/>
      <c r="FD10" s="939"/>
      <c r="FE10" s="939"/>
      <c r="FF10" s="939"/>
      <c r="FG10" s="939"/>
      <c r="FH10" s="939"/>
      <c r="FI10" s="939"/>
      <c r="FJ10" s="939"/>
      <c r="FK10" s="939"/>
      <c r="FL10" s="939"/>
      <c r="FM10" s="939"/>
      <c r="FN10" s="939"/>
      <c r="FO10" s="939"/>
      <c r="FP10" s="939"/>
      <c r="FQ10" s="939"/>
      <c r="FR10" s="939"/>
      <c r="FS10" s="939"/>
      <c r="FT10" s="939"/>
      <c r="FU10" s="939"/>
      <c r="FV10" s="939"/>
      <c r="FW10" s="939"/>
      <c r="FX10" s="939"/>
      <c r="FY10" s="939"/>
      <c r="FZ10" s="939"/>
      <c r="GA10" s="939"/>
      <c r="GB10" s="939"/>
      <c r="GC10" s="939"/>
      <c r="GD10" s="939"/>
      <c r="GE10" s="939"/>
      <c r="GF10" s="939"/>
      <c r="GG10" s="939"/>
      <c r="GH10" s="939"/>
      <c r="GI10" s="939"/>
      <c r="GJ10" s="939"/>
      <c r="GK10" s="939"/>
      <c r="GL10" s="939"/>
      <c r="GM10" s="939"/>
      <c r="GN10" s="939"/>
      <c r="GO10" s="939"/>
      <c r="GP10" s="939"/>
      <c r="GQ10" s="939"/>
      <c r="GR10" s="939"/>
      <c r="GS10" s="939"/>
      <c r="GT10" s="939"/>
      <c r="GU10" s="939"/>
      <c r="GV10" s="939"/>
      <c r="GW10" s="939"/>
      <c r="GX10" s="939"/>
      <c r="GY10" s="940" t="s">
        <v>74</v>
      </c>
      <c r="GZ10" s="939" t="s">
        <v>74</v>
      </c>
      <c r="HA10" s="939"/>
      <c r="HB10" s="940" t="s">
        <v>74</v>
      </c>
      <c r="HC10" s="939"/>
      <c r="HD10" s="939"/>
      <c r="HE10" s="939"/>
      <c r="HF10" s="939" t="s">
        <v>74</v>
      </c>
      <c r="HG10" s="940" t="s">
        <v>74</v>
      </c>
      <c r="HH10" s="940" t="s">
        <v>74</v>
      </c>
      <c r="HI10" s="939"/>
      <c r="HJ10" s="939"/>
      <c r="HK10" s="939"/>
      <c r="HL10" s="940" t="s">
        <v>74</v>
      </c>
      <c r="HM10" s="939"/>
      <c r="HN10" s="940" t="s">
        <v>74</v>
      </c>
      <c r="HO10" s="980" t="s">
        <v>74</v>
      </c>
      <c r="HP10" s="939" t="s">
        <v>74</v>
      </c>
      <c r="HQ10" s="939"/>
      <c r="HR10" s="939"/>
      <c r="HS10" s="939"/>
      <c r="HT10" s="939"/>
      <c r="HU10" s="939" t="s">
        <v>2719</v>
      </c>
      <c r="HV10" s="939" t="s">
        <v>74</v>
      </c>
      <c r="HW10" s="939"/>
      <c r="HX10" s="990"/>
      <c r="HY10" s="1012"/>
      <c r="HZ10" s="1012"/>
      <c r="IA10" s="939" t="s">
        <v>74</v>
      </c>
      <c r="IB10" s="1012"/>
      <c r="IC10" s="1013"/>
      <c r="ID10" s="1013"/>
      <c r="IE10" s="1012"/>
      <c r="IF10" s="1012"/>
      <c r="IG10" s="939" t="s">
        <v>74</v>
      </c>
      <c r="IH10" s="1012"/>
      <c r="II10" s="1012"/>
      <c r="IJ10" s="939" t="s">
        <v>74</v>
      </c>
      <c r="IK10" s="1012"/>
      <c r="IL10" s="939" t="s">
        <v>74</v>
      </c>
      <c r="IM10" s="939" t="s">
        <v>74</v>
      </c>
      <c r="IN10" s="1012"/>
      <c r="IO10" s="1012"/>
      <c r="IP10" s="1013"/>
      <c r="IQ10" s="1013"/>
      <c r="IR10" s="1012"/>
      <c r="IS10" s="1012"/>
      <c r="IT10" s="1012"/>
      <c r="IU10" s="1012"/>
      <c r="IV10" s="1012"/>
      <c r="IW10" s="929"/>
      <c r="IX10" s="929" t="str">
        <f>IF(ISNUMBER(SEARCH($A10,VLOOKUP(IX$2,职业列表!$B$1:$G$370,6,0))),"★","")</f>
        <v/>
      </c>
      <c r="IY10" s="929" t="str">
        <f>IF(ISNUMBER(SEARCH($A10,VLOOKUP(IY$2,职业列表!$B$1:$G$370,6,0))),"★","")</f>
        <v/>
      </c>
      <c r="IZ10" s="929" t="str">
        <f>IF(ISNUMBER(SEARCH($A10,VLOOKUP(IZ$2,职业列表!$B$1:$G$370,6,0))),"★","")</f>
        <v/>
      </c>
      <c r="JA10" s="929" t="str">
        <f>IF(ISNUMBER(SEARCH($A10,VLOOKUP(JA$2,职业列表!$B$1:$G$370,6,0))),"★","")</f>
        <v/>
      </c>
      <c r="JB10" s="929" t="str">
        <f>IF(ISNUMBER(SEARCH($A10,VLOOKUP(JB$2,职业列表!$B$1:$G$370,6,0))),"★","")</f>
        <v/>
      </c>
      <c r="JC10" s="929" t="str">
        <f>IF(ISNUMBER(SEARCH($A10,VLOOKUP(JC$2,职业列表!$B$1:$G$370,6,0))),"★","")</f>
        <v/>
      </c>
      <c r="JD10" s="929" t="str">
        <f>IF(ISNUMBER(SEARCH($A10,VLOOKUP(JD$2,职业列表!$B$1:$G$370,6,0))),"★","")</f>
        <v/>
      </c>
      <c r="JE10" s="929" t="str">
        <f>IF(ISNUMBER(SEARCH($A10,VLOOKUP(JE$2,职业列表!$B$1:$G$370,6,0))),"★","")</f>
        <v/>
      </c>
      <c r="JF10" s="929" t="str">
        <f>IF(ISNUMBER(SEARCH($A10,VLOOKUP(JF$2,职业列表!$B$1:$G$370,6,0))),"★","")</f>
        <v/>
      </c>
      <c r="JG10" s="929" t="str">
        <f>IF(ISNUMBER(SEARCH($A10,VLOOKUP(JG$2,职业列表!$B$1:$G$370,6,0))),"★","")</f>
        <v/>
      </c>
      <c r="JH10" s="929" t="str">
        <f>IF(ISNUMBER(SEARCH($A10,VLOOKUP(JH$2,职业列表!$B$1:$G$370,6,0))),"★","")</f>
        <v/>
      </c>
      <c r="JI10" s="929" t="str">
        <f>IF(ISNUMBER(SEARCH($A10,VLOOKUP(JI$2,职业列表!$B$1:$G$370,6,0))),"★","")</f>
        <v/>
      </c>
      <c r="JJ10" s="929" t="str">
        <f>IF(ISNUMBER(SEARCH($A10,VLOOKUP(JJ$2,职业列表!$B$1:$G$370,6,0))),"★","")</f>
        <v/>
      </c>
      <c r="JK10" s="929" t="str">
        <f>IF(ISNUMBER(SEARCH($A10,VLOOKUP(JK$2,职业列表!$B$1:$G$370,6,0))),"★","")</f>
        <v>★</v>
      </c>
      <c r="JL10" s="929" t="str">
        <f>IF(ISNUMBER(SEARCH($A10,VLOOKUP(JL$2,职业列表!$B$1:$G$370,6,0))),"★","")</f>
        <v/>
      </c>
      <c r="JM10" s="929" t="str">
        <f>IF(ISNUMBER(SEARCH($A10,VLOOKUP(JM$2,职业列表!$B$1:$G$370,6,0))),"★","")</f>
        <v/>
      </c>
      <c r="JN10" s="929" t="str">
        <f>IF(ISNUMBER(SEARCH($A10,VLOOKUP(JN$2,职业列表!$B$1:$G$370,6,0))),"★","")</f>
        <v/>
      </c>
      <c r="JO10" s="929" t="str">
        <f>IF(ISNUMBER(SEARCH($A10,VLOOKUP(JO$2,职业列表!$B$1:$G$370,6,0))),"★","")</f>
        <v/>
      </c>
      <c r="JP10" s="929" t="str">
        <f>IF(ISNUMBER(SEARCH($A10,VLOOKUP(JP$2,职业列表!$B$1:$G$370,6,0))),"★","")</f>
        <v>★</v>
      </c>
      <c r="JQ10" s="929" t="str">
        <f>IF(ISNUMBER(SEARCH($A10,VLOOKUP(JQ$2,职业列表!$B$1:$G$370,6,0))),"★","")</f>
        <v/>
      </c>
      <c r="JR10" s="929" t="str">
        <f>IF(ISNUMBER(SEARCH($A10,VLOOKUP(JR$2,职业列表!$B$1:$G$370,6,0))),"★","")</f>
        <v/>
      </c>
      <c r="JS10" s="929" t="str">
        <f>IF(ISNUMBER(SEARCH($A10,VLOOKUP(JS$2,职业列表!$B$1:$G$370,6,0))),"★","")</f>
        <v/>
      </c>
      <c r="JT10" s="929" t="str">
        <f>IF(ISNUMBER(SEARCH($A10,VLOOKUP(JT$2,职业列表!$B$1:$G$370,6,0))),"★","")</f>
        <v/>
      </c>
      <c r="JU10" s="929" t="str">
        <f>IF(ISNUMBER(SEARCH($A10,VLOOKUP(JU$2,职业列表!$B$1:$G$370,6,0))),"★","")</f>
        <v/>
      </c>
      <c r="JV10" s="929" t="str">
        <f>IF(ISNUMBER(SEARCH($A10,VLOOKUP(JV$2,职业列表!$B$1:$G$370,6,0))),"★","")</f>
        <v/>
      </c>
      <c r="JW10" s="929" t="str">
        <f>IF(ISNUMBER(SEARCH($A10,VLOOKUP(JW$2,职业列表!$B$1:$G$370,6,0))),"★","")</f>
        <v/>
      </c>
      <c r="JX10" s="929" t="str">
        <f>IF(ISNUMBER(SEARCH($A10,VLOOKUP(JX$2,职业列表!$B$1:$G$370,6,0))),"★","")</f>
        <v/>
      </c>
      <c r="JY10" s="929" t="str">
        <f>IF(ISNUMBER(SEARCH($A10,VLOOKUP(JY$2,职业列表!$B$1:$G$370,6,0))),"★","")</f>
        <v/>
      </c>
      <c r="JZ10" s="929" t="str">
        <f>IF(ISNUMBER(SEARCH($A10,VLOOKUP(JZ$2,职业列表!$B$1:$G$370,6,0))),"★","")</f>
        <v/>
      </c>
      <c r="KA10" s="929" t="str">
        <f>IF(ISNUMBER(SEARCH($A10,VLOOKUP(KA$2,职业列表!$B$1:$G$370,6,0))),"★","")</f>
        <v>★</v>
      </c>
      <c r="KB10" s="929" t="str">
        <f>IF(ISNUMBER(SEARCH($A10,VLOOKUP(KB$2,职业列表!$B$1:$G$370,6,0))),"★","")</f>
        <v/>
      </c>
      <c r="KC10" s="929" t="str">
        <f>IF(ISNUMBER(SEARCH($A10,VLOOKUP(KC$2,职业列表!$B$1:$G$370,6,0))),"★","")</f>
        <v/>
      </c>
      <c r="KD10" s="929" t="str">
        <f>IF(ISNUMBER(SEARCH($A10,VLOOKUP(KD$2,职业列表!$B$1:$G$370,6,0))),"★","")</f>
        <v/>
      </c>
      <c r="KE10" s="929" t="str">
        <f>IF(ISNUMBER(SEARCH($A10,VLOOKUP(KE$2,职业列表!$B$1:$G$370,6,0))),"★","")</f>
        <v/>
      </c>
      <c r="KF10" s="929" t="str">
        <f>IF(ISNUMBER(SEARCH($A10,VLOOKUP(KF$2,职业列表!$B$1:$G$370,6,0))),"★","")</f>
        <v/>
      </c>
      <c r="KG10" s="929" t="str">
        <f>IF(ISNUMBER(SEARCH($A10,VLOOKUP(KG$2,职业列表!$B$1:$G$370,6,0))),"★","")</f>
        <v/>
      </c>
      <c r="KH10" s="929" t="str">
        <f>IF(ISNUMBER(SEARCH($A10,VLOOKUP(KH$2,职业列表!$B$1:$G$370,6,0))),"★","")</f>
        <v/>
      </c>
      <c r="KI10" s="929" t="str">
        <f>IF(ISNUMBER(SEARCH($A10,VLOOKUP(KI$2,职业列表!$B$1:$G$370,6,0))),"★","")</f>
        <v/>
      </c>
      <c r="KJ10" s="929" t="str">
        <f>IF(ISNUMBER(SEARCH($A10,VLOOKUP(KJ$2,职业列表!$B$1:$G$370,6,0))),"★","")</f>
        <v/>
      </c>
      <c r="KK10" s="929" t="str">
        <f>IF(ISNUMBER(SEARCH($A10,VLOOKUP(KK$2,职业列表!$B$1:$G$370,6,0))),"★","")</f>
        <v/>
      </c>
      <c r="KL10" s="929" t="str">
        <f>IF(ISNUMBER(SEARCH($A10,VLOOKUP(KL$2,职业列表!$B$1:$G$370,6,0))),"★","")</f>
        <v/>
      </c>
      <c r="KM10" s="929" t="str">
        <f>IF(ISNUMBER(SEARCH($A10,VLOOKUP(KM$2,职业列表!$B$1:$G$370,6,0))),"★","")</f>
        <v/>
      </c>
      <c r="KN10" s="929" t="str">
        <f>IF(ISNUMBER(SEARCH($A10,VLOOKUP(KN$2,职业列表!$B$1:$G$370,6,0))),"★","")</f>
        <v/>
      </c>
      <c r="KO10" s="929" t="str">
        <f>IF(ISNUMBER(SEARCH($A10,VLOOKUP(KO$2,职业列表!$B$1:$G$370,6,0))),"★","")</f>
        <v/>
      </c>
      <c r="KP10" s="929" t="str">
        <f>IF(ISNUMBER(SEARCH($A10,VLOOKUP(KP$2,职业列表!$B$1:$G$370,6,0))),"★","")</f>
        <v/>
      </c>
      <c r="KQ10" s="929" t="str">
        <f>IF(ISNUMBER(SEARCH($A10,VLOOKUP(KQ$2,职业列表!$B$1:$G$370,6,0))),"★","")</f>
        <v/>
      </c>
      <c r="KR10" s="929" t="str">
        <f>IF(ISNUMBER(SEARCH($A10,VLOOKUP(KR$2,职业列表!$B$1:$G$370,6,0))),"★","")</f>
        <v/>
      </c>
      <c r="KS10" s="929" t="str">
        <f>IF(ISNUMBER(SEARCH($A10,VLOOKUP(KS$2,职业列表!$B$1:$G$370,6,0))),"★","")</f>
        <v/>
      </c>
      <c r="KT10" s="929" t="str">
        <f>IF(ISNUMBER(SEARCH($A10,VLOOKUP(KT$2,职业列表!$B$1:$G$370,6,0))),"★","")</f>
        <v/>
      </c>
      <c r="KU10" s="929" t="str">
        <f>IF(ISNUMBER(SEARCH($A10,VLOOKUP(KU$2,职业列表!$B$1:$G$370,6,0))),"★","")</f>
        <v/>
      </c>
      <c r="KV10" s="929" t="str">
        <f>IF(ISNUMBER(SEARCH($A10,VLOOKUP(KV$2,职业列表!$B$1:$G$370,6,0))),"★","")</f>
        <v/>
      </c>
      <c r="KW10" s="929" t="str">
        <f>IF(ISNUMBER(SEARCH($A10,VLOOKUP(KW$2,职业列表!$B$1:$G$370,6,0))),"★","")</f>
        <v/>
      </c>
      <c r="KX10" s="929" t="str">
        <f>IF(ISNUMBER(SEARCH($A10,VLOOKUP(KX$2,职业列表!$B$1:$G$370,6,0))),"★","")</f>
        <v/>
      </c>
      <c r="KY10" s="929" t="str">
        <f>IF(ISNUMBER(SEARCH($A10,VLOOKUP(KY$2,职业列表!$B$1:$G$370,6,0))),"★","")</f>
        <v/>
      </c>
      <c r="KZ10" s="929" t="str">
        <f>IF(ISNUMBER(SEARCH($A10,VLOOKUP(KZ$2,职业列表!$B$1:$G$370,6,0))),"★","")</f>
        <v/>
      </c>
      <c r="LA10" s="929" t="str">
        <f>IF(ISNUMBER(SEARCH($A10,VLOOKUP(LA$2,职业列表!$B$1:$G$370,6,0))),"★","")</f>
        <v>★</v>
      </c>
      <c r="LB10" s="929" t="str">
        <f>IF(ISNUMBER(SEARCH($A10,VLOOKUP(LB$2,职业列表!$B$1:$G$370,6,0))),"★","")</f>
        <v/>
      </c>
      <c r="LC10" s="929" t="str">
        <f>IF(ISNUMBER(SEARCH($A10,VLOOKUP(LC$2,职业列表!$B$1:$G$370,6,0))),"★","")</f>
        <v/>
      </c>
      <c r="LD10" s="929" t="str">
        <f>IF(ISNUMBER(SEARCH($A10,VLOOKUP(LD$2,职业列表!$B$1:$G$370,6,0))),"★","")</f>
        <v/>
      </c>
      <c r="LE10" s="929" t="str">
        <f>IF(ISNUMBER(SEARCH($A10,VLOOKUP(LE$2,职业列表!$B$1:$G$370,6,0))),"★","")</f>
        <v/>
      </c>
      <c r="LF10" s="929" t="str">
        <f>IF(ISNUMBER(SEARCH($A10,VLOOKUP(LF$2,职业列表!$B$1:$G$370,6,0))),"★","")</f>
        <v/>
      </c>
      <c r="LG10" s="929" t="str">
        <f>IF(ISNUMBER(SEARCH($A10,VLOOKUP(LG$2,职业列表!$B$1:$G$370,6,0))),"★","")</f>
        <v/>
      </c>
      <c r="LH10" s="929" t="str">
        <f>IF(ISNUMBER(SEARCH($A10,VLOOKUP(LH$2,职业列表!$B$1:$G$370,6,0))),"★","")</f>
        <v/>
      </c>
      <c r="LI10" s="929" t="str">
        <f>IF(ISNUMBER(SEARCH($A10,VLOOKUP(LI$2,职业列表!$B$1:$G$370,6,0))),"★","")</f>
        <v/>
      </c>
      <c r="LJ10" s="929" t="str">
        <f>IF(ISNUMBER(SEARCH($A10,VLOOKUP(LJ$2,职业列表!$B$1:$G$370,6,0))),"★","")</f>
        <v/>
      </c>
      <c r="LK10" s="929" t="str">
        <f>IF(ISNUMBER(SEARCH($A10,VLOOKUP(LK$2,职业列表!$B$1:$G$370,6,0))),"★","")</f>
        <v/>
      </c>
      <c r="LL10" s="929" t="str">
        <f>IF(ISNUMBER(SEARCH($A10,VLOOKUP(LL$2,职业列表!$B$1:$G$370,6,0))),"★","")</f>
        <v/>
      </c>
      <c r="LM10" s="929" t="str">
        <f>IF(ISNUMBER(SEARCH($A10,VLOOKUP(LM$2,职业列表!$B$1:$G$370,6,0))),"★","")</f>
        <v/>
      </c>
      <c r="LN10" s="929" t="str">
        <f>IF(ISNUMBER(SEARCH($A10,VLOOKUP(LN$2,职业列表!$B$1:$G$370,6,0))),"★","")</f>
        <v/>
      </c>
      <c r="LO10" s="929" t="str">
        <f>IF(ISNUMBER(SEARCH($A10,VLOOKUP(LO$2,职业列表!$B$1:$G$370,6,0))),"★","")</f>
        <v/>
      </c>
      <c r="LP10" s="929" t="str">
        <f>IF(ISNUMBER(SEARCH($A10,VLOOKUP(LP$2,职业列表!$B$1:$G$370,6,0))),"★","")</f>
        <v/>
      </c>
      <c r="LQ10" s="929" t="str">
        <f>IF(ISNUMBER(SEARCH($A10,VLOOKUP(LQ$2,职业列表!$B$1:$G$370,6,0))),"★","")</f>
        <v/>
      </c>
      <c r="LR10" s="929" t="str">
        <f>IF(ISNUMBER(SEARCH($A10,VLOOKUP(LR$2,职业列表!$B$1:$G$370,6,0))),"★","")</f>
        <v/>
      </c>
      <c r="LS10" s="929" t="str">
        <f>IF(ISNUMBER(SEARCH($A10,VLOOKUP(LS$2,职业列表!$B$1:$G$370,6,0))),"★","")</f>
        <v/>
      </c>
      <c r="LT10" s="929" t="str">
        <f>IF(ISNUMBER(SEARCH($A10,VLOOKUP(LT$2,职业列表!$B$1:$G$370,6,0))),"★","")</f>
        <v/>
      </c>
      <c r="LU10" s="929" t="str">
        <f>IF(ISNUMBER(SEARCH($A10,VLOOKUP(LU$2,职业列表!$B$1:$G$370,6,0))),"★","")</f>
        <v/>
      </c>
      <c r="LV10" s="929" t="str">
        <f>IF(ISNUMBER(SEARCH($A10,VLOOKUP(LV$2,职业列表!$B$1:$G$370,6,0))),"★","")</f>
        <v/>
      </c>
      <c r="LW10" s="929" t="str">
        <f>IF(ISNUMBER(SEARCH($A10,VLOOKUP(LW$2,职业列表!$B$1:$G$370,6,0))),"★","")</f>
        <v/>
      </c>
      <c r="LX10" s="929" t="str">
        <f>IF(ISNUMBER(SEARCH($A10,VLOOKUP(LX$2,职业列表!$B$1:$G$370,6,0))),"★","")</f>
        <v/>
      </c>
      <c r="LY10" s="929" t="str">
        <f>IF(ISNUMBER(SEARCH($A10,VLOOKUP(LY$2,职业列表!$B$1:$G$370,6,0))),"★","")</f>
        <v/>
      </c>
      <c r="LZ10" s="929" t="str">
        <f>IF(ISNUMBER(SEARCH($A10,VLOOKUP(LZ$2,职业列表!$B$1:$G$370,6,0))),"★","")</f>
        <v/>
      </c>
      <c r="MA10" s="929" t="str">
        <f>IF(ISNUMBER(SEARCH($A10,VLOOKUP(MA$2,职业列表!$B$1:$G$370,6,0))),"★","")</f>
        <v/>
      </c>
      <c r="MB10" s="929" t="str">
        <f>IF(ISNUMBER(SEARCH($A10,VLOOKUP(MB$2,职业列表!$B$1:$G$370,6,0))),"★","")</f>
        <v/>
      </c>
      <c r="MC10" s="929" t="str">
        <f>IF(ISNUMBER(SEARCH($A10,VLOOKUP(MC$2,职业列表!$B$1:$G$370,6,0))),"★","")</f>
        <v/>
      </c>
      <c r="MD10" s="929" t="str">
        <f>IF(ISNUMBER(SEARCH($A10,VLOOKUP(MD$2,职业列表!$B$1:$G$370,6,0))),"★","")</f>
        <v>★</v>
      </c>
      <c r="ME10" s="929" t="str">
        <f>IF(ISNUMBER(SEARCH($A10,VLOOKUP(ME$2,职业列表!$B$1:$G$370,6,0))),"★","")</f>
        <v/>
      </c>
      <c r="MF10" s="929" t="str">
        <f>IF(ISNUMBER(SEARCH($A10,VLOOKUP(MF$2,职业列表!$B$1:$G$370,6,0))),"★","")</f>
        <v/>
      </c>
      <c r="MG10" s="929" t="str">
        <f>IF(ISNUMBER(SEARCH($A10,VLOOKUP(MG$2,职业列表!$B$1:$G$370,6,0))),"★","")</f>
        <v/>
      </c>
      <c r="MH10" s="929" t="str">
        <f>IF(ISNUMBER(SEARCH($A10,VLOOKUP(MH$2,职业列表!$B$1:$G$370,6,0))),"★","")</f>
        <v/>
      </c>
      <c r="MI10" s="929" t="str">
        <f>IF(ISNUMBER(SEARCH($A10,VLOOKUP(MI$2,职业列表!$B$1:$G$370,6,0))),"★","")</f>
        <v/>
      </c>
      <c r="MJ10" s="929" t="str">
        <f>IF(ISNUMBER(SEARCH($A10,VLOOKUP(MJ$2,职业列表!$B$1:$G$370,6,0))),"★","")</f>
        <v/>
      </c>
      <c r="MK10" s="929" t="str">
        <f>IF(ISNUMBER(SEARCH($A10,VLOOKUP(MK$2,职业列表!$B$1:$G$370,6,0))),"★","")</f>
        <v/>
      </c>
      <c r="ML10" s="929" t="str">
        <f>IF(ISNUMBER(SEARCH($A10,VLOOKUP(ML$2,职业列表!$B$1:$G$370,6,0))),"★","")</f>
        <v/>
      </c>
      <c r="MM10" s="929" t="str">
        <f>IF(ISNUMBER(SEARCH($A10,VLOOKUP(MM$2,职业列表!$B$1:$G$370,6,0))),"★","")</f>
        <v/>
      </c>
      <c r="MN10" s="929" t="str">
        <f>IF(ISNUMBER(SEARCH($A10,VLOOKUP(MN$2,职业列表!$B$1:$G$370,6,0))),"★","")</f>
        <v/>
      </c>
      <c r="MO10" s="929" t="str">
        <f>IF(ISNUMBER(SEARCH($A10,VLOOKUP(MO$2,职业列表!$B$1:$G$370,6,0))),"★","")</f>
        <v/>
      </c>
      <c r="MP10" s="929" t="str">
        <f>IF(ISNUMBER(SEARCH($A10,VLOOKUP(MP$2,职业列表!$B$1:$G$370,6,0))),"★","")</f>
        <v>★</v>
      </c>
      <c r="MQ10" s="929" t="str">
        <f>IF(ISNUMBER(SEARCH($A10,VLOOKUP(MQ$2,职业列表!$B$1:$G$370,6,0))),"★","")</f>
        <v/>
      </c>
      <c r="MR10" s="929" t="str">
        <f>IF(ISNUMBER(SEARCH($A10,VLOOKUP(MR$2,职业列表!$B$1:$G$370,6,0))),"★","")</f>
        <v/>
      </c>
      <c r="MS10" s="929" t="str">
        <f>IF(ISNUMBER(SEARCH($A10,VLOOKUP(MS$2,职业列表!$B$1:$G$370,6,0))),"★","")</f>
        <v/>
      </c>
      <c r="MT10" s="929" t="str">
        <f>IF(ISNUMBER(SEARCH($A10,VLOOKUP(MT$2,职业列表!$B$1:$G$370,6,0))),"★","")</f>
        <v/>
      </c>
      <c r="MU10" s="929" t="str">
        <f>IF(ISNUMBER(SEARCH($A10,VLOOKUP(MU$2,职业列表!$B$1:$G$370,6,0))),"★","")</f>
        <v/>
      </c>
      <c r="MV10" s="929" t="str">
        <f>IF(ISNUMBER(SEARCH($A10,VLOOKUP(MV$2,职业列表!$B$1:$G$370,6,0))),"★","")</f>
        <v/>
      </c>
      <c r="MW10" s="929" t="str">
        <f>IF(ISNUMBER(SEARCH($A10,VLOOKUP(MW$2,职业列表!$B$1:$G$370,6,0))),"★","")</f>
        <v/>
      </c>
      <c r="MX10" s="929" t="str">
        <f>IF(ISNUMBER(SEARCH($A10,VLOOKUP(MX$2,职业列表!$B$1:$G$370,6,0))),"★","")</f>
        <v/>
      </c>
      <c r="MY10" s="929" t="str">
        <f>IF(ISNUMBER(SEARCH($A10,VLOOKUP(MY$2,职业列表!$B$1:$G$370,6,0))),"★","")</f>
        <v/>
      </c>
      <c r="MZ10" s="929" t="str">
        <f>IF(ISNUMBER(SEARCH($A10,VLOOKUP(MZ$2,职业列表!$B$1:$G$370,6,0))),"★","")</f>
        <v/>
      </c>
      <c r="NA10" s="929" t="str">
        <f>IF(ISNUMBER(SEARCH($A10,VLOOKUP(NA$2,职业列表!$B$1:$G$370,6,0))),"★","")</f>
        <v/>
      </c>
      <c r="NB10" s="929" t="str">
        <f>IF(ISNUMBER(SEARCH($A10,VLOOKUP(NB$2,职业列表!$B$1:$G$370,6,0))),"★","")</f>
        <v/>
      </c>
      <c r="NC10" s="929" t="str">
        <f>IF(ISNUMBER(SEARCH($A10,VLOOKUP(NC$2,职业列表!$B$1:$G$370,6,0))),"★","")</f>
        <v/>
      </c>
      <c r="ND10" s="929" t="str">
        <f>IF(ISNUMBER(SEARCH($A10,VLOOKUP(ND$2,职业列表!$B$1:$G$370,6,0))),"★","")</f>
        <v/>
      </c>
      <c r="NE10" s="929" t="str">
        <f>IF(ISNUMBER(SEARCH($A10,VLOOKUP(NE$2,职业列表!$B$1:$G$370,6,0))),"★","")</f>
        <v/>
      </c>
    </row>
    <row r="11" customFormat="1" spans="1:369">
      <c r="A11" s="932" t="s">
        <v>68</v>
      </c>
      <c r="B11" s="939" t="str">
        <f>IF(OR(A11="说服",A11="话术",A11="取悦",A11="恐吓"),"☯",IF(ISNUMBER(SEARCH(A11,VLOOKUP(IX$2,职业列表!$B$1:$G$370,6,0))),"★",""))</f>
        <v/>
      </c>
      <c r="C11" s="939" t="str">
        <f>IF(ISTEXT(IFERROR(VLOOKUP(A11,职业列表!I3:J10,1,FALSE),0)),"★","")</f>
        <v/>
      </c>
      <c r="D11" s="939"/>
      <c r="E11" s="939"/>
      <c r="F11" s="939"/>
      <c r="G11" s="939"/>
      <c r="H11" s="939"/>
      <c r="I11" s="939"/>
      <c r="J11" s="939"/>
      <c r="K11" s="939"/>
      <c r="L11" s="939"/>
      <c r="M11" s="939" t="s">
        <v>74</v>
      </c>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c r="AL11" s="939"/>
      <c r="AM11" s="939"/>
      <c r="AN11" s="939"/>
      <c r="AO11" s="939"/>
      <c r="AP11" s="939"/>
      <c r="AQ11" s="939"/>
      <c r="AR11" s="939"/>
      <c r="AS11" s="939"/>
      <c r="AT11" s="939"/>
      <c r="AU11" s="939"/>
      <c r="AV11" s="939"/>
      <c r="AW11" s="939"/>
      <c r="AX11" s="939"/>
      <c r="AY11" s="939"/>
      <c r="AZ11" s="939"/>
      <c r="BA11" s="939"/>
      <c r="BB11" s="939"/>
      <c r="BC11" s="939"/>
      <c r="BD11" s="939"/>
      <c r="BE11" s="939"/>
      <c r="BF11" s="939"/>
      <c r="BG11" s="939"/>
      <c r="BH11" s="939"/>
      <c r="BI11" s="939"/>
      <c r="BJ11" s="939"/>
      <c r="BK11" s="939"/>
      <c r="BL11" s="939"/>
      <c r="BM11" s="939"/>
      <c r="BN11" s="939"/>
      <c r="BO11" s="939"/>
      <c r="BP11" s="939"/>
      <c r="BQ11" s="939"/>
      <c r="BR11" s="939"/>
      <c r="BS11" s="939"/>
      <c r="BT11" s="939"/>
      <c r="BU11" s="939"/>
      <c r="BV11" s="939"/>
      <c r="BW11" s="939"/>
      <c r="BX11" s="939"/>
      <c r="BY11" s="939"/>
      <c r="BZ11" s="939"/>
      <c r="CA11" s="939"/>
      <c r="CB11" s="939" t="s">
        <v>74</v>
      </c>
      <c r="CC11" s="939"/>
      <c r="CD11" s="939"/>
      <c r="CE11" s="939"/>
      <c r="CF11" s="939"/>
      <c r="CG11" s="939"/>
      <c r="CH11" s="939"/>
      <c r="CI11" s="939"/>
      <c r="CJ11" s="939"/>
      <c r="CK11" s="939"/>
      <c r="CL11" s="939"/>
      <c r="CM11" s="939"/>
      <c r="CN11" s="939"/>
      <c r="CO11" s="939"/>
      <c r="CP11" s="939"/>
      <c r="CQ11" s="939"/>
      <c r="CR11" s="939"/>
      <c r="CS11" s="939"/>
      <c r="CT11" s="939"/>
      <c r="CU11" s="939"/>
      <c r="CV11" s="939"/>
      <c r="CW11" s="939"/>
      <c r="CX11" s="939"/>
      <c r="CY11" s="939"/>
      <c r="CZ11" s="939"/>
      <c r="DA11" s="939"/>
      <c r="DB11" s="939"/>
      <c r="DC11" s="939"/>
      <c r="DD11" s="939"/>
      <c r="DE11" s="939"/>
      <c r="DF11" s="939"/>
      <c r="DG11" s="939"/>
      <c r="DH11" s="939"/>
      <c r="DI11" s="939"/>
      <c r="DJ11" s="939"/>
      <c r="DK11" s="939"/>
      <c r="DL11" s="939"/>
      <c r="DM11" s="939"/>
      <c r="DN11" s="939"/>
      <c r="DO11" s="939"/>
      <c r="DP11" s="939"/>
      <c r="DQ11" s="939"/>
      <c r="DR11" s="939"/>
      <c r="DS11" s="939"/>
      <c r="DT11" s="939"/>
      <c r="DU11" s="939"/>
      <c r="DV11" s="939"/>
      <c r="DW11" s="939"/>
      <c r="DX11" s="939"/>
      <c r="DY11" s="939"/>
      <c r="DZ11" s="939"/>
      <c r="EA11" s="939"/>
      <c r="EB11" s="939"/>
      <c r="EC11" s="939"/>
      <c r="ED11" s="939"/>
      <c r="EE11" s="939"/>
      <c r="EF11" s="939"/>
      <c r="EG11" s="939"/>
      <c r="EH11" s="939"/>
      <c r="EI11" s="939"/>
      <c r="EJ11" s="939"/>
      <c r="EK11" s="939"/>
      <c r="EL11" s="939"/>
      <c r="EM11" s="939"/>
      <c r="EN11" s="939"/>
      <c r="EO11" s="939"/>
      <c r="EP11" s="939"/>
      <c r="EQ11" s="939"/>
      <c r="ER11" s="939"/>
      <c r="ES11" s="939"/>
      <c r="ET11" s="939"/>
      <c r="EU11" s="939"/>
      <c r="EV11" s="939"/>
      <c r="EW11" s="939"/>
      <c r="EX11" s="939"/>
      <c r="EY11" s="939"/>
      <c r="EZ11" s="939"/>
      <c r="FA11" s="939"/>
      <c r="FB11" s="939"/>
      <c r="FC11" s="939"/>
      <c r="FD11" s="939"/>
      <c r="FE11" s="939"/>
      <c r="FF11" s="939"/>
      <c r="FG11" s="939"/>
      <c r="FH11" s="939"/>
      <c r="FI11" s="939"/>
      <c r="FJ11" s="939"/>
      <c r="FK11" s="939"/>
      <c r="FL11" s="939"/>
      <c r="FM11" s="939"/>
      <c r="FN11" s="939"/>
      <c r="FO11" s="939"/>
      <c r="FP11" s="939"/>
      <c r="FQ11" s="939"/>
      <c r="FR11" s="939"/>
      <c r="FS11" s="939"/>
      <c r="FT11" s="939"/>
      <c r="FU11" s="939"/>
      <c r="FV11" s="939"/>
      <c r="FW11" s="939"/>
      <c r="FX11" s="939"/>
      <c r="FY11" s="939"/>
      <c r="FZ11" s="939"/>
      <c r="GA11" s="939"/>
      <c r="GB11" s="939"/>
      <c r="GC11" s="939"/>
      <c r="GD11" s="939"/>
      <c r="GE11" s="939"/>
      <c r="GF11" s="939"/>
      <c r="GG11" s="939"/>
      <c r="GH11" s="939"/>
      <c r="GI11" s="939"/>
      <c r="GJ11" s="939"/>
      <c r="GK11" s="939"/>
      <c r="GL11" s="939"/>
      <c r="GM11" s="939"/>
      <c r="GN11" s="939"/>
      <c r="GO11" s="939"/>
      <c r="GP11" s="939"/>
      <c r="GQ11" s="939"/>
      <c r="GR11" s="939"/>
      <c r="GS11" s="939"/>
      <c r="GT11" s="939"/>
      <c r="GU11" s="939"/>
      <c r="GV11" s="939"/>
      <c r="GW11" s="939"/>
      <c r="GX11" s="939"/>
      <c r="GY11" s="939"/>
      <c r="GZ11" s="939"/>
      <c r="HA11" s="939"/>
      <c r="HB11" s="939"/>
      <c r="HC11" s="939"/>
      <c r="HD11" s="939"/>
      <c r="HE11" s="939"/>
      <c r="HF11" s="939"/>
      <c r="HG11" s="939"/>
      <c r="HH11" s="939"/>
      <c r="HI11" s="939"/>
      <c r="HJ11" s="939"/>
      <c r="HK11" s="939"/>
      <c r="HL11" s="939" t="s">
        <v>74</v>
      </c>
      <c r="HM11" s="939"/>
      <c r="HN11" s="939"/>
      <c r="HO11" s="939"/>
      <c r="HP11" s="939"/>
      <c r="HQ11" s="939"/>
      <c r="HR11" s="939"/>
      <c r="HS11" s="939"/>
      <c r="HT11" s="939"/>
      <c r="HU11" s="939"/>
      <c r="HV11" s="939"/>
      <c r="HW11" s="939"/>
      <c r="HX11" s="990"/>
      <c r="HY11" s="1012"/>
      <c r="HZ11" s="1012"/>
      <c r="IA11" s="1012"/>
      <c r="IB11" s="1012"/>
      <c r="IC11" s="1013"/>
      <c r="ID11" s="1013"/>
      <c r="IE11" s="1012"/>
      <c r="IF11" s="1012"/>
      <c r="IG11" s="1012"/>
      <c r="IH11" s="1012"/>
      <c r="II11" s="1012"/>
      <c r="IJ11" s="1012"/>
      <c r="IK11" s="1012"/>
      <c r="IL11" s="1012"/>
      <c r="IM11" s="1012"/>
      <c r="IN11" s="1012"/>
      <c r="IO11" s="1012"/>
      <c r="IP11" s="1013"/>
      <c r="IQ11" s="1013"/>
      <c r="IR11" s="1012"/>
      <c r="IS11" s="1012"/>
      <c r="IT11" s="1012"/>
      <c r="IU11" s="1012"/>
      <c r="IV11" s="1012"/>
      <c r="IW11" s="929"/>
      <c r="IX11" s="929" t="str">
        <f>IF(ISNUMBER(SEARCH($A11,VLOOKUP(IX$2,职业列表!$B$1:$G$370,6,0))),"★","")</f>
        <v/>
      </c>
      <c r="IY11" s="929" t="str">
        <f>IF(ISNUMBER(SEARCH($A11,VLOOKUP(IY$2,职业列表!$B$1:$G$370,6,0))),"★","")</f>
        <v/>
      </c>
      <c r="IZ11" s="929" t="str">
        <f>IF(ISNUMBER(SEARCH($A11,VLOOKUP(IZ$2,职业列表!$B$1:$G$370,6,0))),"★","")</f>
        <v/>
      </c>
      <c r="JA11" s="929" t="str">
        <f>IF(ISNUMBER(SEARCH($A11,VLOOKUP(JA$2,职业列表!$B$1:$G$370,6,0))),"★","")</f>
        <v/>
      </c>
      <c r="JB11" s="929" t="str">
        <f>IF(ISNUMBER(SEARCH($A11,VLOOKUP(JB$2,职业列表!$B$1:$G$370,6,0))),"★","")</f>
        <v/>
      </c>
      <c r="JC11" s="929" t="str">
        <f>IF(ISNUMBER(SEARCH($A11,VLOOKUP(JC$2,职业列表!$B$1:$G$370,6,0))),"★","")</f>
        <v/>
      </c>
      <c r="JD11" s="929" t="str">
        <f>IF(ISNUMBER(SEARCH($A11,VLOOKUP(JD$2,职业列表!$B$1:$G$370,6,0))),"★","")</f>
        <v/>
      </c>
      <c r="JE11" s="929" t="str">
        <f>IF(ISNUMBER(SEARCH($A11,VLOOKUP(JE$2,职业列表!$B$1:$G$370,6,0))),"★","")</f>
        <v/>
      </c>
      <c r="JF11" s="929" t="str">
        <f>IF(ISNUMBER(SEARCH($A11,VLOOKUP(JF$2,职业列表!$B$1:$G$370,6,0))),"★","")</f>
        <v/>
      </c>
      <c r="JG11" s="929" t="str">
        <f>IF(ISNUMBER(SEARCH($A11,VLOOKUP(JG$2,职业列表!$B$1:$G$370,6,0))),"★","")</f>
        <v/>
      </c>
      <c r="JH11" s="929" t="str">
        <f>IF(ISNUMBER(SEARCH($A11,VLOOKUP(JH$2,职业列表!$B$1:$G$370,6,0))),"★","")</f>
        <v/>
      </c>
      <c r="JI11" s="929" t="str">
        <f>IF(ISNUMBER(SEARCH($A11,VLOOKUP(JI$2,职业列表!$B$1:$G$370,6,0))),"★","")</f>
        <v/>
      </c>
      <c r="JJ11" s="929" t="str">
        <f>IF(ISNUMBER(SEARCH($A11,VLOOKUP(JJ$2,职业列表!$B$1:$G$370,6,0))),"★","")</f>
        <v/>
      </c>
      <c r="JK11" s="929" t="str">
        <f>IF(ISNUMBER(SEARCH($A11,VLOOKUP(JK$2,职业列表!$B$1:$G$370,6,0))),"★","")</f>
        <v/>
      </c>
      <c r="JL11" s="929" t="str">
        <f>IF(ISNUMBER(SEARCH($A11,VLOOKUP(JL$2,职业列表!$B$1:$G$370,6,0))),"★","")</f>
        <v/>
      </c>
      <c r="JM11" s="929" t="str">
        <f>IF(ISNUMBER(SEARCH($A11,VLOOKUP(JM$2,职业列表!$B$1:$G$370,6,0))),"★","")</f>
        <v/>
      </c>
      <c r="JN11" s="929" t="str">
        <f>IF(ISNUMBER(SEARCH($A11,VLOOKUP(JN$2,职业列表!$B$1:$G$370,6,0))),"★","")</f>
        <v/>
      </c>
      <c r="JO11" s="929" t="str">
        <f>IF(ISNUMBER(SEARCH($A11,VLOOKUP(JO$2,职业列表!$B$1:$G$370,6,0))),"★","")</f>
        <v/>
      </c>
      <c r="JP11" s="929" t="str">
        <f>IF(ISNUMBER(SEARCH($A11,VLOOKUP(JP$2,职业列表!$B$1:$G$370,6,0))),"★","")</f>
        <v/>
      </c>
      <c r="JQ11" s="929" t="str">
        <f>IF(ISNUMBER(SEARCH($A11,VLOOKUP(JQ$2,职业列表!$B$1:$G$370,6,0))),"★","")</f>
        <v/>
      </c>
      <c r="JR11" s="929" t="str">
        <f>IF(ISNUMBER(SEARCH($A11,VLOOKUP(JR$2,职业列表!$B$1:$G$370,6,0))),"★","")</f>
        <v/>
      </c>
      <c r="JS11" s="929" t="str">
        <f>IF(ISNUMBER(SEARCH($A11,VLOOKUP(JS$2,职业列表!$B$1:$G$370,6,0))),"★","")</f>
        <v/>
      </c>
      <c r="JT11" s="929" t="str">
        <f>IF(ISNUMBER(SEARCH($A11,VLOOKUP(JT$2,职业列表!$B$1:$G$370,6,0))),"★","")</f>
        <v/>
      </c>
      <c r="JU11" s="929" t="str">
        <f>IF(ISNUMBER(SEARCH($A11,VLOOKUP(JU$2,职业列表!$B$1:$G$370,6,0))),"★","")</f>
        <v/>
      </c>
      <c r="JV11" s="929" t="str">
        <f>IF(ISNUMBER(SEARCH($A11,VLOOKUP(JV$2,职业列表!$B$1:$G$370,6,0))),"★","")</f>
        <v/>
      </c>
      <c r="JW11" s="929" t="str">
        <f>IF(ISNUMBER(SEARCH($A11,VLOOKUP(JW$2,职业列表!$B$1:$G$370,6,0))),"★","")</f>
        <v/>
      </c>
      <c r="JX11" s="929" t="str">
        <f>IF(ISNUMBER(SEARCH($A11,VLOOKUP(JX$2,职业列表!$B$1:$G$370,6,0))),"★","")</f>
        <v/>
      </c>
      <c r="JY11" s="929" t="str">
        <f>IF(ISNUMBER(SEARCH($A11,VLOOKUP(JY$2,职业列表!$B$1:$G$370,6,0))),"★","")</f>
        <v/>
      </c>
      <c r="JZ11" s="929" t="str">
        <f>IF(ISNUMBER(SEARCH($A11,VLOOKUP(JZ$2,职业列表!$B$1:$G$370,6,0))),"★","")</f>
        <v/>
      </c>
      <c r="KA11" s="929" t="str">
        <f>IF(ISNUMBER(SEARCH($A11,VLOOKUP(KA$2,职业列表!$B$1:$G$370,6,0))),"★","")</f>
        <v/>
      </c>
      <c r="KB11" s="929" t="str">
        <f>IF(ISNUMBER(SEARCH($A11,VLOOKUP(KB$2,职业列表!$B$1:$G$370,6,0))),"★","")</f>
        <v/>
      </c>
      <c r="KC11" s="929" t="str">
        <f>IF(ISNUMBER(SEARCH($A11,VLOOKUP(KC$2,职业列表!$B$1:$G$370,6,0))),"★","")</f>
        <v/>
      </c>
      <c r="KD11" s="929" t="str">
        <f>IF(ISNUMBER(SEARCH($A11,VLOOKUP(KD$2,职业列表!$B$1:$G$370,6,0))),"★","")</f>
        <v/>
      </c>
      <c r="KE11" s="929" t="str">
        <f>IF(ISNUMBER(SEARCH($A11,VLOOKUP(KE$2,职业列表!$B$1:$G$370,6,0))),"★","")</f>
        <v/>
      </c>
      <c r="KF11" s="929" t="str">
        <f>IF(ISNUMBER(SEARCH($A11,VLOOKUP(KF$2,职业列表!$B$1:$G$370,6,0))),"★","")</f>
        <v>★</v>
      </c>
      <c r="KG11" s="929" t="str">
        <f>IF(ISNUMBER(SEARCH($A11,VLOOKUP(KG$2,职业列表!$B$1:$G$370,6,0))),"★","")</f>
        <v/>
      </c>
      <c r="KH11" s="929" t="str">
        <f>IF(ISNUMBER(SEARCH($A11,VLOOKUP(KH$2,职业列表!$B$1:$G$370,6,0))),"★","")</f>
        <v/>
      </c>
      <c r="KI11" s="929" t="str">
        <f>IF(ISNUMBER(SEARCH($A11,VLOOKUP(KI$2,职业列表!$B$1:$G$370,6,0))),"★","")</f>
        <v/>
      </c>
      <c r="KJ11" s="929" t="str">
        <f>IF(ISNUMBER(SEARCH($A11,VLOOKUP(KJ$2,职业列表!$B$1:$G$370,6,0))),"★","")</f>
        <v/>
      </c>
      <c r="KK11" s="929" t="str">
        <f>IF(ISNUMBER(SEARCH($A11,VLOOKUP(KK$2,职业列表!$B$1:$G$370,6,0))),"★","")</f>
        <v/>
      </c>
      <c r="KL11" s="929" t="str">
        <f>IF(ISNUMBER(SEARCH($A11,VLOOKUP(KL$2,职业列表!$B$1:$G$370,6,0))),"★","")</f>
        <v/>
      </c>
      <c r="KM11" s="929" t="str">
        <f>IF(ISNUMBER(SEARCH($A11,VLOOKUP(KM$2,职业列表!$B$1:$G$370,6,0))),"★","")</f>
        <v/>
      </c>
      <c r="KN11" s="929" t="str">
        <f>IF(ISNUMBER(SEARCH($A11,VLOOKUP(KN$2,职业列表!$B$1:$G$370,6,0))),"★","")</f>
        <v/>
      </c>
      <c r="KO11" s="929" t="str">
        <f>IF(ISNUMBER(SEARCH($A11,VLOOKUP(KO$2,职业列表!$B$1:$G$370,6,0))),"★","")</f>
        <v/>
      </c>
      <c r="KP11" s="929" t="str">
        <f>IF(ISNUMBER(SEARCH($A11,VLOOKUP(KP$2,职业列表!$B$1:$G$370,6,0))),"★","")</f>
        <v/>
      </c>
      <c r="KQ11" s="929" t="str">
        <f>IF(ISNUMBER(SEARCH($A11,VLOOKUP(KQ$2,职业列表!$B$1:$G$370,6,0))),"★","")</f>
        <v/>
      </c>
      <c r="KR11" s="929" t="str">
        <f>IF(ISNUMBER(SEARCH($A11,VLOOKUP(KR$2,职业列表!$B$1:$G$370,6,0))),"★","")</f>
        <v/>
      </c>
      <c r="KS11" s="929" t="str">
        <f>IF(ISNUMBER(SEARCH($A11,VLOOKUP(KS$2,职业列表!$B$1:$G$370,6,0))),"★","")</f>
        <v/>
      </c>
      <c r="KT11" s="929" t="str">
        <f>IF(ISNUMBER(SEARCH($A11,VLOOKUP(KT$2,职业列表!$B$1:$G$370,6,0))),"★","")</f>
        <v/>
      </c>
      <c r="KU11" s="929" t="str">
        <f>IF(ISNUMBER(SEARCH($A11,VLOOKUP(KU$2,职业列表!$B$1:$G$370,6,0))),"★","")</f>
        <v/>
      </c>
      <c r="KV11" s="929" t="str">
        <f>IF(ISNUMBER(SEARCH($A11,VLOOKUP(KV$2,职业列表!$B$1:$G$370,6,0))),"★","")</f>
        <v/>
      </c>
      <c r="KW11" s="929" t="str">
        <f>IF(ISNUMBER(SEARCH($A11,VLOOKUP(KW$2,职业列表!$B$1:$G$370,6,0))),"★","")</f>
        <v/>
      </c>
      <c r="KX11" s="929" t="str">
        <f>IF(ISNUMBER(SEARCH($A11,VLOOKUP(KX$2,职业列表!$B$1:$G$370,6,0))),"★","")</f>
        <v/>
      </c>
      <c r="KY11" s="929" t="str">
        <f>IF(ISNUMBER(SEARCH($A11,VLOOKUP(KY$2,职业列表!$B$1:$G$370,6,0))),"★","")</f>
        <v/>
      </c>
      <c r="KZ11" s="929" t="str">
        <f>IF(ISNUMBER(SEARCH($A11,VLOOKUP(KZ$2,职业列表!$B$1:$G$370,6,0))),"★","")</f>
        <v/>
      </c>
      <c r="LA11" s="929" t="str">
        <f>IF(ISNUMBER(SEARCH($A11,VLOOKUP(LA$2,职业列表!$B$1:$G$370,6,0))),"★","")</f>
        <v/>
      </c>
      <c r="LB11" s="929" t="str">
        <f>IF(ISNUMBER(SEARCH($A11,VLOOKUP(LB$2,职业列表!$B$1:$G$370,6,0))),"★","")</f>
        <v/>
      </c>
      <c r="LC11" s="929" t="str">
        <f>IF(ISNUMBER(SEARCH($A11,VLOOKUP(LC$2,职业列表!$B$1:$G$370,6,0))),"★","")</f>
        <v/>
      </c>
      <c r="LD11" s="929" t="str">
        <f>IF(ISNUMBER(SEARCH($A11,VLOOKUP(LD$2,职业列表!$B$1:$G$370,6,0))),"★","")</f>
        <v/>
      </c>
      <c r="LE11" s="929" t="str">
        <f>IF(ISNUMBER(SEARCH($A11,VLOOKUP(LE$2,职业列表!$B$1:$G$370,6,0))),"★","")</f>
        <v/>
      </c>
      <c r="LF11" s="929" t="str">
        <f>IF(ISNUMBER(SEARCH($A11,VLOOKUP(LF$2,职业列表!$B$1:$G$370,6,0))),"★","")</f>
        <v/>
      </c>
      <c r="LG11" s="929" t="str">
        <f>IF(ISNUMBER(SEARCH($A11,VLOOKUP(LG$2,职业列表!$B$1:$G$370,6,0))),"★","")</f>
        <v/>
      </c>
      <c r="LH11" s="929" t="str">
        <f>IF(ISNUMBER(SEARCH($A11,VLOOKUP(LH$2,职业列表!$B$1:$G$370,6,0))),"★","")</f>
        <v/>
      </c>
      <c r="LI11" s="929" t="str">
        <f>IF(ISNUMBER(SEARCH($A11,VLOOKUP(LI$2,职业列表!$B$1:$G$370,6,0))),"★","")</f>
        <v/>
      </c>
      <c r="LJ11" s="929" t="str">
        <f>IF(ISNUMBER(SEARCH($A11,VLOOKUP(LJ$2,职业列表!$B$1:$G$370,6,0))),"★","")</f>
        <v/>
      </c>
      <c r="LK11" s="929" t="str">
        <f>IF(ISNUMBER(SEARCH($A11,VLOOKUP(LK$2,职业列表!$B$1:$G$370,6,0))),"★","")</f>
        <v/>
      </c>
      <c r="LL11" s="929" t="str">
        <f>IF(ISNUMBER(SEARCH($A11,VLOOKUP(LL$2,职业列表!$B$1:$G$370,6,0))),"★","")</f>
        <v/>
      </c>
      <c r="LM11" s="929" t="str">
        <f>IF(ISNUMBER(SEARCH($A11,VLOOKUP(LM$2,职业列表!$B$1:$G$370,6,0))),"★","")</f>
        <v/>
      </c>
      <c r="LN11" s="929" t="str">
        <f>IF(ISNUMBER(SEARCH($A11,VLOOKUP(LN$2,职业列表!$B$1:$G$370,6,0))),"★","")</f>
        <v/>
      </c>
      <c r="LO11" s="929" t="str">
        <f>IF(ISNUMBER(SEARCH($A11,VLOOKUP(LO$2,职业列表!$B$1:$G$370,6,0))),"★","")</f>
        <v/>
      </c>
      <c r="LP11" s="929" t="str">
        <f>IF(ISNUMBER(SEARCH($A11,VLOOKUP(LP$2,职业列表!$B$1:$G$370,6,0))),"★","")</f>
        <v/>
      </c>
      <c r="LQ11" s="929" t="str">
        <f>IF(ISNUMBER(SEARCH($A11,VLOOKUP(LQ$2,职业列表!$B$1:$G$370,6,0))),"★","")</f>
        <v/>
      </c>
      <c r="LR11" s="929" t="str">
        <f>IF(ISNUMBER(SEARCH($A11,VLOOKUP(LR$2,职业列表!$B$1:$G$370,6,0))),"★","")</f>
        <v/>
      </c>
      <c r="LS11" s="929" t="str">
        <f>IF(ISNUMBER(SEARCH($A11,VLOOKUP(LS$2,职业列表!$B$1:$G$370,6,0))),"★","")</f>
        <v/>
      </c>
      <c r="LT11" s="929" t="str">
        <f>IF(ISNUMBER(SEARCH($A11,VLOOKUP(LT$2,职业列表!$B$1:$G$370,6,0))),"★","")</f>
        <v/>
      </c>
      <c r="LU11" s="929" t="str">
        <f>IF(ISNUMBER(SEARCH($A11,VLOOKUP(LU$2,职业列表!$B$1:$G$370,6,0))),"★","")</f>
        <v/>
      </c>
      <c r="LV11" s="929" t="str">
        <f>IF(ISNUMBER(SEARCH($A11,VLOOKUP(LV$2,职业列表!$B$1:$G$370,6,0))),"★","")</f>
        <v/>
      </c>
      <c r="LW11" s="929" t="str">
        <f>IF(ISNUMBER(SEARCH($A11,VLOOKUP(LW$2,职业列表!$B$1:$G$370,6,0))),"★","")</f>
        <v/>
      </c>
      <c r="LX11" s="929" t="str">
        <f>IF(ISNUMBER(SEARCH($A11,VLOOKUP(LX$2,职业列表!$B$1:$G$370,6,0))),"★","")</f>
        <v/>
      </c>
      <c r="LY11" s="929" t="str">
        <f>IF(ISNUMBER(SEARCH($A11,VLOOKUP(LY$2,职业列表!$B$1:$G$370,6,0))),"★","")</f>
        <v/>
      </c>
      <c r="LZ11" s="929" t="str">
        <f>IF(ISNUMBER(SEARCH($A11,VLOOKUP(LZ$2,职业列表!$B$1:$G$370,6,0))),"★","")</f>
        <v/>
      </c>
      <c r="MA11" s="929" t="str">
        <f>IF(ISNUMBER(SEARCH($A11,VLOOKUP(MA$2,职业列表!$B$1:$G$370,6,0))),"★","")</f>
        <v/>
      </c>
      <c r="MB11" s="929" t="str">
        <f>IF(ISNUMBER(SEARCH($A11,VLOOKUP(MB$2,职业列表!$B$1:$G$370,6,0))),"★","")</f>
        <v/>
      </c>
      <c r="MC11" s="929" t="str">
        <f>IF(ISNUMBER(SEARCH($A11,VLOOKUP(MC$2,职业列表!$B$1:$G$370,6,0))),"★","")</f>
        <v/>
      </c>
      <c r="MD11" s="929" t="str">
        <f>IF(ISNUMBER(SEARCH($A11,VLOOKUP(MD$2,职业列表!$B$1:$G$370,6,0))),"★","")</f>
        <v/>
      </c>
      <c r="ME11" s="929" t="str">
        <f>IF(ISNUMBER(SEARCH($A11,VLOOKUP(ME$2,职业列表!$B$1:$G$370,6,0))),"★","")</f>
        <v/>
      </c>
      <c r="MF11" s="929" t="str">
        <f>IF(ISNUMBER(SEARCH($A11,VLOOKUP(MF$2,职业列表!$B$1:$G$370,6,0))),"★","")</f>
        <v/>
      </c>
      <c r="MG11" s="929" t="str">
        <f>IF(ISNUMBER(SEARCH($A11,VLOOKUP(MG$2,职业列表!$B$1:$G$370,6,0))),"★","")</f>
        <v/>
      </c>
      <c r="MH11" s="929" t="str">
        <f>IF(ISNUMBER(SEARCH($A11,VLOOKUP(MH$2,职业列表!$B$1:$G$370,6,0))),"★","")</f>
        <v/>
      </c>
      <c r="MI11" s="929" t="str">
        <f>IF(ISNUMBER(SEARCH($A11,VLOOKUP(MI$2,职业列表!$B$1:$G$370,6,0))),"★","")</f>
        <v/>
      </c>
      <c r="MJ11" s="929" t="str">
        <f>IF(ISNUMBER(SEARCH($A11,VLOOKUP(MJ$2,职业列表!$B$1:$G$370,6,0))),"★","")</f>
        <v/>
      </c>
      <c r="MK11" s="929" t="str">
        <f>IF(ISNUMBER(SEARCH($A11,VLOOKUP(MK$2,职业列表!$B$1:$G$370,6,0))),"★","")</f>
        <v/>
      </c>
      <c r="ML11" s="929" t="str">
        <f>IF(ISNUMBER(SEARCH($A11,VLOOKUP(ML$2,职业列表!$B$1:$G$370,6,0))),"★","")</f>
        <v/>
      </c>
      <c r="MM11" s="929" t="str">
        <f>IF(ISNUMBER(SEARCH($A11,VLOOKUP(MM$2,职业列表!$B$1:$G$370,6,0))),"★","")</f>
        <v/>
      </c>
      <c r="MN11" s="929" t="str">
        <f>IF(ISNUMBER(SEARCH($A11,VLOOKUP(MN$2,职业列表!$B$1:$G$370,6,0))),"★","")</f>
        <v>★</v>
      </c>
      <c r="MO11" s="929" t="str">
        <f>IF(ISNUMBER(SEARCH($A11,VLOOKUP(MO$2,职业列表!$B$1:$G$370,6,0))),"★","")</f>
        <v/>
      </c>
      <c r="MP11" s="929" t="str">
        <f>IF(ISNUMBER(SEARCH($A11,VLOOKUP(MP$2,职业列表!$B$1:$G$370,6,0))),"★","")</f>
        <v/>
      </c>
      <c r="MQ11" s="929" t="str">
        <f>IF(ISNUMBER(SEARCH($A11,VLOOKUP(MQ$2,职业列表!$B$1:$G$370,6,0))),"★","")</f>
        <v/>
      </c>
      <c r="MR11" s="929" t="str">
        <f>IF(ISNUMBER(SEARCH($A11,VLOOKUP(MR$2,职业列表!$B$1:$G$370,6,0))),"★","")</f>
        <v/>
      </c>
      <c r="MS11" s="929" t="str">
        <f>IF(ISNUMBER(SEARCH($A11,VLOOKUP(MS$2,职业列表!$B$1:$G$370,6,0))),"★","")</f>
        <v/>
      </c>
      <c r="MT11" s="929" t="str">
        <f>IF(ISNUMBER(SEARCH($A11,VLOOKUP(MT$2,职业列表!$B$1:$G$370,6,0))),"★","")</f>
        <v/>
      </c>
      <c r="MU11" s="929" t="str">
        <f>IF(ISNUMBER(SEARCH($A11,VLOOKUP(MU$2,职业列表!$B$1:$G$370,6,0))),"★","")</f>
        <v/>
      </c>
      <c r="MV11" s="929" t="str">
        <f>IF(ISNUMBER(SEARCH($A11,VLOOKUP(MV$2,职业列表!$B$1:$G$370,6,0))),"★","")</f>
        <v/>
      </c>
      <c r="MW11" s="929" t="str">
        <f>IF(ISNUMBER(SEARCH($A11,VLOOKUP(MW$2,职业列表!$B$1:$G$370,6,0))),"★","")</f>
        <v/>
      </c>
      <c r="MX11" s="929" t="str">
        <f>IF(ISNUMBER(SEARCH($A11,VLOOKUP(MX$2,职业列表!$B$1:$G$370,6,0))),"★","")</f>
        <v/>
      </c>
      <c r="MY11" s="929" t="str">
        <f>IF(ISNUMBER(SEARCH($A11,VLOOKUP(MY$2,职业列表!$B$1:$G$370,6,0))),"★","")</f>
        <v/>
      </c>
      <c r="MZ11" s="929" t="str">
        <f>IF(ISNUMBER(SEARCH($A11,VLOOKUP(MZ$2,职业列表!$B$1:$G$370,6,0))),"★","")</f>
        <v/>
      </c>
      <c r="NA11" s="929" t="str">
        <f>IF(ISNUMBER(SEARCH($A11,VLOOKUP(NA$2,职业列表!$B$1:$G$370,6,0))),"★","")</f>
        <v>★</v>
      </c>
      <c r="NB11" s="929" t="str">
        <f>IF(ISNUMBER(SEARCH($A11,VLOOKUP(NB$2,职业列表!$B$1:$G$370,6,0))),"★","")</f>
        <v/>
      </c>
      <c r="NC11" s="929" t="str">
        <f>IF(ISNUMBER(SEARCH($A11,VLOOKUP(NC$2,职业列表!$B$1:$G$370,6,0))),"★","")</f>
        <v/>
      </c>
      <c r="ND11" s="929" t="str">
        <f>IF(ISNUMBER(SEARCH($A11,VLOOKUP(ND$2,职业列表!$B$1:$G$370,6,0))),"★","")</f>
        <v/>
      </c>
      <c r="NE11" s="929" t="str">
        <f>IF(ISNUMBER(SEARCH($A11,VLOOKUP(NE$2,职业列表!$B$1:$G$370,6,0))),"★","")</f>
        <v/>
      </c>
    </row>
    <row r="12" customFormat="1" spans="1:369">
      <c r="A12" s="941" t="s">
        <v>70</v>
      </c>
      <c r="B12" s="942" t="str">
        <f>IF(OR(A12="说服",A12="话术",A12="取悦",A12="恐吓"),"☯",IF(ISNUMBER(SEARCH(A12,VLOOKUP(IX$2,职业列表!$B$1:$G$370,6,0))),"★",""))</f>
        <v>★</v>
      </c>
      <c r="C12" s="942" t="str">
        <f>IF(ISTEXT(IFERROR(VLOOKUP(A12,职业列表!I3:J10,1,FALSE),0)),"★","")</f>
        <v/>
      </c>
      <c r="D12" s="942"/>
      <c r="E12" s="942"/>
      <c r="F12" s="942" t="s">
        <v>751</v>
      </c>
      <c r="G12" s="942" t="s">
        <v>751</v>
      </c>
      <c r="H12" s="942"/>
      <c r="I12" s="942"/>
      <c r="J12" s="942"/>
      <c r="K12" s="942" t="s">
        <v>74</v>
      </c>
      <c r="L12" s="942"/>
      <c r="M12" s="942"/>
      <c r="N12" s="942" t="s">
        <v>827</v>
      </c>
      <c r="O12" s="942" t="s">
        <v>74</v>
      </c>
      <c r="P12" s="942"/>
      <c r="Q12" s="942"/>
      <c r="R12" s="942" t="s">
        <v>2720</v>
      </c>
      <c r="S12" s="942"/>
      <c r="T12" s="942"/>
      <c r="U12" s="942"/>
      <c r="V12" s="942"/>
      <c r="W12" s="942"/>
      <c r="X12" s="942" t="s">
        <v>74</v>
      </c>
      <c r="Y12" s="942"/>
      <c r="Z12" s="942"/>
      <c r="AA12" s="942"/>
      <c r="AB12" s="942"/>
      <c r="AC12" s="942" t="s">
        <v>74</v>
      </c>
      <c r="AD12" s="942"/>
      <c r="AE12" s="942"/>
      <c r="AF12" s="942"/>
      <c r="AG12" s="942"/>
      <c r="AH12" s="942" t="s">
        <v>751</v>
      </c>
      <c r="AI12" s="942" t="s">
        <v>2721</v>
      </c>
      <c r="AJ12" s="942" t="s">
        <v>74</v>
      </c>
      <c r="AK12" s="942" t="s">
        <v>764</v>
      </c>
      <c r="AL12" s="942" t="s">
        <v>764</v>
      </c>
      <c r="AM12" s="942"/>
      <c r="AN12" s="942"/>
      <c r="AO12" s="942"/>
      <c r="AP12" s="942"/>
      <c r="AQ12" s="942" t="s">
        <v>760</v>
      </c>
      <c r="AR12" s="942" t="s">
        <v>74</v>
      </c>
      <c r="AS12" s="942"/>
      <c r="AT12" s="942"/>
      <c r="AU12" s="942"/>
      <c r="AV12" s="942"/>
      <c r="AW12" s="942"/>
      <c r="AX12" s="942"/>
      <c r="AY12" s="942"/>
      <c r="AZ12" s="942"/>
      <c r="BA12" s="942" t="s">
        <v>827</v>
      </c>
      <c r="BB12" s="942" t="s">
        <v>2722</v>
      </c>
      <c r="BC12" s="942"/>
      <c r="BD12" s="942" t="s">
        <v>831</v>
      </c>
      <c r="BE12" s="942"/>
      <c r="BF12" s="942"/>
      <c r="BG12" s="942"/>
      <c r="BH12" s="942"/>
      <c r="BI12" s="942" t="s">
        <v>751</v>
      </c>
      <c r="BJ12" s="942"/>
      <c r="BK12" s="942"/>
      <c r="BL12" s="942" t="s">
        <v>74</v>
      </c>
      <c r="BM12" s="942" t="s">
        <v>74</v>
      </c>
      <c r="BN12" s="942"/>
      <c r="BO12" s="969" t="s">
        <v>2723</v>
      </c>
      <c r="BP12" s="942" t="s">
        <v>751</v>
      </c>
      <c r="BQ12" s="942"/>
      <c r="BR12" s="942"/>
      <c r="BS12" s="942"/>
      <c r="BT12" s="942"/>
      <c r="BU12" s="942"/>
      <c r="BV12" s="942"/>
      <c r="BW12" s="942"/>
      <c r="BX12" s="942" t="s">
        <v>74</v>
      </c>
      <c r="BY12" s="942"/>
      <c r="BZ12" s="942" t="s">
        <v>74</v>
      </c>
      <c r="CA12" s="942"/>
      <c r="CB12" s="942"/>
      <c r="CC12" s="942" t="s">
        <v>2724</v>
      </c>
      <c r="CD12" s="942"/>
      <c r="CE12" s="942"/>
      <c r="CF12" s="942"/>
      <c r="CG12" s="942" t="s">
        <v>760</v>
      </c>
      <c r="CH12" s="942"/>
      <c r="CI12" s="942" t="s">
        <v>760</v>
      </c>
      <c r="CJ12" s="942" t="s">
        <v>760</v>
      </c>
      <c r="CK12" s="942"/>
      <c r="CL12" s="942"/>
      <c r="CM12" s="969" t="s">
        <v>2721</v>
      </c>
      <c r="CN12" s="942"/>
      <c r="CO12" s="942" t="s">
        <v>760</v>
      </c>
      <c r="CP12" s="942"/>
      <c r="CQ12" s="942"/>
      <c r="CR12" s="942" t="s">
        <v>74</v>
      </c>
      <c r="CS12" s="942"/>
      <c r="CT12" s="942"/>
      <c r="CU12" s="942"/>
      <c r="CV12" s="942"/>
      <c r="CW12" s="942"/>
      <c r="CX12" s="942"/>
      <c r="CY12" s="942"/>
      <c r="CZ12" s="942"/>
      <c r="DA12" s="942"/>
      <c r="DB12" s="942"/>
      <c r="DC12" s="942" t="s">
        <v>2721</v>
      </c>
      <c r="DD12" s="942"/>
      <c r="DE12" s="942"/>
      <c r="DF12" s="942"/>
      <c r="DG12" s="942"/>
      <c r="DH12" s="942"/>
      <c r="DI12" s="942" t="s">
        <v>74</v>
      </c>
      <c r="DJ12" s="942"/>
      <c r="DK12" s="942"/>
      <c r="DL12" s="942"/>
      <c r="DM12" s="942" t="s">
        <v>2725</v>
      </c>
      <c r="DN12" s="942"/>
      <c r="DO12" s="942"/>
      <c r="DP12" s="942"/>
      <c r="DQ12" s="942"/>
      <c r="DR12" s="942"/>
      <c r="DS12" s="942"/>
      <c r="DT12" s="942"/>
      <c r="DU12" s="942"/>
      <c r="DV12" s="942"/>
      <c r="DW12" s="942"/>
      <c r="DX12" s="942"/>
      <c r="DY12" s="942"/>
      <c r="DZ12" s="942" t="s">
        <v>2720</v>
      </c>
      <c r="EA12" s="942"/>
      <c r="EB12" s="942"/>
      <c r="EC12" s="942"/>
      <c r="ED12" s="942"/>
      <c r="EE12" s="942"/>
      <c r="EF12" s="942"/>
      <c r="EG12" s="942"/>
      <c r="EH12" s="942"/>
      <c r="EI12" s="942"/>
      <c r="EJ12" s="942"/>
      <c r="EK12" s="942" t="s">
        <v>74</v>
      </c>
      <c r="EL12" s="942" t="s">
        <v>760</v>
      </c>
      <c r="EM12" s="942"/>
      <c r="EN12" s="942"/>
      <c r="EO12" s="942" t="s">
        <v>2724</v>
      </c>
      <c r="EP12" s="942"/>
      <c r="EQ12" s="942" t="s">
        <v>751</v>
      </c>
      <c r="ER12" s="942"/>
      <c r="ES12" s="942"/>
      <c r="ET12" s="942"/>
      <c r="EU12" s="942" t="s">
        <v>74</v>
      </c>
      <c r="EV12" s="942"/>
      <c r="EW12" s="942" t="s">
        <v>760</v>
      </c>
      <c r="EX12" s="942"/>
      <c r="EY12" s="942"/>
      <c r="EZ12" s="942" t="s">
        <v>760</v>
      </c>
      <c r="FA12" s="942"/>
      <c r="FB12" s="942"/>
      <c r="FC12" s="942"/>
      <c r="FD12" s="942"/>
      <c r="FE12" s="942" t="s">
        <v>772</v>
      </c>
      <c r="FF12" s="942" t="s">
        <v>772</v>
      </c>
      <c r="FG12" s="942" t="s">
        <v>74</v>
      </c>
      <c r="FH12" s="942"/>
      <c r="FI12" s="942"/>
      <c r="FJ12" s="942" t="s">
        <v>751</v>
      </c>
      <c r="FK12" s="942" t="s">
        <v>772</v>
      </c>
      <c r="FL12" s="942"/>
      <c r="FM12" s="942"/>
      <c r="FN12" s="942"/>
      <c r="FO12" s="942"/>
      <c r="FP12" s="942"/>
      <c r="FQ12" s="942" t="s">
        <v>74</v>
      </c>
      <c r="FR12" s="942" t="s">
        <v>74</v>
      </c>
      <c r="FS12" s="942" t="s">
        <v>843</v>
      </c>
      <c r="FT12" s="942"/>
      <c r="FU12" s="942"/>
      <c r="FV12" s="942"/>
      <c r="FW12" s="942" t="s">
        <v>760</v>
      </c>
      <c r="FX12" s="942"/>
      <c r="FY12" s="942" t="s">
        <v>2722</v>
      </c>
      <c r="FZ12" s="942" t="s">
        <v>760</v>
      </c>
      <c r="GA12" s="942"/>
      <c r="GB12" s="942"/>
      <c r="GC12" s="942"/>
      <c r="GD12" s="942"/>
      <c r="GE12" s="942"/>
      <c r="GF12" s="942"/>
      <c r="GG12" s="942" t="s">
        <v>751</v>
      </c>
      <c r="GH12" s="942" t="s">
        <v>808</v>
      </c>
      <c r="GI12" s="942" t="s">
        <v>751</v>
      </c>
      <c r="GJ12" s="942"/>
      <c r="GK12" s="942" t="s">
        <v>751</v>
      </c>
      <c r="GL12" s="942" t="s">
        <v>751</v>
      </c>
      <c r="GM12" s="942" t="s">
        <v>751</v>
      </c>
      <c r="GN12" s="942" t="s">
        <v>751</v>
      </c>
      <c r="GO12" s="942"/>
      <c r="GP12" s="942" t="s">
        <v>760</v>
      </c>
      <c r="GQ12" s="942" t="s">
        <v>751</v>
      </c>
      <c r="GR12" s="942" t="s">
        <v>843</v>
      </c>
      <c r="GS12" s="942" t="s">
        <v>780</v>
      </c>
      <c r="GT12" s="942"/>
      <c r="GU12" s="942"/>
      <c r="GV12" s="942"/>
      <c r="GW12" s="942"/>
      <c r="GX12" s="942" t="s">
        <v>2726</v>
      </c>
      <c r="GY12" s="969" t="s">
        <v>74</v>
      </c>
      <c r="GZ12" s="969" t="s">
        <v>74</v>
      </c>
      <c r="HA12" s="942"/>
      <c r="HB12" s="969" t="s">
        <v>74</v>
      </c>
      <c r="HC12" s="969" t="s">
        <v>768</v>
      </c>
      <c r="HD12" s="942"/>
      <c r="HE12" s="942"/>
      <c r="HF12" s="942"/>
      <c r="HG12" s="942" t="s">
        <v>74</v>
      </c>
      <c r="HH12" s="942"/>
      <c r="HI12" s="942"/>
      <c r="HJ12" s="942" t="s">
        <v>74</v>
      </c>
      <c r="HK12" s="942"/>
      <c r="HL12" s="942"/>
      <c r="HM12" s="969" t="s">
        <v>760</v>
      </c>
      <c r="HN12" s="981" t="s">
        <v>760</v>
      </c>
      <c r="HO12" s="942" t="s">
        <v>2719</v>
      </c>
      <c r="HP12" s="942"/>
      <c r="HQ12" s="942"/>
      <c r="HR12" s="942"/>
      <c r="HS12" s="942"/>
      <c r="HT12" s="969" t="s">
        <v>74</v>
      </c>
      <c r="HU12" s="969" t="s">
        <v>74</v>
      </c>
      <c r="HV12" s="969" t="s">
        <v>74</v>
      </c>
      <c r="HW12" s="942"/>
      <c r="HX12" s="991"/>
      <c r="HY12" s="1014"/>
      <c r="HZ12" s="1014"/>
      <c r="IA12" s="1014" t="s">
        <v>760</v>
      </c>
      <c r="IB12" s="1014"/>
      <c r="IC12" s="1015" t="s">
        <v>760</v>
      </c>
      <c r="ID12" s="1015"/>
      <c r="IE12" s="1014"/>
      <c r="IF12" s="1014"/>
      <c r="IG12" s="939" t="s">
        <v>74</v>
      </c>
      <c r="IH12" s="1014"/>
      <c r="II12" s="1014"/>
      <c r="IJ12" s="1014"/>
      <c r="IK12" s="1014"/>
      <c r="IL12" s="939" t="s">
        <v>74</v>
      </c>
      <c r="IM12" s="1014"/>
      <c r="IN12" s="1014"/>
      <c r="IO12" s="939" t="s">
        <v>74</v>
      </c>
      <c r="IP12" s="990" t="s">
        <v>74</v>
      </c>
      <c r="IQ12" s="1037" t="s">
        <v>760</v>
      </c>
      <c r="IR12" s="972" t="s">
        <v>74</v>
      </c>
      <c r="IS12" s="972" t="s">
        <v>760</v>
      </c>
      <c r="IT12" s="1014" t="s">
        <v>751</v>
      </c>
      <c r="IU12" s="1014"/>
      <c r="IV12" s="972" t="s">
        <v>74</v>
      </c>
      <c r="IW12" s="972" t="s">
        <v>74</v>
      </c>
      <c r="IX12" s="929" t="str">
        <f>IF(ISNUMBER(SEARCH($A12,VLOOKUP(IX$2,职业列表!$B$1:$G$370,6,0))),"★","")</f>
        <v>★</v>
      </c>
      <c r="IY12" s="929" t="str">
        <f>IF(ISNUMBER(SEARCH($A12,VLOOKUP(IY$2,职业列表!$B$1:$G$370,6,0))),"★","")</f>
        <v/>
      </c>
      <c r="IZ12" s="929" t="str">
        <f>IF(ISNUMBER(SEARCH($A12,VLOOKUP(IZ$2,职业列表!$B$1:$G$370,6,0))),"★","")</f>
        <v/>
      </c>
      <c r="JA12" s="929" t="str">
        <f>IF(ISNUMBER(SEARCH($A12,VLOOKUP(JA$2,职业列表!$B$1:$G$370,6,0))),"★","")</f>
        <v>★</v>
      </c>
      <c r="JB12" s="929" t="s">
        <v>760</v>
      </c>
      <c r="JC12" s="929" t="str">
        <f>IF(ISNUMBER(SEARCH($A12,VLOOKUP(JC$2,职业列表!$B$1:$G$370,6,0))),"★","")</f>
        <v/>
      </c>
      <c r="JD12" s="929" t="str">
        <f>IF(ISNUMBER(SEARCH($A12,VLOOKUP(JD$2,职业列表!$B$1:$G$370,6,0))),"★","")</f>
        <v>★</v>
      </c>
      <c r="JE12" s="929" t="str">
        <f>IF(ISNUMBER(SEARCH($A12,VLOOKUP(JE$2,职业列表!$B$1:$G$370,6,0))),"★","")</f>
        <v>★</v>
      </c>
      <c r="JF12" s="929" t="str">
        <f>IF(ISNUMBER(SEARCH($A12,VLOOKUP(JF$2,职业列表!$B$1:$G$370,6,0))),"★","")</f>
        <v>★</v>
      </c>
      <c r="JG12" s="929" t="str">
        <f>IF(ISNUMBER(SEARCH($A12,VLOOKUP(JG$2,职业列表!$B$1:$G$370,6,0))),"★","")</f>
        <v/>
      </c>
      <c r="JH12" s="929" t="str">
        <f>IF(ISNUMBER(SEARCH($A12,VLOOKUP(JH$2,职业列表!$B$1:$G$370,6,0))),"★","")</f>
        <v/>
      </c>
      <c r="JI12" s="929" t="str">
        <f>IF(ISNUMBER(SEARCH($A12,VLOOKUP(JI$2,职业列表!$B$1:$G$370,6,0))),"★","")</f>
        <v/>
      </c>
      <c r="JJ12" s="929" t="str">
        <f>IF(ISNUMBER(SEARCH($A12,VLOOKUP(JJ$2,职业列表!$B$1:$G$370,6,0))),"★","")</f>
        <v/>
      </c>
      <c r="JK12" s="929" t="str">
        <f>IF(ISNUMBER(SEARCH($A12,VLOOKUP(JK$2,职业列表!$B$1:$G$370,6,0))),"★","")</f>
        <v>★</v>
      </c>
      <c r="JL12" s="929" t="str">
        <f>IF(ISNUMBER(SEARCH($A12,VLOOKUP(JL$2,职业列表!$B$1:$G$370,6,0))),"★","")</f>
        <v/>
      </c>
      <c r="JM12" s="929" t="str">
        <f>IF(ISNUMBER(SEARCH($A12,VLOOKUP(JM$2,职业列表!$B$1:$G$370,6,0))),"★","")</f>
        <v/>
      </c>
      <c r="JN12" s="929" t="str">
        <f>IF(ISNUMBER(SEARCH($A12,VLOOKUP(JN$2,职业列表!$B$1:$G$370,6,0))),"★","")</f>
        <v/>
      </c>
      <c r="JO12" s="929" t="str">
        <f>IF(ISNUMBER(SEARCH($A12,VLOOKUP(JO$2,职业列表!$B$1:$G$370,6,0))),"★","")</f>
        <v/>
      </c>
      <c r="JP12" s="929" t="str">
        <f>IF(ISNUMBER(SEARCH($A12,VLOOKUP(JP$2,职业列表!$B$1:$G$370,6,0))),"★","")</f>
        <v>★</v>
      </c>
      <c r="JQ12" s="929" t="str">
        <f>IF(ISNUMBER(SEARCH($A12,VLOOKUP(JQ$2,职业列表!$B$1:$G$370,6,0))),"★","")</f>
        <v>★</v>
      </c>
      <c r="JR12" s="929" t="str">
        <f>IF(ISNUMBER(SEARCH($A12,VLOOKUP(JR$2,职业列表!$B$1:$G$370,6,0))),"★","")</f>
        <v/>
      </c>
      <c r="JS12" s="929" t="str">
        <f>IF(ISNUMBER(SEARCH($A12,VLOOKUP(JS$2,职业列表!$B$1:$G$370,6,0))),"★","")</f>
        <v>★</v>
      </c>
      <c r="JT12" s="929" t="str">
        <f>IF(ISNUMBER(SEARCH($A12,VLOOKUP(JT$2,职业列表!$B$1:$G$370,6,0))),"★","")</f>
        <v/>
      </c>
      <c r="JU12" s="929" t="str">
        <f>IF(ISNUMBER(SEARCH($A12,VLOOKUP(JU$2,职业列表!$B$1:$G$370,6,0))),"★","")</f>
        <v>★</v>
      </c>
      <c r="JV12" s="929" t="str">
        <f>IF(ISNUMBER(SEARCH($A12,VLOOKUP(JV$2,职业列表!$B$1:$G$370,6,0))),"★","")</f>
        <v/>
      </c>
      <c r="JW12" s="929" t="str">
        <f>IF(ISNUMBER(SEARCH($A12,VLOOKUP(JW$2,职业列表!$B$1:$G$370,6,0))),"★","")</f>
        <v/>
      </c>
      <c r="JX12" s="929" t="str">
        <f>IF(ISNUMBER(SEARCH($A12,VLOOKUP(JX$2,职业列表!$B$1:$G$370,6,0))),"★","")</f>
        <v/>
      </c>
      <c r="JY12" s="929" t="str">
        <f>IF(ISNUMBER(SEARCH($A12,VLOOKUP(JY$2,职业列表!$B$1:$G$370,6,0))),"★","")</f>
        <v/>
      </c>
      <c r="JZ12" s="929" t="str">
        <f>IF(ISNUMBER(SEARCH($A12,VLOOKUP(JZ$2,职业列表!$B$1:$G$370,6,0))),"★","")</f>
        <v/>
      </c>
      <c r="KA12" s="929" t="str">
        <f>IF(ISNUMBER(SEARCH($A12,VLOOKUP(KA$2,职业列表!$B$1:$G$370,6,0))),"★","")</f>
        <v>★</v>
      </c>
      <c r="KB12" s="929" t="s">
        <v>776</v>
      </c>
      <c r="KC12" s="929" t="str">
        <f>IF(ISNUMBER(SEARCH($A12,VLOOKUP(KC$2,职业列表!$B$1:$G$370,6,0))),"★","")</f>
        <v>★</v>
      </c>
      <c r="KD12" s="929" t="str">
        <f>IF(ISNUMBER(SEARCH($A12,VLOOKUP(KD$2,职业列表!$B$1:$G$370,6,0))),"★","")</f>
        <v/>
      </c>
      <c r="KE12" s="929" t="str">
        <f>IF(ISNUMBER(SEARCH($A12,VLOOKUP(KE$2,职业列表!$B$1:$G$370,6,0))),"★","")</f>
        <v>★</v>
      </c>
      <c r="KF12" s="929" t="str">
        <f>IF(ISNUMBER(SEARCH($A12,VLOOKUP(KF$2,职业列表!$B$1:$G$370,6,0))),"★","")</f>
        <v>★</v>
      </c>
      <c r="KG12" s="929" t="str">
        <f>IF(ISNUMBER(SEARCH($A12,VLOOKUP(KG$2,职业列表!$B$1:$G$370,6,0))),"★","")</f>
        <v/>
      </c>
      <c r="KH12" s="929" t="str">
        <f>IF(ISNUMBER(SEARCH($A12,VLOOKUP(KH$2,职业列表!$B$1:$G$370,6,0))),"★","")</f>
        <v/>
      </c>
      <c r="KI12" s="929" t="str">
        <f>IF(ISNUMBER(SEARCH($A12,VLOOKUP(KI$2,职业列表!$B$1:$G$370,6,0))),"★","")</f>
        <v>★</v>
      </c>
      <c r="KJ12" s="929" t="str">
        <f>IF(ISNUMBER(SEARCH($A12,VLOOKUP(KJ$2,职业列表!$B$1:$G$370,6,0))),"★","")</f>
        <v/>
      </c>
      <c r="KK12" s="929" t="str">
        <f>IF(ISNUMBER(SEARCH($A12,VLOOKUP(KK$2,职业列表!$B$1:$G$370,6,0))),"★","")</f>
        <v>★</v>
      </c>
      <c r="KL12" s="929" t="str">
        <f>IF(ISNUMBER(SEARCH($A12,VLOOKUP(KL$2,职业列表!$B$1:$G$370,6,0))),"★","")</f>
        <v/>
      </c>
      <c r="KM12" s="929" t="str">
        <f>IF(ISNUMBER(SEARCH($A12,VLOOKUP(KM$2,职业列表!$B$1:$G$370,6,0))),"★","")</f>
        <v/>
      </c>
      <c r="KN12" s="929" t="str">
        <f>IF(ISNUMBER(SEARCH($A12,VLOOKUP(KN$2,职业列表!$B$1:$G$370,6,0))),"★","")</f>
        <v>★</v>
      </c>
      <c r="KO12" s="929" t="str">
        <f>IF(ISNUMBER(SEARCH($A12,VLOOKUP(KO$2,职业列表!$B$1:$G$370,6,0))),"★","")</f>
        <v>★</v>
      </c>
      <c r="KP12" s="929" t="str">
        <f>IF(ISNUMBER(SEARCH($A12,VLOOKUP(KP$2,职业列表!$B$1:$G$370,6,0))),"★","")</f>
        <v/>
      </c>
      <c r="KQ12" s="929" t="str">
        <f>IF(ISNUMBER(SEARCH($A12,VLOOKUP(KQ$2,职业列表!$B$1:$G$370,6,0))),"★","")</f>
        <v/>
      </c>
      <c r="KR12" s="929" t="str">
        <f>IF(ISNUMBER(SEARCH($A12,VLOOKUP(KR$2,职业列表!$B$1:$G$370,6,0))),"★","")</f>
        <v>★</v>
      </c>
      <c r="KS12" s="929" t="str">
        <f>IF(ISNUMBER(SEARCH($A12,VLOOKUP(KS$2,职业列表!$B$1:$G$370,6,0))),"★","")</f>
        <v/>
      </c>
      <c r="KT12" s="929" t="str">
        <f>IF(ISNUMBER(SEARCH($A12,VLOOKUP(KT$2,职业列表!$B$1:$G$370,6,0))),"★","")</f>
        <v/>
      </c>
      <c r="KU12" s="929" t="str">
        <f>IF(ISNUMBER(SEARCH($A12,VLOOKUP(KU$2,职业列表!$B$1:$G$370,6,0))),"★","")</f>
        <v/>
      </c>
      <c r="KV12" s="929" t="str">
        <f>IF(ISNUMBER(SEARCH($A12,VLOOKUP(KV$2,职业列表!$B$1:$G$370,6,0))),"★","")</f>
        <v/>
      </c>
      <c r="KW12" s="929" t="str">
        <f>IF(ISNUMBER(SEARCH($A12,VLOOKUP(KW$2,职业列表!$B$1:$G$370,6,0))),"★","")</f>
        <v>★</v>
      </c>
      <c r="KX12" s="929" t="str">
        <f>IF(ISNUMBER(SEARCH($A12,VLOOKUP(KX$2,职业列表!$B$1:$G$370,6,0))),"★","")</f>
        <v/>
      </c>
      <c r="KY12" s="929" t="str">
        <f>IF(ISNUMBER(SEARCH($A12,VLOOKUP(KY$2,职业列表!$B$1:$G$370,6,0))),"★","")</f>
        <v>★</v>
      </c>
      <c r="KZ12" s="929" t="str">
        <f>IF(ISNUMBER(SEARCH($A12,VLOOKUP(KZ$2,职业列表!$B$1:$G$370,6,0))),"★","")</f>
        <v/>
      </c>
      <c r="LA12" s="929" t="str">
        <f>IF(ISNUMBER(SEARCH($A12,VLOOKUP(LA$2,职业列表!$B$1:$G$370,6,0))),"★","")</f>
        <v/>
      </c>
      <c r="LB12" s="929" t="str">
        <f>IF(ISNUMBER(SEARCH($A12,VLOOKUP(LB$2,职业列表!$B$1:$G$370,6,0))),"★","")</f>
        <v/>
      </c>
      <c r="LC12" s="929" t="str">
        <f>IF(ISNUMBER(SEARCH($A12,VLOOKUP(LC$2,职业列表!$B$1:$G$370,6,0))),"★","")</f>
        <v/>
      </c>
      <c r="LD12" s="929" t="str">
        <f>IF(ISNUMBER(SEARCH($A12,VLOOKUP(LD$2,职业列表!$B$1:$G$370,6,0))),"★","")</f>
        <v>★</v>
      </c>
      <c r="LE12" s="929" t="str">
        <f>IF(ISNUMBER(SEARCH($A12,VLOOKUP(LE$2,职业列表!$B$1:$G$370,6,0))),"★","")</f>
        <v>★</v>
      </c>
      <c r="LF12" s="929" t="str">
        <f>IF(ISNUMBER(SEARCH($A12,VLOOKUP(LF$2,职业列表!$B$1:$G$370,6,0))),"★","")</f>
        <v/>
      </c>
      <c r="LG12" s="929" t="str">
        <f>IF(ISNUMBER(SEARCH($A12,VLOOKUP(LG$2,职业列表!$B$1:$G$370,6,0))),"★","")</f>
        <v/>
      </c>
      <c r="LH12" s="929" t="str">
        <f>IF(ISNUMBER(SEARCH($A12,VLOOKUP(LH$2,职业列表!$B$1:$G$370,6,0))),"★","")</f>
        <v/>
      </c>
      <c r="LI12" s="929" t="str">
        <f>IF(ISNUMBER(SEARCH($A12,VLOOKUP(LI$2,职业列表!$B$1:$G$370,6,0))),"★","")</f>
        <v/>
      </c>
      <c r="LJ12" s="929" t="str">
        <f>IF(ISNUMBER(SEARCH($A12,VLOOKUP(LJ$2,职业列表!$B$1:$G$370,6,0))),"★","")</f>
        <v/>
      </c>
      <c r="LK12" s="929" t="str">
        <f>IF(ISNUMBER(SEARCH($A12,VLOOKUP(LK$2,职业列表!$B$1:$G$370,6,0))),"★","")</f>
        <v/>
      </c>
      <c r="LL12" s="929" t="str">
        <f>IF(ISNUMBER(SEARCH($A12,VLOOKUP(LL$2,职业列表!$B$1:$G$370,6,0))),"★","")</f>
        <v/>
      </c>
      <c r="LM12" s="929" t="str">
        <f>IF(ISNUMBER(SEARCH($A12,VLOOKUP(LM$2,职业列表!$B$1:$G$370,6,0))),"★","")</f>
        <v/>
      </c>
      <c r="LN12" s="929" t="str">
        <f>IF(ISNUMBER(SEARCH($A12,VLOOKUP(LN$2,职业列表!$B$1:$G$370,6,0))),"★","")</f>
        <v/>
      </c>
      <c r="LO12" s="929" t="str">
        <f>IF(ISNUMBER(SEARCH($A12,VLOOKUP(LO$2,职业列表!$B$1:$G$370,6,0))),"★","")</f>
        <v/>
      </c>
      <c r="LP12" s="929" t="str">
        <f>IF(ISNUMBER(SEARCH($A12,VLOOKUP(LP$2,职业列表!$B$1:$G$370,6,0))),"★","")</f>
        <v/>
      </c>
      <c r="LQ12" s="929" t="str">
        <f>IF(ISNUMBER(SEARCH($A12,VLOOKUP(LQ$2,职业列表!$B$1:$G$370,6,0))),"★","")</f>
        <v/>
      </c>
      <c r="LR12" s="929" t="str">
        <f>IF(ISNUMBER(SEARCH($A12,VLOOKUP(LR$2,职业列表!$B$1:$G$370,6,0))),"★","")</f>
        <v/>
      </c>
      <c r="LS12" s="929" t="str">
        <f>IF(ISNUMBER(SEARCH($A12,VLOOKUP(LS$2,职业列表!$B$1:$G$370,6,0))),"★","")</f>
        <v/>
      </c>
      <c r="LT12" s="929" t="str">
        <f>IF(ISNUMBER(SEARCH($A12,VLOOKUP(LT$2,职业列表!$B$1:$G$370,6,0))),"★","")</f>
        <v/>
      </c>
      <c r="LU12" s="929" t="str">
        <f>IF(ISNUMBER(SEARCH($A12,VLOOKUP(LU$2,职业列表!$B$1:$G$370,6,0))),"★","")</f>
        <v/>
      </c>
      <c r="LV12" s="929" t="str">
        <f>IF(ISNUMBER(SEARCH($A12,VLOOKUP(LV$2,职业列表!$B$1:$G$370,6,0))),"★","")</f>
        <v/>
      </c>
      <c r="LW12" s="929" t="str">
        <f>IF(ISNUMBER(SEARCH($A12,VLOOKUP(LW$2,职业列表!$B$1:$G$370,6,0))),"★","")</f>
        <v/>
      </c>
      <c r="LX12" s="929" t="str">
        <f>IF(ISNUMBER(SEARCH($A12,VLOOKUP(LX$2,职业列表!$B$1:$G$370,6,0))),"★","")</f>
        <v/>
      </c>
      <c r="LY12" s="929" t="str">
        <f>IF(ISNUMBER(SEARCH($A12,VLOOKUP(LY$2,职业列表!$B$1:$G$370,6,0))),"★","")</f>
        <v/>
      </c>
      <c r="LZ12" s="929" t="str">
        <f>IF(ISNUMBER(SEARCH($A12,VLOOKUP(LZ$2,职业列表!$B$1:$G$370,6,0))),"★","")</f>
        <v/>
      </c>
      <c r="MA12" s="929" t="str">
        <f>IF(ISNUMBER(SEARCH($A12,VLOOKUP(MA$2,职业列表!$B$1:$G$370,6,0))),"★","")</f>
        <v/>
      </c>
      <c r="MB12" s="929" t="str">
        <f>IF(ISNUMBER(SEARCH($A12,VLOOKUP(MB$2,职业列表!$B$1:$G$370,6,0))),"★","")</f>
        <v/>
      </c>
      <c r="MC12" s="929" t="s">
        <v>74</v>
      </c>
      <c r="MD12" s="929" t="str">
        <f>IF(ISNUMBER(SEARCH($A12,VLOOKUP(MD$2,职业列表!$B$1:$G$370,6,0))),"★","")</f>
        <v/>
      </c>
      <c r="ME12" s="929" t="str">
        <f>IF(ISNUMBER(SEARCH($A12,VLOOKUP(ME$2,职业列表!$B$1:$G$370,6,0))),"★","")</f>
        <v/>
      </c>
      <c r="MF12" s="929" t="str">
        <f>IF(ISNUMBER(SEARCH($A12,VLOOKUP(MF$2,职业列表!$B$1:$G$370,6,0))),"★","")</f>
        <v/>
      </c>
      <c r="MG12" s="929" t="s">
        <v>751</v>
      </c>
      <c r="MH12" s="929" t="str">
        <f>IF(ISNUMBER(SEARCH($A12,VLOOKUP(MH$2,职业列表!$B$1:$G$370,6,0))),"★","")</f>
        <v>★</v>
      </c>
      <c r="MI12" s="929" t="str">
        <f>IF(ISNUMBER(SEARCH($A12,VLOOKUP(MI$2,职业列表!$B$1:$G$370,6,0))),"★","")</f>
        <v/>
      </c>
      <c r="MJ12" s="929" t="str">
        <f>IF(ISNUMBER(SEARCH($A12,VLOOKUP(MJ$2,职业列表!$B$1:$G$370,6,0))),"★","")</f>
        <v/>
      </c>
      <c r="MK12" s="929" t="str">
        <f>IF(ISNUMBER(SEARCH($A12,VLOOKUP(MK$2,职业列表!$B$1:$G$370,6,0))),"★","")</f>
        <v/>
      </c>
      <c r="ML12" s="929" t="str">
        <f>IF(ISNUMBER(SEARCH($A12,VLOOKUP(ML$2,职业列表!$B$1:$G$370,6,0))),"★","")</f>
        <v/>
      </c>
      <c r="MM12" s="929" t="str">
        <f>IF(ISNUMBER(SEARCH($A12,VLOOKUP(MM$2,职业列表!$B$1:$G$370,6,0))),"★","")</f>
        <v>★</v>
      </c>
      <c r="MN12" s="929" t="str">
        <f>IF(ISNUMBER(SEARCH($A12,VLOOKUP(MN$2,职业列表!$B$1:$G$370,6,0))),"★","")</f>
        <v/>
      </c>
      <c r="MO12" s="929" t="str">
        <f>IF(ISNUMBER(SEARCH($A12,VLOOKUP(MO$2,职业列表!$B$1:$G$370,6,0))),"★","")</f>
        <v/>
      </c>
      <c r="MP12" s="929" t="str">
        <f>IF(ISNUMBER(SEARCH($A12,VLOOKUP(MP$2,职业列表!$B$1:$G$370,6,0))),"★","")</f>
        <v>★</v>
      </c>
      <c r="MQ12" s="929" t="str">
        <f>IF(ISNUMBER(SEARCH($A12,VLOOKUP(MQ$2,职业列表!$B$1:$G$370,6,0))),"★","")</f>
        <v>★</v>
      </c>
      <c r="MR12" s="929" t="str">
        <f>IF(ISNUMBER(SEARCH($A12,VLOOKUP(MR$2,职业列表!$B$1:$G$370,6,0))),"★","")</f>
        <v/>
      </c>
      <c r="MS12" s="929" t="str">
        <f>IF(ISNUMBER(SEARCH($A12,VLOOKUP(MS$2,职业列表!$B$1:$G$370,6,0))),"★","")</f>
        <v/>
      </c>
      <c r="MT12" s="929" t="str">
        <f>IF(ISNUMBER(SEARCH($A12,VLOOKUP(MT$2,职业列表!$B$1:$G$370,6,0))),"★","")</f>
        <v/>
      </c>
      <c r="MU12" s="929" t="str">
        <f>IF(ISNUMBER(SEARCH($A12,VLOOKUP(MU$2,职业列表!$B$1:$G$370,6,0))),"★","")</f>
        <v/>
      </c>
      <c r="MV12" s="929" t="str">
        <f>IF(ISNUMBER(SEARCH($A12,VLOOKUP(MV$2,职业列表!$B$1:$G$370,6,0))),"★","")</f>
        <v>★</v>
      </c>
      <c r="MW12" s="929" t="str">
        <f>IF(ISNUMBER(SEARCH($A12,VLOOKUP(MW$2,职业列表!$B$1:$G$370,6,0))),"★","")</f>
        <v>★</v>
      </c>
      <c r="MX12" s="929" t="str">
        <f>IF(ISNUMBER(SEARCH($A12,VLOOKUP(MX$2,职业列表!$B$1:$G$370,6,0))),"★","")</f>
        <v/>
      </c>
      <c r="MY12" s="929" t="str">
        <f>IF(ISNUMBER(SEARCH($A12,VLOOKUP(MY$2,职业列表!$B$1:$G$370,6,0))),"★","")</f>
        <v>★</v>
      </c>
      <c r="MZ12" s="929" t="str">
        <f>IF(ISNUMBER(SEARCH($A12,VLOOKUP(MZ$2,职业列表!$B$1:$G$370,6,0))),"★","")</f>
        <v/>
      </c>
      <c r="NA12" s="929" t="str">
        <f>IF(ISNUMBER(SEARCH($A12,VLOOKUP(NA$2,职业列表!$B$1:$G$370,6,0))),"★","")</f>
        <v>★</v>
      </c>
      <c r="NB12" s="929" t="str">
        <f>IF(ISNUMBER(SEARCH($A12,VLOOKUP(NB$2,职业列表!$B$1:$G$370,6,0))),"★","")</f>
        <v/>
      </c>
      <c r="NC12" s="929" t="str">
        <f>IF(ISNUMBER(SEARCH($A12,VLOOKUP(NC$2,职业列表!$B$1:$G$370,6,0))),"★","")</f>
        <v/>
      </c>
      <c r="ND12" s="929" t="str">
        <f>IF(ISNUMBER(SEARCH($A12,VLOOKUP(ND$2,职业列表!$B$1:$G$370,6,0))),"★","")</f>
        <v/>
      </c>
      <c r="NE12" s="929" t="str">
        <f>IF(ISNUMBER(SEARCH($A12,VLOOKUP(NE$2,职业列表!$B$1:$G$370,6,0))),"★","")</f>
        <v/>
      </c>
    </row>
    <row r="13" customFormat="1" spans="1:369">
      <c r="A13" s="941" t="s">
        <v>72</v>
      </c>
      <c r="B13" s="942" t="str">
        <f>IF(OR(A13="说服",A13="话术",A13="取悦",A13="恐吓"),"☯",IF(ISNUMBER(SEARCH(A13,VLOOKUP(IX$2,职业列表!$B$1:$G$370,6,0))),"★",""))</f>
        <v>★</v>
      </c>
      <c r="C13" s="942" t="str">
        <f>IF(ISTEXT(IFERROR(VLOOKUP(A13,职业列表!I3:J10,1,FALSE),0)),"★","")</f>
        <v/>
      </c>
      <c r="D13" s="943"/>
      <c r="E13" s="943"/>
      <c r="F13" s="943"/>
      <c r="G13" s="943"/>
      <c r="H13" s="943"/>
      <c r="I13" s="943"/>
      <c r="J13" s="943"/>
      <c r="K13" s="943"/>
      <c r="L13" s="943"/>
      <c r="M13" s="943"/>
      <c r="N13" s="942"/>
      <c r="O13" s="943"/>
      <c r="P13" s="943"/>
      <c r="Q13" s="943"/>
      <c r="R13" s="943"/>
      <c r="S13" s="943"/>
      <c r="T13" s="943"/>
      <c r="U13" s="943"/>
      <c r="V13" s="943"/>
      <c r="W13" s="943"/>
      <c r="X13" s="943"/>
      <c r="Y13" s="943"/>
      <c r="Z13" s="943"/>
      <c r="AA13" s="943"/>
      <c r="AB13" s="943"/>
      <c r="AC13" s="942" t="s">
        <v>74</v>
      </c>
      <c r="AD13" s="943"/>
      <c r="AE13" s="943"/>
      <c r="AF13" s="943"/>
      <c r="AG13" s="943"/>
      <c r="AH13" s="943"/>
      <c r="AI13" s="943"/>
      <c r="AJ13" s="943"/>
      <c r="AK13" s="943"/>
      <c r="AL13" s="943"/>
      <c r="AM13" s="943"/>
      <c r="AN13" s="943"/>
      <c r="AO13" s="943"/>
      <c r="AP13" s="943"/>
      <c r="AQ13" s="942" t="s">
        <v>74</v>
      </c>
      <c r="AR13" s="943"/>
      <c r="AS13" s="943"/>
      <c r="AT13" s="943"/>
      <c r="AU13" s="943"/>
      <c r="AV13" s="943"/>
      <c r="AW13" s="943"/>
      <c r="AX13" s="943"/>
      <c r="AY13" s="943"/>
      <c r="AZ13" s="943"/>
      <c r="BA13" s="942"/>
      <c r="BB13" s="943" t="s">
        <v>2727</v>
      </c>
      <c r="BC13" s="943"/>
      <c r="BD13" s="943"/>
      <c r="BE13" s="943"/>
      <c r="BF13" s="943"/>
      <c r="BG13" s="943"/>
      <c r="BH13" s="943"/>
      <c r="BI13" s="943"/>
      <c r="BJ13" s="943"/>
      <c r="BK13" s="943"/>
      <c r="BL13" s="943"/>
      <c r="BM13" s="943"/>
      <c r="BN13" s="943"/>
      <c r="BO13" s="943" t="s">
        <v>2728</v>
      </c>
      <c r="BP13" s="943"/>
      <c r="BQ13" s="943"/>
      <c r="BR13" s="943"/>
      <c r="BS13" s="943"/>
      <c r="BT13" s="943"/>
      <c r="BU13" s="943"/>
      <c r="BV13" s="943"/>
      <c r="BW13" s="943"/>
      <c r="BX13" s="942" t="s">
        <v>74</v>
      </c>
      <c r="BY13" s="943"/>
      <c r="BZ13" s="943"/>
      <c r="CA13" s="943"/>
      <c r="CB13" s="943"/>
      <c r="CC13" s="943"/>
      <c r="CD13" s="943"/>
      <c r="CE13" s="943"/>
      <c r="CF13" s="943"/>
      <c r="CG13" s="943"/>
      <c r="CH13" s="943"/>
      <c r="CI13" s="943"/>
      <c r="CJ13" s="943"/>
      <c r="CK13" s="943"/>
      <c r="CL13" s="943"/>
      <c r="CM13" s="943"/>
      <c r="CN13" s="943"/>
      <c r="CO13" s="943"/>
      <c r="CP13" s="943"/>
      <c r="CQ13" s="943"/>
      <c r="CR13" s="943"/>
      <c r="CS13" s="943"/>
      <c r="CT13" s="943"/>
      <c r="CU13" s="943"/>
      <c r="CV13" s="943"/>
      <c r="CW13" s="943"/>
      <c r="CX13" s="943"/>
      <c r="CY13" s="943"/>
      <c r="CZ13" s="973" t="s">
        <v>2729</v>
      </c>
      <c r="DA13" s="943"/>
      <c r="DB13" s="943"/>
      <c r="DC13" s="943"/>
      <c r="DD13" s="943"/>
      <c r="DE13" s="943"/>
      <c r="DF13" s="943"/>
      <c r="DG13" s="943"/>
      <c r="DH13" s="943"/>
      <c r="DI13" s="943"/>
      <c r="DJ13" s="943"/>
      <c r="DK13" s="943"/>
      <c r="DL13" s="943"/>
      <c r="DM13" s="943"/>
      <c r="DN13" s="942"/>
      <c r="DO13" s="942"/>
      <c r="DP13" s="942"/>
      <c r="DQ13" s="942"/>
      <c r="DR13" s="942"/>
      <c r="DS13" s="942"/>
      <c r="DT13" s="942"/>
      <c r="DU13" s="942"/>
      <c r="DV13" s="942"/>
      <c r="DW13" s="942"/>
      <c r="DX13" s="942"/>
      <c r="DY13" s="942"/>
      <c r="DZ13" s="942"/>
      <c r="EA13" s="942"/>
      <c r="EB13" s="942"/>
      <c r="EC13" s="942"/>
      <c r="ED13" s="942"/>
      <c r="EE13" s="942"/>
      <c r="EF13" s="942"/>
      <c r="EG13" s="942"/>
      <c r="EH13" s="942"/>
      <c r="EI13" s="942"/>
      <c r="EJ13" s="942"/>
      <c r="EK13" s="942"/>
      <c r="EL13" s="942"/>
      <c r="EM13" s="942"/>
      <c r="EN13" s="942"/>
      <c r="EO13" s="942"/>
      <c r="EP13" s="942"/>
      <c r="EQ13" s="942"/>
      <c r="ER13" s="942"/>
      <c r="ES13" s="942"/>
      <c r="ET13" s="942"/>
      <c r="EU13" s="942"/>
      <c r="EV13" s="942"/>
      <c r="EW13" s="942"/>
      <c r="EX13" s="942"/>
      <c r="EY13" s="942"/>
      <c r="EZ13" s="942"/>
      <c r="FA13" s="942"/>
      <c r="FB13" s="942"/>
      <c r="FC13" s="942"/>
      <c r="FD13" s="942"/>
      <c r="FE13" s="942"/>
      <c r="FF13" s="942" t="s">
        <v>74</v>
      </c>
      <c r="FG13" s="942"/>
      <c r="FH13" s="942"/>
      <c r="FI13" s="942"/>
      <c r="FJ13" s="942"/>
      <c r="FK13" s="942" t="s">
        <v>74</v>
      </c>
      <c r="FL13" s="942"/>
      <c r="FM13" s="942"/>
      <c r="FN13" s="942"/>
      <c r="FO13" s="942"/>
      <c r="FP13" s="942"/>
      <c r="FQ13" s="942"/>
      <c r="FR13" s="942"/>
      <c r="FS13" s="942"/>
      <c r="FT13" s="942"/>
      <c r="FU13" s="942"/>
      <c r="FV13" s="942"/>
      <c r="FW13" s="942"/>
      <c r="FX13" s="942"/>
      <c r="FY13" s="942" t="s">
        <v>2727</v>
      </c>
      <c r="FZ13" s="942" t="s">
        <v>74</v>
      </c>
      <c r="GA13" s="942"/>
      <c r="GB13" s="942"/>
      <c r="GC13" s="942"/>
      <c r="GD13" s="942"/>
      <c r="GE13" s="942"/>
      <c r="GF13" s="942"/>
      <c r="GG13" s="942" t="s">
        <v>808</v>
      </c>
      <c r="GH13" s="942" t="s">
        <v>796</v>
      </c>
      <c r="GI13" s="942" t="s">
        <v>2730</v>
      </c>
      <c r="GJ13" s="942"/>
      <c r="GK13" s="942"/>
      <c r="GL13" s="942"/>
      <c r="GM13" s="942"/>
      <c r="GN13" s="942" t="s">
        <v>808</v>
      </c>
      <c r="GO13" s="942"/>
      <c r="GP13" s="942"/>
      <c r="GQ13" s="942"/>
      <c r="GR13" s="942" t="s">
        <v>2731</v>
      </c>
      <c r="GS13" s="942"/>
      <c r="GT13" s="942"/>
      <c r="GU13" s="942"/>
      <c r="GV13" s="942"/>
      <c r="GW13" s="942"/>
      <c r="GX13" s="942"/>
      <c r="GY13" s="943"/>
      <c r="GZ13" s="943"/>
      <c r="HA13" s="943"/>
      <c r="HB13" s="943"/>
      <c r="HC13" s="943"/>
      <c r="HD13" s="943"/>
      <c r="HE13" s="943"/>
      <c r="HF13" s="942"/>
      <c r="HG13" s="943"/>
      <c r="HH13" s="943"/>
      <c r="HI13" s="943"/>
      <c r="HJ13" s="943"/>
      <c r="HK13" s="943"/>
      <c r="HL13" s="943"/>
      <c r="HM13" s="943"/>
      <c r="HN13" s="943"/>
      <c r="HO13" s="943"/>
      <c r="HP13" s="943"/>
      <c r="HQ13" s="943"/>
      <c r="HR13" s="943"/>
      <c r="HS13" s="943"/>
      <c r="HT13" s="943"/>
      <c r="HU13" s="942"/>
      <c r="HV13" s="943"/>
      <c r="HW13" s="943"/>
      <c r="HX13" s="992"/>
      <c r="HY13" s="1014"/>
      <c r="HZ13" s="1014"/>
      <c r="IA13" s="969" t="s">
        <v>74</v>
      </c>
      <c r="IB13" s="1014"/>
      <c r="IC13" s="990" t="s">
        <v>74</v>
      </c>
      <c r="ID13" s="1015"/>
      <c r="IE13" s="1014"/>
      <c r="IF13" s="1014"/>
      <c r="IG13" s="1014"/>
      <c r="IH13" s="1014"/>
      <c r="II13" s="1014"/>
      <c r="IJ13" s="1014"/>
      <c r="IK13" s="1014"/>
      <c r="IL13" s="939" t="s">
        <v>74</v>
      </c>
      <c r="IM13" s="1014"/>
      <c r="IN13" s="1014"/>
      <c r="IO13" s="939" t="s">
        <v>74</v>
      </c>
      <c r="IP13" s="1015"/>
      <c r="IQ13" s="1015"/>
      <c r="IR13" s="939" t="s">
        <v>74</v>
      </c>
      <c r="IS13" s="1038" t="s">
        <v>751</v>
      </c>
      <c r="IT13" s="1014"/>
      <c r="IU13" s="1014"/>
      <c r="IV13" s="1014"/>
      <c r="IW13" s="1049"/>
      <c r="IX13" s="929" t="str">
        <f>IF(ISNUMBER(SEARCH($A13,VLOOKUP(IX$2,职业列表!$B$1:$G$370,6,0))),"★","")</f>
        <v>★</v>
      </c>
      <c r="IY13" s="929" t="str">
        <f>IF(ISNUMBER(SEARCH($A13,VLOOKUP(IY$2,职业列表!$B$1:$G$370,6,0))),"★","")</f>
        <v/>
      </c>
      <c r="IZ13" s="929" t="str">
        <f>IF(ISNUMBER(SEARCH($A13,VLOOKUP(IZ$2,职业列表!$B$1:$G$370,6,0))),"★","")</f>
        <v/>
      </c>
      <c r="JA13" s="929" t="str">
        <f>IF(ISNUMBER(SEARCH($A13,VLOOKUP(JA$2,职业列表!$B$1:$G$370,6,0))),"★","")</f>
        <v>★</v>
      </c>
      <c r="JB13" s="929" t="str">
        <f>IF(ISNUMBER(SEARCH($A13,VLOOKUP(JB$2,职业列表!$B$1:$G$370,6,0))),"★","")</f>
        <v/>
      </c>
      <c r="JC13" s="929" t="str">
        <f>IF(ISNUMBER(SEARCH($A13,VLOOKUP(JC$2,职业列表!$B$1:$G$370,6,0))),"★","")</f>
        <v/>
      </c>
      <c r="JD13" s="929" t="str">
        <f>IF(ISNUMBER(SEARCH($A13,VLOOKUP(JD$2,职业列表!$B$1:$G$370,6,0))),"★","")</f>
        <v/>
      </c>
      <c r="JE13" s="929" t="str">
        <f>IF(ISNUMBER(SEARCH($A13,VLOOKUP(JE$2,职业列表!$B$1:$G$370,6,0))),"★","")</f>
        <v>★</v>
      </c>
      <c r="JF13" s="929" t="str">
        <f>IF(ISNUMBER(SEARCH($A13,VLOOKUP(JF$2,职业列表!$B$1:$G$370,6,0))),"★","")</f>
        <v>★</v>
      </c>
      <c r="JG13" s="929" t="str">
        <f>IF(ISNUMBER(SEARCH($A13,VLOOKUP(JG$2,职业列表!$B$1:$G$370,6,0))),"★","")</f>
        <v/>
      </c>
      <c r="JH13" s="929" t="str">
        <f>IF(ISNUMBER(SEARCH($A13,VLOOKUP(JH$2,职业列表!$B$1:$G$370,6,0))),"★","")</f>
        <v/>
      </c>
      <c r="JI13" s="929" t="str">
        <f>IF(ISNUMBER(SEARCH($A13,VLOOKUP(JI$2,职业列表!$B$1:$G$370,6,0))),"★","")</f>
        <v/>
      </c>
      <c r="JJ13" s="929" t="str">
        <f>IF(ISNUMBER(SEARCH($A13,VLOOKUP(JJ$2,职业列表!$B$1:$G$370,6,0))),"★","")</f>
        <v/>
      </c>
      <c r="JK13" s="929" t="str">
        <f>IF(ISNUMBER(SEARCH($A13,VLOOKUP(JK$2,职业列表!$B$1:$G$370,6,0))),"★","")</f>
        <v>★</v>
      </c>
      <c r="JL13" s="929" t="str">
        <f>IF(ISNUMBER(SEARCH($A13,VLOOKUP(JL$2,职业列表!$B$1:$G$370,6,0))),"★","")</f>
        <v/>
      </c>
      <c r="JM13" s="929" t="str">
        <f>IF(ISNUMBER(SEARCH($A13,VLOOKUP(JM$2,职业列表!$B$1:$G$370,6,0))),"★","")</f>
        <v/>
      </c>
      <c r="JN13" s="929" t="str">
        <f>IF(ISNUMBER(SEARCH($A13,VLOOKUP(JN$2,职业列表!$B$1:$G$370,6,0))),"★","")</f>
        <v/>
      </c>
      <c r="JO13" s="929" t="str">
        <f>IF(ISNUMBER(SEARCH($A13,VLOOKUP(JO$2,职业列表!$B$1:$G$370,6,0))),"★","")</f>
        <v/>
      </c>
      <c r="JP13" s="929" t="str">
        <f>IF(ISNUMBER(SEARCH($A13,VLOOKUP(JP$2,职业列表!$B$1:$G$370,6,0))),"★","")</f>
        <v>★</v>
      </c>
      <c r="JQ13" s="929" t="str">
        <f>IF(ISNUMBER(SEARCH($A13,VLOOKUP(JQ$2,职业列表!$B$1:$G$370,6,0))),"★","")</f>
        <v/>
      </c>
      <c r="JR13" s="929" t="str">
        <f>IF(ISNUMBER(SEARCH($A13,VLOOKUP(JR$2,职业列表!$B$1:$G$370,6,0))),"★","")</f>
        <v/>
      </c>
      <c r="JS13" s="929" t="str">
        <f>IF(ISNUMBER(SEARCH($A13,VLOOKUP(JS$2,职业列表!$B$1:$G$370,6,0))),"★","")</f>
        <v>★</v>
      </c>
      <c r="JT13" s="929" t="str">
        <f>IF(ISNUMBER(SEARCH($A13,VLOOKUP(JT$2,职业列表!$B$1:$G$370,6,0))),"★","")</f>
        <v/>
      </c>
      <c r="JU13" s="929" t="str">
        <f>IF(ISNUMBER(SEARCH($A13,VLOOKUP(JU$2,职业列表!$B$1:$G$370,6,0))),"★","")</f>
        <v/>
      </c>
      <c r="JV13" s="929" t="str">
        <f>IF(ISNUMBER(SEARCH($A13,VLOOKUP(JV$2,职业列表!$B$1:$G$370,6,0))),"★","")</f>
        <v/>
      </c>
      <c r="JW13" s="929" t="str">
        <f>IF(ISNUMBER(SEARCH($A13,VLOOKUP(JW$2,职业列表!$B$1:$G$370,6,0))),"★","")</f>
        <v/>
      </c>
      <c r="JX13" s="929" t="str">
        <f>IF(ISNUMBER(SEARCH($A13,VLOOKUP(JX$2,职业列表!$B$1:$G$370,6,0))),"★","")</f>
        <v/>
      </c>
      <c r="JY13" s="929" t="str">
        <f>IF(ISNUMBER(SEARCH($A13,VLOOKUP(JY$2,职业列表!$B$1:$G$370,6,0))),"★","")</f>
        <v/>
      </c>
      <c r="JZ13" s="929" t="str">
        <f>IF(ISNUMBER(SEARCH($A13,VLOOKUP(JZ$2,职业列表!$B$1:$G$370,6,0))),"★","")</f>
        <v/>
      </c>
      <c r="KA13" s="929" t="str">
        <f>IF(ISNUMBER(SEARCH($A13,VLOOKUP(KA$2,职业列表!$B$1:$G$370,6,0))),"★","")</f>
        <v/>
      </c>
      <c r="KB13" s="929" t="str">
        <f>IF(ISNUMBER(SEARCH($A13,VLOOKUP(KB$2,职业列表!$B$1:$G$370,6,0))),"★","")</f>
        <v>★</v>
      </c>
      <c r="KC13" s="929" t="str">
        <f>IF(ISNUMBER(SEARCH($A13,VLOOKUP(KC$2,职业列表!$B$1:$G$370,6,0))),"★","")</f>
        <v/>
      </c>
      <c r="KD13" s="929" t="str">
        <f>IF(ISNUMBER(SEARCH($A13,VLOOKUP(KD$2,职业列表!$B$1:$G$370,6,0))),"★","")</f>
        <v/>
      </c>
      <c r="KE13" s="929" t="str">
        <f>IF(ISNUMBER(SEARCH($A13,VLOOKUP(KE$2,职业列表!$B$1:$G$370,6,0))),"★","")</f>
        <v/>
      </c>
      <c r="KF13" s="929" t="str">
        <f>IF(ISNUMBER(SEARCH($A13,VLOOKUP(KF$2,职业列表!$B$1:$G$370,6,0))),"★","")</f>
        <v/>
      </c>
      <c r="KG13" s="929" t="str">
        <f>IF(ISNUMBER(SEARCH($A13,VLOOKUP(KG$2,职业列表!$B$1:$G$370,6,0))),"★","")</f>
        <v/>
      </c>
      <c r="KH13" s="929" t="str">
        <f>IF(ISNUMBER(SEARCH($A13,VLOOKUP(KH$2,职业列表!$B$1:$G$370,6,0))),"★","")</f>
        <v/>
      </c>
      <c r="KI13" s="929" t="str">
        <f>IF(ISNUMBER(SEARCH($A13,VLOOKUP(KI$2,职业列表!$B$1:$G$370,6,0))),"★","")</f>
        <v>★</v>
      </c>
      <c r="KJ13" s="929" t="str">
        <f>IF(ISNUMBER(SEARCH($A13,VLOOKUP(KJ$2,职业列表!$B$1:$G$370,6,0))),"★","")</f>
        <v/>
      </c>
      <c r="KK13" s="929" t="str">
        <f>IF(ISNUMBER(SEARCH($A13,VLOOKUP(KK$2,职业列表!$B$1:$G$370,6,0))),"★","")</f>
        <v>★</v>
      </c>
      <c r="KL13" s="929" t="str">
        <f>IF(ISNUMBER(SEARCH($A13,VLOOKUP(KL$2,职业列表!$B$1:$G$370,6,0))),"★","")</f>
        <v/>
      </c>
      <c r="KM13" s="929" t="str">
        <f>IF(ISNUMBER(SEARCH($A13,VLOOKUP(KM$2,职业列表!$B$1:$G$370,6,0))),"★","")</f>
        <v/>
      </c>
      <c r="KN13" s="929" t="str">
        <f>IF(ISNUMBER(SEARCH($A13,VLOOKUP(KN$2,职业列表!$B$1:$G$370,6,0))),"★","")</f>
        <v>★</v>
      </c>
      <c r="KO13" s="929" t="str">
        <f>IF(ISNUMBER(SEARCH($A13,VLOOKUP(KO$2,职业列表!$B$1:$G$370,6,0))),"★","")</f>
        <v>★</v>
      </c>
      <c r="KP13" s="929" t="str">
        <f>IF(ISNUMBER(SEARCH($A13,VLOOKUP(KP$2,职业列表!$B$1:$G$370,6,0))),"★","")</f>
        <v/>
      </c>
      <c r="KQ13" s="929" t="str">
        <f>IF(ISNUMBER(SEARCH($A13,VLOOKUP(KQ$2,职业列表!$B$1:$G$370,6,0))),"★","")</f>
        <v/>
      </c>
      <c r="KR13" s="929" t="str">
        <f>IF(ISNUMBER(SEARCH($A13,VLOOKUP(KR$2,职业列表!$B$1:$G$370,6,0))),"★","")</f>
        <v/>
      </c>
      <c r="KS13" s="929" t="str">
        <f>IF(ISNUMBER(SEARCH($A13,VLOOKUP(KS$2,职业列表!$B$1:$G$370,6,0))),"★","")</f>
        <v/>
      </c>
      <c r="KT13" s="929" t="str">
        <f>IF(ISNUMBER(SEARCH($A13,VLOOKUP(KT$2,职业列表!$B$1:$G$370,6,0))),"★","")</f>
        <v/>
      </c>
      <c r="KU13" s="929" t="str">
        <f>IF(ISNUMBER(SEARCH($A13,VLOOKUP(KU$2,职业列表!$B$1:$G$370,6,0))),"★","")</f>
        <v/>
      </c>
      <c r="KV13" s="929" t="str">
        <f>IF(ISNUMBER(SEARCH($A13,VLOOKUP(KV$2,职业列表!$B$1:$G$370,6,0))),"★","")</f>
        <v/>
      </c>
      <c r="KW13" s="929" t="str">
        <f>IF(ISNUMBER(SEARCH($A13,VLOOKUP(KW$2,职业列表!$B$1:$G$370,6,0))),"★","")</f>
        <v/>
      </c>
      <c r="KX13" s="929" t="str">
        <f>IF(ISNUMBER(SEARCH($A13,VLOOKUP(KX$2,职业列表!$B$1:$G$370,6,0))),"★","")</f>
        <v/>
      </c>
      <c r="KY13" s="929" t="str">
        <f>IF(ISNUMBER(SEARCH($A13,VLOOKUP(KY$2,职业列表!$B$1:$G$370,6,0))),"★","")</f>
        <v/>
      </c>
      <c r="KZ13" s="929" t="str">
        <f>IF(ISNUMBER(SEARCH($A13,VLOOKUP(KZ$2,职业列表!$B$1:$G$370,6,0))),"★","")</f>
        <v/>
      </c>
      <c r="LA13" s="929" t="str">
        <f>IF(ISNUMBER(SEARCH($A13,VLOOKUP(LA$2,职业列表!$B$1:$G$370,6,0))),"★","")</f>
        <v/>
      </c>
      <c r="LB13" s="929" t="str">
        <f>IF(ISNUMBER(SEARCH($A13,VLOOKUP(LB$2,职业列表!$B$1:$G$370,6,0))),"★","")</f>
        <v/>
      </c>
      <c r="LC13" s="929" t="str">
        <f>IF(ISNUMBER(SEARCH($A13,VLOOKUP(LC$2,职业列表!$B$1:$G$370,6,0))),"★","")</f>
        <v/>
      </c>
      <c r="LD13" s="929" t="str">
        <f>IF(ISNUMBER(SEARCH($A13,VLOOKUP(LD$2,职业列表!$B$1:$G$370,6,0))),"★","")</f>
        <v>★</v>
      </c>
      <c r="LE13" s="929" t="str">
        <f>IF(ISNUMBER(SEARCH($A13,VLOOKUP(LE$2,职业列表!$B$1:$G$370,6,0))),"★","")</f>
        <v/>
      </c>
      <c r="LF13" s="929" t="str">
        <f>IF(ISNUMBER(SEARCH($A13,VLOOKUP(LF$2,职业列表!$B$1:$G$370,6,0))),"★","")</f>
        <v/>
      </c>
      <c r="LG13" s="929" t="str">
        <f>IF(ISNUMBER(SEARCH($A13,VLOOKUP(LG$2,职业列表!$B$1:$G$370,6,0))),"★","")</f>
        <v/>
      </c>
      <c r="LH13" s="929" t="str">
        <f>IF(ISNUMBER(SEARCH($A13,VLOOKUP(LH$2,职业列表!$B$1:$G$370,6,0))),"★","")</f>
        <v/>
      </c>
      <c r="LI13" s="929" t="str">
        <f>IF(ISNUMBER(SEARCH($A13,VLOOKUP(LI$2,职业列表!$B$1:$G$370,6,0))),"★","")</f>
        <v/>
      </c>
      <c r="LJ13" s="929" t="str">
        <f>IF(ISNUMBER(SEARCH($A13,VLOOKUP(LJ$2,职业列表!$B$1:$G$370,6,0))),"★","")</f>
        <v/>
      </c>
      <c r="LK13" s="929" t="str">
        <f>IF(ISNUMBER(SEARCH($A13,VLOOKUP(LK$2,职业列表!$B$1:$G$370,6,0))),"★","")</f>
        <v/>
      </c>
      <c r="LL13" s="929" t="str">
        <f>IF(ISNUMBER(SEARCH($A13,VLOOKUP(LL$2,职业列表!$B$1:$G$370,6,0))),"★","")</f>
        <v/>
      </c>
      <c r="LM13" s="929" t="str">
        <f>IF(ISNUMBER(SEARCH($A13,VLOOKUP(LM$2,职业列表!$B$1:$G$370,6,0))),"★","")</f>
        <v/>
      </c>
      <c r="LN13" s="929" t="str">
        <f>IF(ISNUMBER(SEARCH($A13,VLOOKUP(LN$2,职业列表!$B$1:$G$370,6,0))),"★","")</f>
        <v/>
      </c>
      <c r="LO13" s="929" t="str">
        <f>IF(ISNUMBER(SEARCH($A13,VLOOKUP(LO$2,职业列表!$B$1:$G$370,6,0))),"★","")</f>
        <v/>
      </c>
      <c r="LP13" s="929" t="str">
        <f>IF(ISNUMBER(SEARCH($A13,VLOOKUP(LP$2,职业列表!$B$1:$G$370,6,0))),"★","")</f>
        <v/>
      </c>
      <c r="LQ13" s="929" t="str">
        <f>IF(ISNUMBER(SEARCH($A13,VLOOKUP(LQ$2,职业列表!$B$1:$G$370,6,0))),"★","")</f>
        <v/>
      </c>
      <c r="LR13" s="929" t="str">
        <f>IF(ISNUMBER(SEARCH($A13,VLOOKUP(LR$2,职业列表!$B$1:$G$370,6,0))),"★","")</f>
        <v/>
      </c>
      <c r="LS13" s="929" t="str">
        <f>IF(ISNUMBER(SEARCH($A13,VLOOKUP(LS$2,职业列表!$B$1:$G$370,6,0))),"★","")</f>
        <v/>
      </c>
      <c r="LT13" s="929" t="str">
        <f>IF(ISNUMBER(SEARCH($A13,VLOOKUP(LT$2,职业列表!$B$1:$G$370,6,0))),"★","")</f>
        <v/>
      </c>
      <c r="LU13" s="929" t="str">
        <f>IF(ISNUMBER(SEARCH($A13,VLOOKUP(LU$2,职业列表!$B$1:$G$370,6,0))),"★","")</f>
        <v/>
      </c>
      <c r="LV13" s="929" t="str">
        <f>IF(ISNUMBER(SEARCH($A13,VLOOKUP(LV$2,职业列表!$B$1:$G$370,6,0))),"★","")</f>
        <v/>
      </c>
      <c r="LW13" s="929" t="str">
        <f>IF(ISNUMBER(SEARCH($A13,VLOOKUP(LW$2,职业列表!$B$1:$G$370,6,0))),"★","")</f>
        <v/>
      </c>
      <c r="LX13" s="929" t="str">
        <f>IF(ISNUMBER(SEARCH($A13,VLOOKUP(LX$2,职业列表!$B$1:$G$370,6,0))),"★","")</f>
        <v/>
      </c>
      <c r="LY13" s="929" t="str">
        <f>IF(ISNUMBER(SEARCH($A13,VLOOKUP(LY$2,职业列表!$B$1:$G$370,6,0))),"★","")</f>
        <v/>
      </c>
      <c r="LZ13" s="929" t="str">
        <f>IF(ISNUMBER(SEARCH($A13,VLOOKUP(LZ$2,职业列表!$B$1:$G$370,6,0))),"★","")</f>
        <v/>
      </c>
      <c r="MA13" s="929" t="str">
        <f>IF(ISNUMBER(SEARCH($A13,VLOOKUP(MA$2,职业列表!$B$1:$G$370,6,0))),"★","")</f>
        <v/>
      </c>
      <c r="MB13" s="929" t="str">
        <f>IF(ISNUMBER(SEARCH($A13,VLOOKUP(MB$2,职业列表!$B$1:$G$370,6,0))),"★","")</f>
        <v/>
      </c>
      <c r="MC13" s="929" t="s">
        <v>74</v>
      </c>
      <c r="MD13" s="929" t="str">
        <f>IF(ISNUMBER(SEARCH($A13,VLOOKUP(MD$2,职业列表!$B$1:$G$370,6,0))),"★","")</f>
        <v/>
      </c>
      <c r="ME13" s="929" t="str">
        <f>IF(ISNUMBER(SEARCH($A13,VLOOKUP(ME$2,职业列表!$B$1:$G$370,6,0))),"★","")</f>
        <v/>
      </c>
      <c r="MF13" s="929" t="str">
        <f>IF(ISNUMBER(SEARCH($A13,VLOOKUP(MF$2,职业列表!$B$1:$G$370,6,0))),"★","")</f>
        <v/>
      </c>
      <c r="MG13" s="929" t="str">
        <f>IF(ISNUMBER(SEARCH($A13,VLOOKUP(MG$2,职业列表!$B$1:$G$370,6,0))),"★","")</f>
        <v/>
      </c>
      <c r="MH13" s="929" t="str">
        <f>IF(ISNUMBER(SEARCH($A13,VLOOKUP(MH$2,职业列表!$B$1:$G$370,6,0))),"★","")</f>
        <v>★</v>
      </c>
      <c r="MI13" s="929" t="str">
        <f>IF(ISNUMBER(SEARCH($A13,VLOOKUP(MI$2,职业列表!$B$1:$G$370,6,0))),"★","")</f>
        <v/>
      </c>
      <c r="MJ13" s="929" t="str">
        <f>IF(ISNUMBER(SEARCH($A13,VLOOKUP(MJ$2,职业列表!$B$1:$G$370,6,0))),"★","")</f>
        <v/>
      </c>
      <c r="MK13" s="929" t="str">
        <f>IF(ISNUMBER(SEARCH($A13,VLOOKUP(MK$2,职业列表!$B$1:$G$370,6,0))),"★","")</f>
        <v/>
      </c>
      <c r="ML13" s="929" t="str">
        <f>IF(ISNUMBER(SEARCH($A13,VLOOKUP(ML$2,职业列表!$B$1:$G$370,6,0))),"★","")</f>
        <v/>
      </c>
      <c r="MM13" s="929" t="str">
        <f>IF(ISNUMBER(SEARCH($A13,VLOOKUP(MM$2,职业列表!$B$1:$G$370,6,0))),"★","")</f>
        <v>★</v>
      </c>
      <c r="MN13" s="929" t="str">
        <f>IF(ISNUMBER(SEARCH($A13,VLOOKUP(MN$2,职业列表!$B$1:$G$370,6,0))),"★","")</f>
        <v/>
      </c>
      <c r="MO13" s="929" t="str">
        <f>IF(ISNUMBER(SEARCH($A13,VLOOKUP(MO$2,职业列表!$B$1:$G$370,6,0))),"★","")</f>
        <v/>
      </c>
      <c r="MP13" s="929" t="str">
        <f>IF(ISNUMBER(SEARCH($A13,VLOOKUP(MP$2,职业列表!$B$1:$G$370,6,0))),"★","")</f>
        <v/>
      </c>
      <c r="MQ13" s="929" t="str">
        <f>IF(ISNUMBER(SEARCH($A13,VLOOKUP(MQ$2,职业列表!$B$1:$G$370,6,0))),"★","")</f>
        <v>★</v>
      </c>
      <c r="MR13" s="929" t="str">
        <f>IF(ISNUMBER(SEARCH($A13,VLOOKUP(MR$2,职业列表!$B$1:$G$370,6,0))),"★","")</f>
        <v/>
      </c>
      <c r="MS13" s="929" t="str">
        <f>IF(ISNUMBER(SEARCH($A13,VLOOKUP(MS$2,职业列表!$B$1:$G$370,6,0))),"★","")</f>
        <v/>
      </c>
      <c r="MT13" s="929" t="str">
        <f>IF(ISNUMBER(SEARCH($A13,VLOOKUP(MT$2,职业列表!$B$1:$G$370,6,0))),"★","")</f>
        <v/>
      </c>
      <c r="MU13" s="929" t="str">
        <f>IF(ISNUMBER(SEARCH($A13,VLOOKUP(MU$2,职业列表!$B$1:$G$370,6,0))),"★","")</f>
        <v/>
      </c>
      <c r="MV13" s="929" t="str">
        <f>IF(ISNUMBER(SEARCH($A13,VLOOKUP(MV$2,职业列表!$B$1:$G$370,6,0))),"★","")</f>
        <v>★</v>
      </c>
      <c r="MW13" s="929" t="str">
        <f>IF(ISNUMBER(SEARCH($A13,VLOOKUP(MW$2,职业列表!$B$1:$G$370,6,0))),"★","")</f>
        <v>★</v>
      </c>
      <c r="MX13" s="929" t="str">
        <f>IF(ISNUMBER(SEARCH($A13,VLOOKUP(MX$2,职业列表!$B$1:$G$370,6,0))),"★","")</f>
        <v/>
      </c>
      <c r="MY13" s="929" t="str">
        <f>IF(ISNUMBER(SEARCH($A13,VLOOKUP(MY$2,职业列表!$B$1:$G$370,6,0))),"★","")</f>
        <v>★</v>
      </c>
      <c r="MZ13" s="929" t="str">
        <f>IF(ISNUMBER(SEARCH($A13,VLOOKUP(MZ$2,职业列表!$B$1:$G$370,6,0))),"★","")</f>
        <v/>
      </c>
      <c r="NA13" s="929" t="str">
        <f>IF(ISNUMBER(SEARCH($A13,VLOOKUP(NA$2,职业列表!$B$1:$G$370,6,0))),"★","")</f>
        <v>★</v>
      </c>
      <c r="NB13" s="929" t="str">
        <f>IF(ISNUMBER(SEARCH($A13,VLOOKUP(NB$2,职业列表!$B$1:$G$370,6,0))),"★","")</f>
        <v/>
      </c>
      <c r="NC13" s="929" t="str">
        <f>IF(ISNUMBER(SEARCH($A13,VLOOKUP(NC$2,职业列表!$B$1:$G$370,6,0))),"★","")</f>
        <v/>
      </c>
      <c r="ND13" s="929" t="str">
        <f>IF(ISNUMBER(SEARCH($A13,VLOOKUP(ND$2,职业列表!$B$1:$G$370,6,0))),"★","")</f>
        <v/>
      </c>
      <c r="NE13" s="929" t="str">
        <f>IF(ISNUMBER(SEARCH($A13,VLOOKUP(NE$2,职业列表!$B$1:$G$370,6,0))),"★","")</f>
        <v/>
      </c>
    </row>
    <row r="14" customFormat="1" spans="1:369">
      <c r="A14" s="941" t="s">
        <v>580</v>
      </c>
      <c r="B14" s="942" t="str">
        <f>IF(OR(A14="说服",A14="话术",A14="取悦",A14="恐吓"),"☯",IF(ISNUMBER(SEARCH(A14,VLOOKUP(IX$2,职业列表!$B$1:$G$370,6,0))),"★",""))</f>
        <v/>
      </c>
      <c r="C14" s="942" t="str">
        <f>IF(ISTEXT(IFERROR(VLOOKUP(A14,职业列表!I3:J10,1,FALSE),0)),"★","")</f>
        <v/>
      </c>
      <c r="D14" s="943"/>
      <c r="E14" s="943"/>
      <c r="F14" s="943"/>
      <c r="G14" s="943"/>
      <c r="H14" s="943"/>
      <c r="I14" s="943"/>
      <c r="J14" s="943"/>
      <c r="K14" s="943"/>
      <c r="L14" s="943"/>
      <c r="M14" s="943"/>
      <c r="N14" s="943"/>
      <c r="O14" s="943"/>
      <c r="P14" s="943"/>
      <c r="Q14" s="943"/>
      <c r="R14" s="943"/>
      <c r="S14" s="943"/>
      <c r="T14" s="943"/>
      <c r="U14" s="943"/>
      <c r="V14" s="943"/>
      <c r="W14" s="943"/>
      <c r="X14" s="943"/>
      <c r="Y14" s="943"/>
      <c r="Z14" s="943"/>
      <c r="AA14" s="943"/>
      <c r="AB14" s="943"/>
      <c r="AC14" s="943"/>
      <c r="AD14" s="943"/>
      <c r="AE14" s="943"/>
      <c r="AF14" s="943"/>
      <c r="AG14" s="943"/>
      <c r="AH14" s="943"/>
      <c r="AI14" s="943"/>
      <c r="AJ14" s="943"/>
      <c r="AK14" s="943"/>
      <c r="AL14" s="943"/>
      <c r="AM14" s="943"/>
      <c r="AN14" s="943"/>
      <c r="AO14" s="943"/>
      <c r="AP14" s="943"/>
      <c r="AQ14" s="943"/>
      <c r="AR14" s="943"/>
      <c r="AS14" s="943"/>
      <c r="AT14" s="943"/>
      <c r="AU14" s="943"/>
      <c r="AV14" s="943"/>
      <c r="AW14" s="943"/>
      <c r="AX14" s="943"/>
      <c r="AY14" s="943"/>
      <c r="AZ14" s="943"/>
      <c r="BA14" s="943"/>
      <c r="BB14" s="943" t="s">
        <v>2732</v>
      </c>
      <c r="BC14" s="943"/>
      <c r="BD14" s="943"/>
      <c r="BE14" s="943"/>
      <c r="BF14" s="943"/>
      <c r="BG14" s="943"/>
      <c r="BH14" s="943"/>
      <c r="BI14" s="943"/>
      <c r="BJ14" s="943"/>
      <c r="BK14" s="943"/>
      <c r="BL14" s="943"/>
      <c r="BM14" s="943"/>
      <c r="BN14" s="943"/>
      <c r="BO14" s="943"/>
      <c r="BP14" s="943"/>
      <c r="BQ14" s="943"/>
      <c r="BR14" s="943"/>
      <c r="BS14" s="943"/>
      <c r="BT14" s="943"/>
      <c r="BU14" s="943"/>
      <c r="BV14" s="943"/>
      <c r="BW14" s="943"/>
      <c r="BX14" s="942" t="s">
        <v>74</v>
      </c>
      <c r="BY14" s="943"/>
      <c r="BZ14" s="943"/>
      <c r="CA14" s="943"/>
      <c r="CB14" s="943"/>
      <c r="CC14" s="943"/>
      <c r="CD14" s="943"/>
      <c r="CE14" s="943"/>
      <c r="CF14" s="943"/>
      <c r="CG14" s="943"/>
      <c r="CH14" s="943"/>
      <c r="CI14" s="943"/>
      <c r="CJ14" s="943"/>
      <c r="CK14" s="943"/>
      <c r="CL14" s="943"/>
      <c r="CM14" s="943"/>
      <c r="CN14" s="943"/>
      <c r="CO14" s="943"/>
      <c r="CP14" s="943"/>
      <c r="CQ14" s="943"/>
      <c r="CR14" s="943"/>
      <c r="CS14" s="943"/>
      <c r="CT14" s="943"/>
      <c r="CU14" s="943"/>
      <c r="CV14" s="943"/>
      <c r="CW14" s="943"/>
      <c r="CX14" s="943"/>
      <c r="CY14" s="943"/>
      <c r="CZ14" s="973" t="s">
        <v>2733</v>
      </c>
      <c r="DA14" s="943"/>
      <c r="DB14" s="943"/>
      <c r="DC14" s="943"/>
      <c r="DD14" s="943"/>
      <c r="DE14" s="943"/>
      <c r="DF14" s="943"/>
      <c r="DG14" s="943"/>
      <c r="DH14" s="943"/>
      <c r="DI14" s="943"/>
      <c r="DJ14" s="943"/>
      <c r="DK14" s="943"/>
      <c r="DL14" s="943"/>
      <c r="DM14" s="943"/>
      <c r="DN14" s="942"/>
      <c r="DO14" s="942"/>
      <c r="DP14" s="942"/>
      <c r="DQ14" s="942"/>
      <c r="DR14" s="942"/>
      <c r="DS14" s="942"/>
      <c r="DT14" s="942"/>
      <c r="DU14" s="942"/>
      <c r="DV14" s="942"/>
      <c r="DW14" s="942"/>
      <c r="DX14" s="942"/>
      <c r="DY14" s="942"/>
      <c r="DZ14" s="942"/>
      <c r="EA14" s="942"/>
      <c r="EB14" s="942"/>
      <c r="EC14" s="942"/>
      <c r="ED14" s="942"/>
      <c r="EE14" s="942"/>
      <c r="EF14" s="942"/>
      <c r="EG14" s="942"/>
      <c r="EH14" s="942"/>
      <c r="EI14" s="942"/>
      <c r="EJ14" s="942"/>
      <c r="EK14" s="942"/>
      <c r="EL14" s="942"/>
      <c r="EM14" s="942"/>
      <c r="EN14" s="942"/>
      <c r="EO14" s="942"/>
      <c r="EP14" s="942"/>
      <c r="EQ14" s="942"/>
      <c r="ER14" s="942"/>
      <c r="ES14" s="942"/>
      <c r="ET14" s="942"/>
      <c r="EU14" s="942"/>
      <c r="EV14" s="942"/>
      <c r="EW14" s="942"/>
      <c r="EX14" s="942"/>
      <c r="EY14" s="942"/>
      <c r="EZ14" s="942"/>
      <c r="FA14" s="942"/>
      <c r="FB14" s="942"/>
      <c r="FC14" s="942"/>
      <c r="FD14" s="942"/>
      <c r="FE14" s="942"/>
      <c r="FF14" s="942"/>
      <c r="FG14" s="942"/>
      <c r="FH14" s="942"/>
      <c r="FI14" s="942"/>
      <c r="FJ14" s="942"/>
      <c r="FK14" s="942"/>
      <c r="FL14" s="942"/>
      <c r="FM14" s="942"/>
      <c r="FN14" s="942"/>
      <c r="FO14" s="942"/>
      <c r="FP14" s="942"/>
      <c r="FQ14" s="942"/>
      <c r="FR14" s="942"/>
      <c r="FS14" s="942"/>
      <c r="FT14" s="942"/>
      <c r="FU14" s="942"/>
      <c r="FV14" s="942"/>
      <c r="FW14" s="942"/>
      <c r="FX14" s="942"/>
      <c r="FY14" s="942" t="s">
        <v>2732</v>
      </c>
      <c r="FZ14" s="942"/>
      <c r="GA14" s="942"/>
      <c r="GB14" s="942"/>
      <c r="GC14" s="942"/>
      <c r="GD14" s="942"/>
      <c r="GE14" s="942"/>
      <c r="GF14" s="942"/>
      <c r="GG14" s="942" t="s">
        <v>796</v>
      </c>
      <c r="GH14" s="942" t="s">
        <v>2724</v>
      </c>
      <c r="GI14" s="942" t="s">
        <v>820</v>
      </c>
      <c r="GJ14" s="942"/>
      <c r="GK14" s="942"/>
      <c r="GL14" s="942"/>
      <c r="GM14" s="942"/>
      <c r="GN14" s="942" t="s">
        <v>2730</v>
      </c>
      <c r="GO14" s="942"/>
      <c r="GP14" s="942"/>
      <c r="GQ14" s="942"/>
      <c r="GR14" s="942" t="s">
        <v>2734</v>
      </c>
      <c r="GS14" s="942"/>
      <c r="GT14" s="942"/>
      <c r="GU14" s="942"/>
      <c r="GV14" s="942"/>
      <c r="GW14" s="942"/>
      <c r="GX14" s="942"/>
      <c r="GY14" s="943"/>
      <c r="GZ14" s="943"/>
      <c r="HA14" s="943"/>
      <c r="HB14" s="943"/>
      <c r="HC14" s="943"/>
      <c r="HD14" s="943"/>
      <c r="HE14" s="943"/>
      <c r="HF14" s="943"/>
      <c r="HG14" s="943"/>
      <c r="HH14" s="943"/>
      <c r="HI14" s="943"/>
      <c r="HJ14" s="943"/>
      <c r="HK14" s="943"/>
      <c r="HL14" s="943"/>
      <c r="HM14" s="943"/>
      <c r="HN14" s="943"/>
      <c r="HO14" s="943"/>
      <c r="HP14" s="943"/>
      <c r="HQ14" s="943"/>
      <c r="HR14" s="943"/>
      <c r="HS14" s="943"/>
      <c r="HT14" s="943"/>
      <c r="HU14" s="943"/>
      <c r="HV14" s="943"/>
      <c r="HW14" s="943"/>
      <c r="HX14" s="992"/>
      <c r="HY14" s="1014"/>
      <c r="HZ14" s="1014"/>
      <c r="IA14" s="1014"/>
      <c r="IB14" s="1014"/>
      <c r="IC14" s="1015"/>
      <c r="ID14" s="1015"/>
      <c r="IE14" s="1014"/>
      <c r="IF14" s="1014"/>
      <c r="IG14" s="1014"/>
      <c r="IH14" s="1014"/>
      <c r="II14" s="1014"/>
      <c r="IJ14" s="1014"/>
      <c r="IK14" s="1014"/>
      <c r="IL14" s="939" t="s">
        <v>74</v>
      </c>
      <c r="IM14" s="1014"/>
      <c r="IN14" s="1014"/>
      <c r="IO14" s="939" t="s">
        <v>74</v>
      </c>
      <c r="IP14" s="1015"/>
      <c r="IQ14" s="1015"/>
      <c r="IR14" s="939" t="s">
        <v>74</v>
      </c>
      <c r="IS14" s="1014"/>
      <c r="IT14" s="1014"/>
      <c r="IU14" s="1014"/>
      <c r="IV14" s="1014"/>
      <c r="IW14" s="1049"/>
      <c r="IX14" s="929" t="str">
        <f>IF(ISNUMBER(SEARCH($A14,VLOOKUP(IX$2,职业列表!$B$1:$G$370,6,0))),"★","")</f>
        <v/>
      </c>
      <c r="IY14" s="929" t="str">
        <f>IF(ISNUMBER(SEARCH($A14,VLOOKUP(IY$2,职业列表!$B$1:$G$370,6,0))),"★","")</f>
        <v/>
      </c>
      <c r="IZ14" s="929" t="str">
        <f>IF(ISNUMBER(SEARCH($A14,VLOOKUP(IZ$2,职业列表!$B$1:$G$370,6,0))),"★","")</f>
        <v/>
      </c>
      <c r="JA14" s="929" t="str">
        <f>IF(ISNUMBER(SEARCH($A14,VLOOKUP(JA$2,职业列表!$B$1:$G$370,6,0))),"★","")</f>
        <v/>
      </c>
      <c r="JB14" s="929" t="str">
        <f>IF(ISNUMBER(SEARCH($A14,VLOOKUP(JB$2,职业列表!$B$1:$G$370,6,0))),"★","")</f>
        <v/>
      </c>
      <c r="JC14" s="929" t="str">
        <f>IF(ISNUMBER(SEARCH($A14,VLOOKUP(JC$2,职业列表!$B$1:$G$370,6,0))),"★","")</f>
        <v/>
      </c>
      <c r="JD14" s="929" t="str">
        <f>IF(ISNUMBER(SEARCH($A14,VLOOKUP(JD$2,职业列表!$B$1:$G$370,6,0))),"★","")</f>
        <v/>
      </c>
      <c r="JE14" s="929" t="str">
        <f>IF(ISNUMBER(SEARCH($A14,VLOOKUP(JE$2,职业列表!$B$1:$G$370,6,0))),"★","")</f>
        <v/>
      </c>
      <c r="JF14" s="929" t="str">
        <f>IF(ISNUMBER(SEARCH($A14,VLOOKUP(JF$2,职业列表!$B$1:$G$370,6,0))),"★","")</f>
        <v/>
      </c>
      <c r="JG14" s="929" t="str">
        <f>IF(ISNUMBER(SEARCH($A14,VLOOKUP(JG$2,职业列表!$B$1:$G$370,6,0))),"★","")</f>
        <v/>
      </c>
      <c r="JH14" s="929" t="str">
        <f>IF(ISNUMBER(SEARCH($A14,VLOOKUP(JH$2,职业列表!$B$1:$G$370,6,0))),"★","")</f>
        <v/>
      </c>
      <c r="JI14" s="929" t="str">
        <f>IF(ISNUMBER(SEARCH($A14,VLOOKUP(JI$2,职业列表!$B$1:$G$370,6,0))),"★","")</f>
        <v/>
      </c>
      <c r="JJ14" s="929" t="str">
        <f>IF(ISNUMBER(SEARCH($A14,VLOOKUP(JJ$2,职业列表!$B$1:$G$370,6,0))),"★","")</f>
        <v/>
      </c>
      <c r="JK14" s="929" t="str">
        <f>IF(ISNUMBER(SEARCH($A14,VLOOKUP(JK$2,职业列表!$B$1:$G$370,6,0))),"★","")</f>
        <v/>
      </c>
      <c r="JL14" s="929" t="str">
        <f>IF(ISNUMBER(SEARCH($A14,VLOOKUP(JL$2,职业列表!$B$1:$G$370,6,0))),"★","")</f>
        <v/>
      </c>
      <c r="JM14" s="929" t="str">
        <f>IF(ISNUMBER(SEARCH($A14,VLOOKUP(JM$2,职业列表!$B$1:$G$370,6,0))),"★","")</f>
        <v/>
      </c>
      <c r="JN14" s="929" t="str">
        <f>IF(ISNUMBER(SEARCH($A14,VLOOKUP(JN$2,职业列表!$B$1:$G$370,6,0))),"★","")</f>
        <v/>
      </c>
      <c r="JO14" s="929" t="str">
        <f>IF(ISNUMBER(SEARCH($A14,VLOOKUP(JO$2,职业列表!$B$1:$G$370,6,0))),"★","")</f>
        <v/>
      </c>
      <c r="JP14" s="929" t="str">
        <f>IF(ISNUMBER(SEARCH($A14,VLOOKUP(JP$2,职业列表!$B$1:$G$370,6,0))),"★","")</f>
        <v/>
      </c>
      <c r="JQ14" s="929" t="str">
        <f>IF(ISNUMBER(SEARCH($A14,VLOOKUP(JQ$2,职业列表!$B$1:$G$370,6,0))),"★","")</f>
        <v/>
      </c>
      <c r="JR14" s="929" t="str">
        <f>IF(ISNUMBER(SEARCH($A14,VLOOKUP(JR$2,职业列表!$B$1:$G$370,6,0))),"★","")</f>
        <v/>
      </c>
      <c r="JS14" s="929" t="str">
        <f>IF(ISNUMBER(SEARCH($A14,VLOOKUP(JS$2,职业列表!$B$1:$G$370,6,0))),"★","")</f>
        <v/>
      </c>
      <c r="JT14" s="929" t="str">
        <f>IF(ISNUMBER(SEARCH($A14,VLOOKUP(JT$2,职业列表!$B$1:$G$370,6,0))),"★","")</f>
        <v/>
      </c>
      <c r="JU14" s="929" t="str">
        <f>IF(ISNUMBER(SEARCH($A14,VLOOKUP(JU$2,职业列表!$B$1:$G$370,6,0))),"★","")</f>
        <v/>
      </c>
      <c r="JV14" s="929" t="str">
        <f>IF(ISNUMBER(SEARCH($A14,VLOOKUP(JV$2,职业列表!$B$1:$G$370,6,0))),"★","")</f>
        <v/>
      </c>
      <c r="JW14" s="929" t="str">
        <f>IF(ISNUMBER(SEARCH($A14,VLOOKUP(JW$2,职业列表!$B$1:$G$370,6,0))),"★","")</f>
        <v/>
      </c>
      <c r="JX14" s="929" t="str">
        <f>IF(ISNUMBER(SEARCH($A14,VLOOKUP(JX$2,职业列表!$B$1:$G$370,6,0))),"★","")</f>
        <v/>
      </c>
      <c r="JY14" s="929" t="str">
        <f>IF(ISNUMBER(SEARCH($A14,VLOOKUP(JY$2,职业列表!$B$1:$G$370,6,0))),"★","")</f>
        <v/>
      </c>
      <c r="JZ14" s="929" t="str">
        <f>IF(ISNUMBER(SEARCH($A14,VLOOKUP(JZ$2,职业列表!$B$1:$G$370,6,0))),"★","")</f>
        <v/>
      </c>
      <c r="KA14" s="929" t="str">
        <f>IF(ISNUMBER(SEARCH($A14,VLOOKUP(KA$2,职业列表!$B$1:$G$370,6,0))),"★","")</f>
        <v/>
      </c>
      <c r="KB14" s="929" t="str">
        <f>IF(ISNUMBER(SEARCH($A14,VLOOKUP(KB$2,职业列表!$B$1:$G$370,6,0))),"★","")</f>
        <v/>
      </c>
      <c r="KC14" s="929" t="str">
        <f>IF(ISNUMBER(SEARCH($A14,VLOOKUP(KC$2,职业列表!$B$1:$G$370,6,0))),"★","")</f>
        <v/>
      </c>
      <c r="KD14" s="929" t="str">
        <f>IF(ISNUMBER(SEARCH($A14,VLOOKUP(KD$2,职业列表!$B$1:$G$370,6,0))),"★","")</f>
        <v/>
      </c>
      <c r="KE14" s="929" t="str">
        <f>IF(ISNUMBER(SEARCH($A14,VLOOKUP(KE$2,职业列表!$B$1:$G$370,6,0))),"★","")</f>
        <v/>
      </c>
      <c r="KF14" s="929" t="str">
        <f>IF(ISNUMBER(SEARCH($A14,VLOOKUP(KF$2,职业列表!$B$1:$G$370,6,0))),"★","")</f>
        <v/>
      </c>
      <c r="KG14" s="929" t="str">
        <f>IF(ISNUMBER(SEARCH($A14,VLOOKUP(KG$2,职业列表!$B$1:$G$370,6,0))),"★","")</f>
        <v/>
      </c>
      <c r="KH14" s="929" t="str">
        <f>IF(ISNUMBER(SEARCH($A14,VLOOKUP(KH$2,职业列表!$B$1:$G$370,6,0))),"★","")</f>
        <v/>
      </c>
      <c r="KI14" s="929" t="str">
        <f>IF(ISNUMBER(SEARCH($A14,VLOOKUP(KI$2,职业列表!$B$1:$G$370,6,0))),"★","")</f>
        <v/>
      </c>
      <c r="KJ14" s="929" t="str">
        <f>IF(ISNUMBER(SEARCH($A14,VLOOKUP(KJ$2,职业列表!$B$1:$G$370,6,0))),"★","")</f>
        <v/>
      </c>
      <c r="KK14" s="929" t="str">
        <f>IF(ISNUMBER(SEARCH($A14,VLOOKUP(KK$2,职业列表!$B$1:$G$370,6,0))),"★","")</f>
        <v/>
      </c>
      <c r="KL14" s="929" t="str">
        <f>IF(ISNUMBER(SEARCH($A14,VLOOKUP(KL$2,职业列表!$B$1:$G$370,6,0))),"★","")</f>
        <v/>
      </c>
      <c r="KM14" s="929" t="str">
        <f>IF(ISNUMBER(SEARCH($A14,VLOOKUP(KM$2,职业列表!$B$1:$G$370,6,0))),"★","")</f>
        <v/>
      </c>
      <c r="KN14" s="929" t="str">
        <f>IF(ISNUMBER(SEARCH($A14,VLOOKUP(KN$2,职业列表!$B$1:$G$370,6,0))),"★","")</f>
        <v/>
      </c>
      <c r="KO14" s="929" t="str">
        <f>IF(ISNUMBER(SEARCH($A14,VLOOKUP(KO$2,职业列表!$B$1:$G$370,6,0))),"★","")</f>
        <v/>
      </c>
      <c r="KP14" s="929" t="str">
        <f>IF(ISNUMBER(SEARCH($A14,VLOOKUP(KP$2,职业列表!$B$1:$G$370,6,0))),"★","")</f>
        <v/>
      </c>
      <c r="KQ14" s="929" t="str">
        <f>IF(ISNUMBER(SEARCH($A14,VLOOKUP(KQ$2,职业列表!$B$1:$G$370,6,0))),"★","")</f>
        <v/>
      </c>
      <c r="KR14" s="929" t="str">
        <f>IF(ISNUMBER(SEARCH($A14,VLOOKUP(KR$2,职业列表!$B$1:$G$370,6,0))),"★","")</f>
        <v/>
      </c>
      <c r="KS14" s="929" t="str">
        <f>IF(ISNUMBER(SEARCH($A14,VLOOKUP(KS$2,职业列表!$B$1:$G$370,6,0))),"★","")</f>
        <v/>
      </c>
      <c r="KT14" s="929" t="str">
        <f>IF(ISNUMBER(SEARCH($A14,VLOOKUP(KT$2,职业列表!$B$1:$G$370,6,0))),"★","")</f>
        <v/>
      </c>
      <c r="KU14" s="929" t="str">
        <f>IF(ISNUMBER(SEARCH($A14,VLOOKUP(KU$2,职业列表!$B$1:$G$370,6,0))),"★","")</f>
        <v/>
      </c>
      <c r="KV14" s="929" t="str">
        <f>IF(ISNUMBER(SEARCH($A14,VLOOKUP(KV$2,职业列表!$B$1:$G$370,6,0))),"★","")</f>
        <v/>
      </c>
      <c r="KW14" s="929" t="str">
        <f>IF(ISNUMBER(SEARCH($A14,VLOOKUP(KW$2,职业列表!$B$1:$G$370,6,0))),"★","")</f>
        <v/>
      </c>
      <c r="KX14" s="929" t="str">
        <f>IF(ISNUMBER(SEARCH($A14,VLOOKUP(KX$2,职业列表!$B$1:$G$370,6,0))),"★","")</f>
        <v/>
      </c>
      <c r="KY14" s="929" t="str">
        <f>IF(ISNUMBER(SEARCH($A14,VLOOKUP(KY$2,职业列表!$B$1:$G$370,6,0))),"★","")</f>
        <v/>
      </c>
      <c r="KZ14" s="929" t="str">
        <f>IF(ISNUMBER(SEARCH($A14,VLOOKUP(KZ$2,职业列表!$B$1:$G$370,6,0))),"★","")</f>
        <v/>
      </c>
      <c r="LA14" s="929" t="str">
        <f>IF(ISNUMBER(SEARCH($A14,VLOOKUP(LA$2,职业列表!$B$1:$G$370,6,0))),"★","")</f>
        <v/>
      </c>
      <c r="LB14" s="929" t="str">
        <f>IF(ISNUMBER(SEARCH($A14,VLOOKUP(LB$2,职业列表!$B$1:$G$370,6,0))),"★","")</f>
        <v/>
      </c>
      <c r="LC14" s="929" t="str">
        <f>IF(ISNUMBER(SEARCH($A14,VLOOKUP(LC$2,职业列表!$B$1:$G$370,6,0))),"★","")</f>
        <v/>
      </c>
      <c r="LD14" s="929" t="str">
        <f>IF(ISNUMBER(SEARCH($A14,VLOOKUP(LD$2,职业列表!$B$1:$G$370,6,0))),"★","")</f>
        <v/>
      </c>
      <c r="LE14" s="929" t="str">
        <f>IF(ISNUMBER(SEARCH($A14,VLOOKUP(LE$2,职业列表!$B$1:$G$370,6,0))),"★","")</f>
        <v/>
      </c>
      <c r="LF14" s="929" t="str">
        <f>IF(ISNUMBER(SEARCH($A14,VLOOKUP(LF$2,职业列表!$B$1:$G$370,6,0))),"★","")</f>
        <v/>
      </c>
      <c r="LG14" s="929" t="str">
        <f>IF(ISNUMBER(SEARCH($A14,VLOOKUP(LG$2,职业列表!$B$1:$G$370,6,0))),"★","")</f>
        <v/>
      </c>
      <c r="LH14" s="929" t="str">
        <f>IF(ISNUMBER(SEARCH($A14,VLOOKUP(LH$2,职业列表!$B$1:$G$370,6,0))),"★","")</f>
        <v/>
      </c>
      <c r="LI14" s="929" t="str">
        <f>IF(ISNUMBER(SEARCH($A14,VLOOKUP(LI$2,职业列表!$B$1:$G$370,6,0))),"★","")</f>
        <v/>
      </c>
      <c r="LJ14" s="929" t="str">
        <f>IF(ISNUMBER(SEARCH($A14,VLOOKUP(LJ$2,职业列表!$B$1:$G$370,6,0))),"★","")</f>
        <v/>
      </c>
      <c r="LK14" s="929" t="str">
        <f>IF(ISNUMBER(SEARCH($A14,VLOOKUP(LK$2,职业列表!$B$1:$G$370,6,0))),"★","")</f>
        <v/>
      </c>
      <c r="LL14" s="929" t="str">
        <f>IF(ISNUMBER(SEARCH($A14,VLOOKUP(LL$2,职业列表!$B$1:$G$370,6,0))),"★","")</f>
        <v/>
      </c>
      <c r="LM14" s="929" t="str">
        <f>IF(ISNUMBER(SEARCH($A14,VLOOKUP(LM$2,职业列表!$B$1:$G$370,6,0))),"★","")</f>
        <v/>
      </c>
      <c r="LN14" s="929" t="str">
        <f>IF(ISNUMBER(SEARCH($A14,VLOOKUP(LN$2,职业列表!$B$1:$G$370,6,0))),"★","")</f>
        <v/>
      </c>
      <c r="LO14" s="929" t="str">
        <f>IF(ISNUMBER(SEARCH($A14,VLOOKUP(LO$2,职业列表!$B$1:$G$370,6,0))),"★","")</f>
        <v/>
      </c>
      <c r="LP14" s="929" t="str">
        <f>IF(ISNUMBER(SEARCH($A14,VLOOKUP(LP$2,职业列表!$B$1:$G$370,6,0))),"★","")</f>
        <v/>
      </c>
      <c r="LQ14" s="929" t="str">
        <f>IF(ISNUMBER(SEARCH($A14,VLOOKUP(LQ$2,职业列表!$B$1:$G$370,6,0))),"★","")</f>
        <v/>
      </c>
      <c r="LR14" s="929" t="str">
        <f>IF(ISNUMBER(SEARCH($A14,VLOOKUP(LR$2,职业列表!$B$1:$G$370,6,0))),"★","")</f>
        <v/>
      </c>
      <c r="LS14" s="929" t="str">
        <f>IF(ISNUMBER(SEARCH($A14,VLOOKUP(LS$2,职业列表!$B$1:$G$370,6,0))),"★","")</f>
        <v/>
      </c>
      <c r="LT14" s="929" t="str">
        <f>IF(ISNUMBER(SEARCH($A14,VLOOKUP(LT$2,职业列表!$B$1:$G$370,6,0))),"★","")</f>
        <v/>
      </c>
      <c r="LU14" s="929" t="str">
        <f>IF(ISNUMBER(SEARCH($A14,VLOOKUP(LU$2,职业列表!$B$1:$G$370,6,0))),"★","")</f>
        <v/>
      </c>
      <c r="LV14" s="929" t="str">
        <f>IF(ISNUMBER(SEARCH($A14,VLOOKUP(LV$2,职业列表!$B$1:$G$370,6,0))),"★","")</f>
        <v/>
      </c>
      <c r="LW14" s="929" t="str">
        <f>IF(ISNUMBER(SEARCH($A14,VLOOKUP(LW$2,职业列表!$B$1:$G$370,6,0))),"★","")</f>
        <v/>
      </c>
      <c r="LX14" s="929" t="str">
        <f>IF(ISNUMBER(SEARCH($A14,VLOOKUP(LX$2,职业列表!$B$1:$G$370,6,0))),"★","")</f>
        <v/>
      </c>
      <c r="LY14" s="929" t="str">
        <f>IF(ISNUMBER(SEARCH($A14,VLOOKUP(LY$2,职业列表!$B$1:$G$370,6,0))),"★","")</f>
        <v/>
      </c>
      <c r="LZ14" s="929" t="str">
        <f>IF(ISNUMBER(SEARCH($A14,VLOOKUP(LZ$2,职业列表!$B$1:$G$370,6,0))),"★","")</f>
        <v/>
      </c>
      <c r="MA14" s="929" t="str">
        <f>IF(ISNUMBER(SEARCH($A14,VLOOKUP(MA$2,职业列表!$B$1:$G$370,6,0))),"★","")</f>
        <v/>
      </c>
      <c r="MB14" s="929" t="str">
        <f>IF(ISNUMBER(SEARCH($A14,VLOOKUP(MB$2,职业列表!$B$1:$G$370,6,0))),"★","")</f>
        <v/>
      </c>
      <c r="MC14" s="929" t="s">
        <v>74</v>
      </c>
      <c r="MD14" s="929" t="str">
        <f>IF(ISNUMBER(SEARCH($A14,VLOOKUP(MD$2,职业列表!$B$1:$G$370,6,0))),"★","")</f>
        <v/>
      </c>
      <c r="ME14" s="929" t="str">
        <f>IF(ISNUMBER(SEARCH($A14,VLOOKUP(ME$2,职业列表!$B$1:$G$370,6,0))),"★","")</f>
        <v/>
      </c>
      <c r="MF14" s="929" t="str">
        <f>IF(ISNUMBER(SEARCH($A14,VLOOKUP(MF$2,职业列表!$B$1:$G$370,6,0))),"★","")</f>
        <v/>
      </c>
      <c r="MG14" s="929" t="str">
        <f>IF(ISNUMBER(SEARCH($A14,VLOOKUP(MG$2,职业列表!$B$1:$G$370,6,0))),"★","")</f>
        <v/>
      </c>
      <c r="MH14" s="929" t="str">
        <f>IF(ISNUMBER(SEARCH($A14,VLOOKUP(MH$2,职业列表!$B$1:$G$370,6,0))),"★","")</f>
        <v/>
      </c>
      <c r="MI14" s="929" t="str">
        <f>IF(ISNUMBER(SEARCH($A14,VLOOKUP(MI$2,职业列表!$B$1:$G$370,6,0))),"★","")</f>
        <v/>
      </c>
      <c r="MJ14" s="929" t="str">
        <f>IF(ISNUMBER(SEARCH($A14,VLOOKUP(MJ$2,职业列表!$B$1:$G$370,6,0))),"★","")</f>
        <v/>
      </c>
      <c r="MK14" s="929" t="str">
        <f>IF(ISNUMBER(SEARCH($A14,VLOOKUP(MK$2,职业列表!$B$1:$G$370,6,0))),"★","")</f>
        <v/>
      </c>
      <c r="ML14" s="929" t="str">
        <f>IF(ISNUMBER(SEARCH($A14,VLOOKUP(ML$2,职业列表!$B$1:$G$370,6,0))),"★","")</f>
        <v/>
      </c>
      <c r="MM14" s="929" t="str">
        <f>IF(ISNUMBER(SEARCH($A14,VLOOKUP(MM$2,职业列表!$B$1:$G$370,6,0))),"★","")</f>
        <v/>
      </c>
      <c r="MN14" s="929" t="str">
        <f>IF(ISNUMBER(SEARCH($A14,VLOOKUP(MN$2,职业列表!$B$1:$G$370,6,0))),"★","")</f>
        <v/>
      </c>
      <c r="MO14" s="929" t="str">
        <f>IF(ISNUMBER(SEARCH($A14,VLOOKUP(MO$2,职业列表!$B$1:$G$370,6,0))),"★","")</f>
        <v/>
      </c>
      <c r="MP14" s="929" t="str">
        <f>IF(ISNUMBER(SEARCH($A14,VLOOKUP(MP$2,职业列表!$B$1:$G$370,6,0))),"★","")</f>
        <v/>
      </c>
      <c r="MQ14" s="929" t="str">
        <f>IF(ISNUMBER(SEARCH($A14,VLOOKUP(MQ$2,职业列表!$B$1:$G$370,6,0))),"★","")</f>
        <v/>
      </c>
      <c r="MR14" s="929" t="str">
        <f>IF(ISNUMBER(SEARCH($A14,VLOOKUP(MR$2,职业列表!$B$1:$G$370,6,0))),"★","")</f>
        <v/>
      </c>
      <c r="MS14" s="929" t="str">
        <f>IF(ISNUMBER(SEARCH($A14,VLOOKUP(MS$2,职业列表!$B$1:$G$370,6,0))),"★","")</f>
        <v/>
      </c>
      <c r="MT14" s="929" t="str">
        <f>IF(ISNUMBER(SEARCH($A14,VLOOKUP(MT$2,职业列表!$B$1:$G$370,6,0))),"★","")</f>
        <v/>
      </c>
      <c r="MU14" s="929" t="str">
        <f>IF(ISNUMBER(SEARCH($A14,VLOOKUP(MU$2,职业列表!$B$1:$G$370,6,0))),"★","")</f>
        <v/>
      </c>
      <c r="MV14" s="929" t="str">
        <f>IF(ISNUMBER(SEARCH($A14,VLOOKUP(MV$2,职业列表!$B$1:$G$370,6,0))),"★","")</f>
        <v/>
      </c>
      <c r="MW14" s="929" t="str">
        <f>IF(ISNUMBER(SEARCH($A14,VLOOKUP(MW$2,职业列表!$B$1:$G$370,6,0))),"★","")</f>
        <v/>
      </c>
      <c r="MX14" s="929" t="str">
        <f>IF(ISNUMBER(SEARCH($A14,VLOOKUP(MX$2,职业列表!$B$1:$G$370,6,0))),"★","")</f>
        <v/>
      </c>
      <c r="MY14" s="929" t="str">
        <f>IF(ISNUMBER(SEARCH($A14,VLOOKUP(MY$2,职业列表!$B$1:$G$370,6,0))),"★","")</f>
        <v/>
      </c>
      <c r="MZ14" s="929" t="str">
        <f>IF(ISNUMBER(SEARCH($A14,VLOOKUP(MZ$2,职业列表!$B$1:$G$370,6,0))),"★","")</f>
        <v/>
      </c>
      <c r="NA14" s="929" t="str">
        <f>IF(ISNUMBER(SEARCH($A14,VLOOKUP(NA$2,职业列表!$B$1:$G$370,6,0))),"★","")</f>
        <v/>
      </c>
      <c r="NB14" s="929" t="str">
        <f>IF(ISNUMBER(SEARCH($A14,VLOOKUP(NB$2,职业列表!$B$1:$G$370,6,0))),"★","")</f>
        <v/>
      </c>
      <c r="NC14" s="929" t="str">
        <f>IF(ISNUMBER(SEARCH($A14,VLOOKUP(NC$2,职业列表!$B$1:$G$370,6,0))),"★","")</f>
        <v/>
      </c>
      <c r="ND14" s="929" t="str">
        <f>IF(ISNUMBER(SEARCH($A14,VLOOKUP(ND$2,职业列表!$B$1:$G$370,6,0))),"★","")</f>
        <v/>
      </c>
      <c r="NE14" s="929" t="str">
        <f>IF(ISNUMBER(SEARCH($A14,VLOOKUP(NE$2,职业列表!$B$1:$G$370,6,0))),"★","")</f>
        <v/>
      </c>
    </row>
    <row r="15" customFormat="1" spans="1:369">
      <c r="A15" s="944" t="s">
        <v>79</v>
      </c>
      <c r="B15" s="945" t="str">
        <f>IF(OR(A15="说服",A15="话术",A15="取悦",A15="恐吓"),"☯",IF(ISNUMBER(SEARCH(A15,VLOOKUP(IX$2,职业列表!$B$1:$G$370,6,0))),"★",""))</f>
        <v>☯</v>
      </c>
      <c r="C15" s="945" t="str">
        <f>IF(ISTEXT(IFERROR(VLOOKUP(A15,职业列表!I3:J10,1,FALSE),0)),"★","")</f>
        <v/>
      </c>
      <c r="D15" s="945"/>
      <c r="E15" s="945"/>
      <c r="F15" s="946" t="s">
        <v>2718</v>
      </c>
      <c r="G15" s="945" t="s">
        <v>2718</v>
      </c>
      <c r="H15" s="945" t="s">
        <v>2718</v>
      </c>
      <c r="I15" s="945"/>
      <c r="J15" s="945"/>
      <c r="K15" s="945" t="s">
        <v>2718</v>
      </c>
      <c r="L15" s="945" t="s">
        <v>2718</v>
      </c>
      <c r="M15" s="945"/>
      <c r="N15" s="945"/>
      <c r="O15" s="945" t="s">
        <v>2718</v>
      </c>
      <c r="P15" s="946" t="s">
        <v>2718</v>
      </c>
      <c r="Q15" s="945" t="s">
        <v>2718</v>
      </c>
      <c r="R15" s="945"/>
      <c r="S15" s="945" t="s">
        <v>2718</v>
      </c>
      <c r="T15" s="945"/>
      <c r="U15" s="945" t="s">
        <v>2718</v>
      </c>
      <c r="V15" s="945" t="s">
        <v>2718</v>
      </c>
      <c r="W15" s="945"/>
      <c r="X15" s="945"/>
      <c r="Y15" s="945" t="s">
        <v>2718</v>
      </c>
      <c r="Z15" s="945"/>
      <c r="AA15" s="945" t="s">
        <v>2718</v>
      </c>
      <c r="AB15" s="945"/>
      <c r="AC15" s="945"/>
      <c r="AD15" s="945"/>
      <c r="AE15" s="945"/>
      <c r="AF15" s="945" t="s">
        <v>2718</v>
      </c>
      <c r="AG15" s="945"/>
      <c r="AH15" s="945" t="s">
        <v>2718</v>
      </c>
      <c r="AI15" s="945" t="s">
        <v>2718</v>
      </c>
      <c r="AJ15" s="945" t="s">
        <v>2718</v>
      </c>
      <c r="AK15" s="945" t="s">
        <v>2718</v>
      </c>
      <c r="AL15" s="945"/>
      <c r="AM15" s="945" t="s">
        <v>2718</v>
      </c>
      <c r="AN15" s="945" t="s">
        <v>2718</v>
      </c>
      <c r="AO15" s="945" t="s">
        <v>2718</v>
      </c>
      <c r="AP15" s="945" t="s">
        <v>2718</v>
      </c>
      <c r="AQ15" s="964"/>
      <c r="AR15" s="945" t="s">
        <v>2718</v>
      </c>
      <c r="AS15" s="945"/>
      <c r="AT15" s="945"/>
      <c r="AU15" s="945" t="s">
        <v>2718</v>
      </c>
      <c r="AV15" s="945" t="s">
        <v>2718</v>
      </c>
      <c r="AW15" s="945" t="s">
        <v>2718</v>
      </c>
      <c r="AX15" s="945"/>
      <c r="AY15" s="945" t="s">
        <v>2718</v>
      </c>
      <c r="AZ15" s="945" t="s">
        <v>74</v>
      </c>
      <c r="BA15" s="945"/>
      <c r="BB15" s="945" t="s">
        <v>2718</v>
      </c>
      <c r="BC15" s="945"/>
      <c r="BD15" s="945" t="s">
        <v>2718</v>
      </c>
      <c r="BE15" s="945"/>
      <c r="BF15" s="945"/>
      <c r="BG15" s="945" t="s">
        <v>2718</v>
      </c>
      <c r="BH15" s="945"/>
      <c r="BI15" s="945" t="s">
        <v>2718</v>
      </c>
      <c r="BJ15" s="945" t="s">
        <v>2718</v>
      </c>
      <c r="BK15" s="945" t="s">
        <v>2718</v>
      </c>
      <c r="BL15" s="945" t="s">
        <v>2718</v>
      </c>
      <c r="BM15" s="945"/>
      <c r="BN15" s="945" t="s">
        <v>2718</v>
      </c>
      <c r="BO15" s="945" t="s">
        <v>2718</v>
      </c>
      <c r="BP15" s="945" t="s">
        <v>2718</v>
      </c>
      <c r="BQ15" s="945"/>
      <c r="BR15" s="945"/>
      <c r="BS15" s="945"/>
      <c r="BT15" s="945"/>
      <c r="BU15" s="964"/>
      <c r="BV15" s="945" t="s">
        <v>2718</v>
      </c>
      <c r="BW15" s="945"/>
      <c r="BX15" s="945"/>
      <c r="BY15" s="945" t="s">
        <v>2718</v>
      </c>
      <c r="BZ15" s="945" t="s">
        <v>2718</v>
      </c>
      <c r="CA15" s="945"/>
      <c r="CB15" s="945"/>
      <c r="CC15" s="945" t="s">
        <v>2718</v>
      </c>
      <c r="CD15" s="945" t="s">
        <v>2718</v>
      </c>
      <c r="CE15" s="945" t="s">
        <v>2718</v>
      </c>
      <c r="CF15" s="945"/>
      <c r="CG15" s="945"/>
      <c r="CH15" s="945" t="s">
        <v>2718</v>
      </c>
      <c r="CI15" s="945" t="s">
        <v>2718</v>
      </c>
      <c r="CJ15" s="945" t="s">
        <v>2718</v>
      </c>
      <c r="CK15" s="945"/>
      <c r="CL15" s="945"/>
      <c r="CM15" s="945" t="s">
        <v>2718</v>
      </c>
      <c r="CN15" s="945" t="s">
        <v>2718</v>
      </c>
      <c r="CO15" s="945" t="s">
        <v>2718</v>
      </c>
      <c r="CP15" s="945"/>
      <c r="CQ15" s="945"/>
      <c r="CR15" s="945" t="s">
        <v>2718</v>
      </c>
      <c r="CS15" s="945"/>
      <c r="CT15" s="945"/>
      <c r="CU15" s="945" t="s">
        <v>2718</v>
      </c>
      <c r="CV15" s="945"/>
      <c r="CW15" s="945" t="s">
        <v>2718</v>
      </c>
      <c r="CX15" s="945" t="s">
        <v>2718</v>
      </c>
      <c r="CY15" s="945" t="s">
        <v>2718</v>
      </c>
      <c r="CZ15" s="945" t="s">
        <v>2718</v>
      </c>
      <c r="DA15" s="945" t="s">
        <v>2718</v>
      </c>
      <c r="DB15" s="945"/>
      <c r="DC15" s="945" t="s">
        <v>2718</v>
      </c>
      <c r="DD15" s="945"/>
      <c r="DE15" s="945"/>
      <c r="DF15" s="945"/>
      <c r="DG15" s="945" t="s">
        <v>2718</v>
      </c>
      <c r="DH15" s="945" t="s">
        <v>2718</v>
      </c>
      <c r="DI15" s="945" t="s">
        <v>2718</v>
      </c>
      <c r="DJ15" s="945" t="s">
        <v>2718</v>
      </c>
      <c r="DK15" s="945" t="s">
        <v>2718</v>
      </c>
      <c r="DL15" s="945" t="s">
        <v>2718</v>
      </c>
      <c r="DM15" s="945"/>
      <c r="DN15" s="945" t="s">
        <v>74</v>
      </c>
      <c r="DO15" s="945" t="s">
        <v>2718</v>
      </c>
      <c r="DP15" s="945" t="s">
        <v>2718</v>
      </c>
      <c r="DQ15" s="945" t="s">
        <v>2718</v>
      </c>
      <c r="DR15" s="945" t="s">
        <v>2718</v>
      </c>
      <c r="DS15" s="945" t="s">
        <v>2718</v>
      </c>
      <c r="DT15" s="945" t="s">
        <v>2718</v>
      </c>
      <c r="DU15" s="945" t="s">
        <v>2718</v>
      </c>
      <c r="DV15" s="945" t="s">
        <v>2718</v>
      </c>
      <c r="DW15" s="945" t="s">
        <v>2718</v>
      </c>
      <c r="DX15" s="945" t="s">
        <v>2718</v>
      </c>
      <c r="DY15" s="945" t="s">
        <v>2718</v>
      </c>
      <c r="DZ15" s="945" t="s">
        <v>2718</v>
      </c>
      <c r="EA15" s="945" t="s">
        <v>2718</v>
      </c>
      <c r="EB15" s="945" t="s">
        <v>2718</v>
      </c>
      <c r="EC15" s="945" t="s">
        <v>2718</v>
      </c>
      <c r="ED15" s="945"/>
      <c r="EE15" s="945" t="s">
        <v>2718</v>
      </c>
      <c r="EF15" s="945"/>
      <c r="EG15" s="945"/>
      <c r="EH15" s="945"/>
      <c r="EI15" s="945" t="s">
        <v>2718</v>
      </c>
      <c r="EJ15" s="945" t="s">
        <v>2718</v>
      </c>
      <c r="EK15" s="945" t="s">
        <v>2718</v>
      </c>
      <c r="EL15" s="945"/>
      <c r="EM15" s="945" t="s">
        <v>2718</v>
      </c>
      <c r="EN15" s="945"/>
      <c r="EO15" s="945" t="s">
        <v>2718</v>
      </c>
      <c r="EP15" s="945"/>
      <c r="EQ15" s="945" t="s">
        <v>74</v>
      </c>
      <c r="ER15" s="945" t="s">
        <v>2718</v>
      </c>
      <c r="ES15" s="945" t="s">
        <v>2718</v>
      </c>
      <c r="ET15" s="945" t="s">
        <v>2718</v>
      </c>
      <c r="EU15" s="945" t="s">
        <v>2718</v>
      </c>
      <c r="EV15" s="945" t="s">
        <v>2718</v>
      </c>
      <c r="EW15" s="945"/>
      <c r="EX15" s="945" t="s">
        <v>2718</v>
      </c>
      <c r="EY15" s="945" t="s">
        <v>2718</v>
      </c>
      <c r="EZ15" s="945"/>
      <c r="FA15" s="945" t="s">
        <v>2718</v>
      </c>
      <c r="FB15" s="945" t="s">
        <v>2718</v>
      </c>
      <c r="FC15" s="945"/>
      <c r="FD15" s="945"/>
      <c r="FE15" s="945" t="s">
        <v>2718</v>
      </c>
      <c r="FF15" s="945" t="s">
        <v>2718</v>
      </c>
      <c r="FG15" s="945" t="s">
        <v>2718</v>
      </c>
      <c r="FH15" s="945"/>
      <c r="FI15" s="945"/>
      <c r="FJ15" s="945"/>
      <c r="FK15" s="945"/>
      <c r="FL15" s="945"/>
      <c r="FM15" s="945" t="s">
        <v>2718</v>
      </c>
      <c r="FN15" s="945"/>
      <c r="FO15" s="945"/>
      <c r="FP15" s="945"/>
      <c r="FQ15" s="945" t="s">
        <v>2718</v>
      </c>
      <c r="FR15" s="945" t="s">
        <v>2718</v>
      </c>
      <c r="FS15" s="945"/>
      <c r="FT15" s="945"/>
      <c r="FU15" s="945"/>
      <c r="FV15" s="945" t="s">
        <v>2718</v>
      </c>
      <c r="FW15" s="945"/>
      <c r="FX15" s="945"/>
      <c r="FY15" s="945" t="s">
        <v>2718</v>
      </c>
      <c r="FZ15" s="945"/>
      <c r="GA15" s="945"/>
      <c r="GB15" s="945" t="s">
        <v>2718</v>
      </c>
      <c r="GC15" s="945"/>
      <c r="GD15" s="945"/>
      <c r="GE15" s="945"/>
      <c r="GF15" s="945" t="s">
        <v>2718</v>
      </c>
      <c r="GG15" s="945" t="s">
        <v>2718</v>
      </c>
      <c r="GH15" s="945" t="s">
        <v>2718</v>
      </c>
      <c r="GI15" s="945" t="s">
        <v>2718</v>
      </c>
      <c r="GJ15" s="945"/>
      <c r="GK15" s="945" t="s">
        <v>74</v>
      </c>
      <c r="GL15" s="945" t="s">
        <v>74</v>
      </c>
      <c r="GM15" s="945" t="s">
        <v>74</v>
      </c>
      <c r="GN15" s="945" t="s">
        <v>2718</v>
      </c>
      <c r="GO15" s="945" t="s">
        <v>2718</v>
      </c>
      <c r="GP15" s="945" t="s">
        <v>2718</v>
      </c>
      <c r="GQ15" s="945" t="s">
        <v>2718</v>
      </c>
      <c r="GR15" s="945"/>
      <c r="GS15" s="945"/>
      <c r="GT15" s="945" t="s">
        <v>2718</v>
      </c>
      <c r="GU15" s="945"/>
      <c r="GV15" s="945"/>
      <c r="GW15" s="945" t="s">
        <v>2718</v>
      </c>
      <c r="GX15" s="945" t="s">
        <v>2718</v>
      </c>
      <c r="GY15" s="946" t="s">
        <v>2718</v>
      </c>
      <c r="GZ15" s="945" t="s">
        <v>2718</v>
      </c>
      <c r="HA15" s="945" t="s">
        <v>2718</v>
      </c>
      <c r="HB15" s="945"/>
      <c r="HC15" s="945" t="s">
        <v>2718</v>
      </c>
      <c r="HD15" s="945"/>
      <c r="HE15" s="945" t="s">
        <v>2718</v>
      </c>
      <c r="HF15" s="945"/>
      <c r="HG15" s="946" t="s">
        <v>2718</v>
      </c>
      <c r="HH15" s="945" t="s">
        <v>2718</v>
      </c>
      <c r="HI15" s="945"/>
      <c r="HJ15" s="945" t="s">
        <v>2718</v>
      </c>
      <c r="HK15" s="946" t="s">
        <v>2718</v>
      </c>
      <c r="HL15" s="945"/>
      <c r="HM15" s="945" t="s">
        <v>2718</v>
      </c>
      <c r="HN15" s="946" t="s">
        <v>2718</v>
      </c>
      <c r="HO15" s="946" t="s">
        <v>2718</v>
      </c>
      <c r="HP15" s="945" t="s">
        <v>2718</v>
      </c>
      <c r="HQ15" s="945"/>
      <c r="HR15" s="946" t="s">
        <v>2718</v>
      </c>
      <c r="HS15" s="945" t="s">
        <v>2718</v>
      </c>
      <c r="HT15" s="945" t="s">
        <v>2718</v>
      </c>
      <c r="HU15" s="945"/>
      <c r="HV15" s="946" t="s">
        <v>2718</v>
      </c>
      <c r="HW15" s="945"/>
      <c r="HX15" s="993" t="s">
        <v>2718</v>
      </c>
      <c r="HY15" s="945" t="s">
        <v>2718</v>
      </c>
      <c r="HZ15" s="945" t="s">
        <v>2718</v>
      </c>
      <c r="IA15" s="1016"/>
      <c r="IB15" s="1016"/>
      <c r="IC15" s="993" t="s">
        <v>2718</v>
      </c>
      <c r="ID15" s="993" t="s">
        <v>2718</v>
      </c>
      <c r="IE15" s="1016"/>
      <c r="IF15" s="993" t="s">
        <v>2718</v>
      </c>
      <c r="IG15" s="945" t="s">
        <v>2718</v>
      </c>
      <c r="IH15" s="1016"/>
      <c r="II15" s="1016"/>
      <c r="IJ15" s="1016"/>
      <c r="IK15" s="1016"/>
      <c r="IL15" s="1016"/>
      <c r="IM15" s="1016"/>
      <c r="IN15" s="1016"/>
      <c r="IO15" s="1039" t="s">
        <v>2718</v>
      </c>
      <c r="IP15" s="993" t="s">
        <v>2718</v>
      </c>
      <c r="IQ15" s="993"/>
      <c r="IR15" s="1040"/>
      <c r="IS15" s="945" t="s">
        <v>2718</v>
      </c>
      <c r="IT15" s="945" t="s">
        <v>2718</v>
      </c>
      <c r="IU15" s="945" t="s">
        <v>2718</v>
      </c>
      <c r="IV15" s="945" t="s">
        <v>2718</v>
      </c>
      <c r="IW15" s="1040"/>
      <c r="IX15" s="929" t="str">
        <f>IF(ISNUMBER(SEARCH($A15,VLOOKUP(IX$2,职业列表!$B$1:$G$370,6,0))),"★","")</f>
        <v>★</v>
      </c>
      <c r="IY15" s="929" t="str">
        <f>IF(ISNUMBER(SEARCH($A15,VLOOKUP(IY$2,职业列表!$B$1:$G$370,6,0))),"★","")</f>
        <v>★</v>
      </c>
      <c r="IZ15" s="929" t="str">
        <f>IF(ISNUMBER(SEARCH($A15,VLOOKUP(IZ$2,职业列表!$B$1:$G$370,6,0))),"★","")</f>
        <v/>
      </c>
      <c r="JA15" s="929" t="str">
        <f>IF(ISNUMBER(SEARCH($A15,VLOOKUP(JA$2,职业列表!$B$1:$G$370,6,0))),"★","")</f>
        <v/>
      </c>
      <c r="JB15" s="929" t="str">
        <f>IF(ISNUMBER(SEARCH($A15,VLOOKUP(JB$2,职业列表!$B$1:$G$370,6,0))),"★","")</f>
        <v/>
      </c>
      <c r="JC15" s="929" t="str">
        <f>IF(ISNUMBER(SEARCH($A15,VLOOKUP(JC$2,职业列表!$B$1:$G$370,6,0))),"★","")</f>
        <v/>
      </c>
      <c r="JD15" s="929" t="str">
        <f>IF(ISNUMBER(SEARCH($A15,VLOOKUP(JD$2,职业列表!$B$1:$G$370,6,0))),"★","")</f>
        <v/>
      </c>
      <c r="JE15" s="929" t="str">
        <f>IF(ISNUMBER(SEARCH($A15,VLOOKUP(JE$2,职业列表!$B$1:$G$370,6,0))),"★","")</f>
        <v/>
      </c>
      <c r="JF15" s="929" t="str">
        <f>IF(ISNUMBER(SEARCH($A15,VLOOKUP(JF$2,职业列表!$B$1:$G$370,6,0))),"★","")</f>
        <v/>
      </c>
      <c r="JG15" s="929" t="str">
        <f>IF(ISNUMBER(SEARCH($A15,VLOOKUP(JG$2,职业列表!$B$1:$G$370,6,0))),"★","")</f>
        <v/>
      </c>
      <c r="JH15" s="929" t="str">
        <f>IF(ISNUMBER(SEARCH($A15,VLOOKUP(JH$2,职业列表!$B$1:$G$370,6,0))),"★","")</f>
        <v/>
      </c>
      <c r="JI15" s="929" t="str">
        <f>IF(ISNUMBER(SEARCH($A15,VLOOKUP(JI$2,职业列表!$B$1:$G$370,6,0))),"★","")</f>
        <v/>
      </c>
      <c r="JJ15" s="929" t="str">
        <f>IF(ISNUMBER(SEARCH($A15,VLOOKUP(JJ$2,职业列表!$B$1:$G$370,6,0))),"★","")</f>
        <v/>
      </c>
      <c r="JK15" s="929" t="str">
        <f>IF(ISNUMBER(SEARCH($A15,VLOOKUP(JK$2,职业列表!$B$1:$G$370,6,0))),"★","")</f>
        <v/>
      </c>
      <c r="JL15" s="929" t="str">
        <f>IF(ISNUMBER(SEARCH($A15,VLOOKUP(JL$2,职业列表!$B$1:$G$370,6,0))),"★","")</f>
        <v/>
      </c>
      <c r="JM15" s="929" t="str">
        <f>IF(ISNUMBER(SEARCH($A15,VLOOKUP(JM$2,职业列表!$B$1:$G$370,6,0))),"★","")</f>
        <v/>
      </c>
      <c r="JN15" s="929" t="str">
        <f>IF(ISNUMBER(SEARCH($A15,VLOOKUP(JN$2,职业列表!$B$1:$G$370,6,0))),"★","")</f>
        <v/>
      </c>
      <c r="JO15" s="929" t="str">
        <f>IF(ISNUMBER(SEARCH($A15,VLOOKUP(JO$2,职业列表!$B$1:$G$370,6,0))),"★","")</f>
        <v/>
      </c>
      <c r="JP15" s="929" t="str">
        <f>IF(ISNUMBER(SEARCH($A15,VLOOKUP(JP$2,职业列表!$B$1:$G$370,6,0))),"★","")</f>
        <v/>
      </c>
      <c r="JQ15" s="929" t="str">
        <f>IF(ISNUMBER(SEARCH($A15,VLOOKUP(JQ$2,职业列表!$B$1:$G$370,6,0))),"★","")</f>
        <v/>
      </c>
      <c r="JR15" s="929" t="str">
        <f>IF(ISNUMBER(SEARCH($A15,VLOOKUP(JR$2,职业列表!$B$1:$G$370,6,0))),"★","")</f>
        <v/>
      </c>
      <c r="JS15" s="929" t="str">
        <f>IF(ISNUMBER(SEARCH($A15,VLOOKUP(JS$2,职业列表!$B$1:$G$370,6,0))),"★","")</f>
        <v/>
      </c>
      <c r="JT15" s="929" t="str">
        <f>IF(ISNUMBER(SEARCH($A15,VLOOKUP(JT$2,职业列表!$B$1:$G$370,6,0))),"★","")</f>
        <v/>
      </c>
      <c r="JU15" s="929" t="str">
        <f>IF(ISNUMBER(SEARCH($A15,VLOOKUP(JU$2,职业列表!$B$1:$G$370,6,0))),"★","")</f>
        <v/>
      </c>
      <c r="JV15" s="929" t="str">
        <f>IF(ISNUMBER(SEARCH($A15,VLOOKUP(JV$2,职业列表!$B$1:$G$370,6,0))),"★","")</f>
        <v/>
      </c>
      <c r="JW15" s="929" t="str">
        <f>IF(ISNUMBER(SEARCH($A15,VLOOKUP(JW$2,职业列表!$B$1:$G$370,6,0))),"★","")</f>
        <v/>
      </c>
      <c r="JX15" s="929" t="str">
        <f>IF(ISNUMBER(SEARCH($A15,VLOOKUP(JX$2,职业列表!$B$1:$G$370,6,0))),"★","")</f>
        <v/>
      </c>
      <c r="JY15" s="929" t="str">
        <f>IF(ISNUMBER(SEARCH($A15,VLOOKUP(JY$2,职业列表!$B$1:$G$370,6,0))),"★","")</f>
        <v/>
      </c>
      <c r="JZ15" s="929" t="str">
        <f>IF(ISNUMBER(SEARCH($A15,VLOOKUP(JZ$2,职业列表!$B$1:$G$370,6,0))),"★","")</f>
        <v/>
      </c>
      <c r="KA15" s="929" t="str">
        <f>IF(ISNUMBER(SEARCH($A15,VLOOKUP(KA$2,职业列表!$B$1:$G$370,6,0))),"★","")</f>
        <v/>
      </c>
      <c r="KB15" s="929" t="str">
        <f>IF(ISNUMBER(SEARCH($A15,VLOOKUP(KB$2,职业列表!$B$1:$G$370,6,0))),"★","")</f>
        <v/>
      </c>
      <c r="KC15" s="929" t="str">
        <f>IF(ISNUMBER(SEARCH($A15,VLOOKUP(KC$2,职业列表!$B$1:$G$370,6,0))),"★","")</f>
        <v/>
      </c>
      <c r="KD15" s="929" t="str">
        <f>IF(ISNUMBER(SEARCH($A15,VLOOKUP(KD$2,职业列表!$B$1:$G$370,6,0))),"★","")</f>
        <v/>
      </c>
      <c r="KE15" s="929" t="str">
        <f>IF(ISNUMBER(SEARCH($A15,VLOOKUP(KE$2,职业列表!$B$1:$G$370,6,0))),"★","")</f>
        <v>★</v>
      </c>
      <c r="KF15" s="929" t="str">
        <f>IF(ISNUMBER(SEARCH($A15,VLOOKUP(KF$2,职业列表!$B$1:$G$370,6,0))),"★","")</f>
        <v/>
      </c>
      <c r="KG15" s="929" t="str">
        <f>IF(ISNUMBER(SEARCH($A15,VLOOKUP(KG$2,职业列表!$B$1:$G$370,6,0))),"★","")</f>
        <v/>
      </c>
      <c r="KH15" s="929" t="str">
        <f>IF(ISNUMBER(SEARCH($A15,VLOOKUP(KH$2,职业列表!$B$1:$G$370,6,0))),"★","")</f>
        <v/>
      </c>
      <c r="KI15" s="929" t="str">
        <f>IF(ISNUMBER(SEARCH($A15,VLOOKUP(KI$2,职业列表!$B$1:$G$370,6,0))),"★","")</f>
        <v/>
      </c>
      <c r="KJ15" s="929" t="str">
        <f>IF(ISNUMBER(SEARCH($A15,VLOOKUP(KJ$2,职业列表!$B$1:$G$370,6,0))),"★","")</f>
        <v/>
      </c>
      <c r="KK15" s="929" t="str">
        <f>IF(ISNUMBER(SEARCH($A15,VLOOKUP(KK$2,职业列表!$B$1:$G$370,6,0))),"★","")</f>
        <v/>
      </c>
      <c r="KL15" s="929" t="str">
        <f>IF(ISNUMBER(SEARCH($A15,VLOOKUP(KL$2,职业列表!$B$1:$G$370,6,0))),"★","")</f>
        <v/>
      </c>
      <c r="KM15" s="929" t="str">
        <f>IF(ISNUMBER(SEARCH($A15,VLOOKUP(KM$2,职业列表!$B$1:$G$370,6,0))),"★","")</f>
        <v/>
      </c>
      <c r="KN15" s="929" t="str">
        <f>IF(ISNUMBER(SEARCH($A15,VLOOKUP(KN$2,职业列表!$B$1:$G$370,6,0))),"★","")</f>
        <v/>
      </c>
      <c r="KO15" s="929" t="str">
        <f>IF(ISNUMBER(SEARCH($A15,VLOOKUP(KO$2,职业列表!$B$1:$G$370,6,0))),"★","")</f>
        <v>★</v>
      </c>
      <c r="KP15" s="929" t="str">
        <f>IF(ISNUMBER(SEARCH($A15,VLOOKUP(KP$2,职业列表!$B$1:$G$370,6,0))),"★","")</f>
        <v/>
      </c>
      <c r="KQ15" s="929" t="str">
        <f>IF(ISNUMBER(SEARCH($A15,VLOOKUP(KQ$2,职业列表!$B$1:$G$370,6,0))),"★","")</f>
        <v/>
      </c>
      <c r="KR15" s="929" t="str">
        <f>IF(ISNUMBER(SEARCH($A15,VLOOKUP(KR$2,职业列表!$B$1:$G$370,6,0))),"★","")</f>
        <v/>
      </c>
      <c r="KS15" s="929" t="str">
        <f>IF(ISNUMBER(SEARCH($A15,VLOOKUP(KS$2,职业列表!$B$1:$G$370,6,0))),"★","")</f>
        <v/>
      </c>
      <c r="KT15" s="929" t="str">
        <f>IF(ISNUMBER(SEARCH($A15,VLOOKUP(KT$2,职业列表!$B$1:$G$370,6,0))),"★","")</f>
        <v/>
      </c>
      <c r="KU15" s="929" t="str">
        <f>IF(ISNUMBER(SEARCH($A15,VLOOKUP(KU$2,职业列表!$B$1:$G$370,6,0))),"★","")</f>
        <v/>
      </c>
      <c r="KV15" s="929" t="str">
        <f>IF(ISNUMBER(SEARCH($A15,VLOOKUP(KV$2,职业列表!$B$1:$G$370,6,0))),"★","")</f>
        <v/>
      </c>
      <c r="KW15" s="929" t="str">
        <f>IF(ISNUMBER(SEARCH($A15,VLOOKUP(KW$2,职业列表!$B$1:$G$370,6,0))),"★","")</f>
        <v/>
      </c>
      <c r="KX15" s="929" t="str">
        <f>IF(ISNUMBER(SEARCH($A15,VLOOKUP(KX$2,职业列表!$B$1:$G$370,6,0))),"★","")</f>
        <v/>
      </c>
      <c r="KY15" s="929" t="str">
        <f>IF(ISNUMBER(SEARCH($A15,VLOOKUP(KY$2,职业列表!$B$1:$G$370,6,0))),"★","")</f>
        <v/>
      </c>
      <c r="KZ15" s="929" t="str">
        <f>IF(ISNUMBER(SEARCH($A15,VLOOKUP(KZ$2,职业列表!$B$1:$G$370,6,0))),"★","")</f>
        <v/>
      </c>
      <c r="LA15" s="929" t="str">
        <f>IF(ISNUMBER(SEARCH($A15,VLOOKUP(LA$2,职业列表!$B$1:$G$370,6,0))),"★","")</f>
        <v/>
      </c>
      <c r="LB15" s="929" t="str">
        <f>IF(ISNUMBER(SEARCH($A15,VLOOKUP(LB$2,职业列表!$B$1:$G$370,6,0))),"★","")</f>
        <v/>
      </c>
      <c r="LC15" s="929" t="str">
        <f>IF(ISNUMBER(SEARCH($A15,VLOOKUP(LC$2,职业列表!$B$1:$G$370,6,0))),"★","")</f>
        <v/>
      </c>
      <c r="LD15" s="929" t="str">
        <f>IF(ISNUMBER(SEARCH($A15,VLOOKUP(LD$2,职业列表!$B$1:$G$370,6,0))),"★","")</f>
        <v>★</v>
      </c>
      <c r="LE15" s="929" t="str">
        <f>IF(ISNUMBER(SEARCH($A15,VLOOKUP(LE$2,职业列表!$B$1:$G$370,6,0))),"★","")</f>
        <v>★</v>
      </c>
      <c r="LF15" s="929" t="str">
        <f>IF(ISNUMBER(SEARCH($A15,VLOOKUP(LF$2,职业列表!$B$1:$G$370,6,0))),"★","")</f>
        <v>★</v>
      </c>
      <c r="LG15" s="929" t="str">
        <f>IF(ISNUMBER(SEARCH($A15,VLOOKUP(LG$2,职业列表!$B$1:$G$370,6,0))),"★","")</f>
        <v/>
      </c>
      <c r="LH15" s="929" t="str">
        <f>IF(ISNUMBER(SEARCH($A15,VLOOKUP(LH$2,职业列表!$B$1:$G$370,6,0))),"★","")</f>
        <v>★</v>
      </c>
      <c r="LI15" s="929" t="str">
        <f>IF(ISNUMBER(SEARCH($A15,VLOOKUP(LI$2,职业列表!$B$1:$G$370,6,0))),"★","")</f>
        <v/>
      </c>
      <c r="LJ15" s="929" t="str">
        <f>IF(ISNUMBER(SEARCH($A15,VLOOKUP(LJ$2,职业列表!$B$1:$G$370,6,0))),"★","")</f>
        <v/>
      </c>
      <c r="LK15" s="929" t="str">
        <f>IF(ISNUMBER(SEARCH($A15,VLOOKUP(LK$2,职业列表!$B$1:$G$370,6,0))),"★","")</f>
        <v/>
      </c>
      <c r="LL15" s="929" t="str">
        <f>IF(ISNUMBER(SEARCH($A15,VLOOKUP(LL$2,职业列表!$B$1:$G$370,6,0))),"★","")</f>
        <v/>
      </c>
      <c r="LM15" s="929" t="str">
        <f>IF(ISNUMBER(SEARCH($A15,VLOOKUP(LM$2,职业列表!$B$1:$G$370,6,0))),"★","")</f>
        <v/>
      </c>
      <c r="LN15" s="929" t="str">
        <f>IF(ISNUMBER(SEARCH($A15,VLOOKUP(LN$2,职业列表!$B$1:$G$370,6,0))),"★","")</f>
        <v/>
      </c>
      <c r="LO15" s="929" t="str">
        <f>IF(ISNUMBER(SEARCH($A15,VLOOKUP(LO$2,职业列表!$B$1:$G$370,6,0))),"★","")</f>
        <v/>
      </c>
      <c r="LP15" s="929" t="str">
        <f>IF(ISNUMBER(SEARCH($A15,VLOOKUP(LP$2,职业列表!$B$1:$G$370,6,0))),"★","")</f>
        <v/>
      </c>
      <c r="LQ15" s="929" t="str">
        <f>IF(ISNUMBER(SEARCH($A15,VLOOKUP(LQ$2,职业列表!$B$1:$G$370,6,0))),"★","")</f>
        <v/>
      </c>
      <c r="LR15" s="929" t="str">
        <f>IF(ISNUMBER(SEARCH($A15,VLOOKUP(LR$2,职业列表!$B$1:$G$370,6,0))),"★","")</f>
        <v/>
      </c>
      <c r="LS15" s="929" t="str">
        <f>IF(ISNUMBER(SEARCH($A15,VLOOKUP(LS$2,职业列表!$B$1:$G$370,6,0))),"★","")</f>
        <v/>
      </c>
      <c r="LT15" s="929" t="str">
        <f>IF(ISNUMBER(SEARCH($A15,VLOOKUP(LT$2,职业列表!$B$1:$G$370,6,0))),"★","")</f>
        <v/>
      </c>
      <c r="LU15" s="929" t="str">
        <f>IF(ISNUMBER(SEARCH($A15,VLOOKUP(LU$2,职业列表!$B$1:$G$370,6,0))),"★","")</f>
        <v/>
      </c>
      <c r="LV15" s="929" t="str">
        <f>IF(ISNUMBER(SEARCH($A15,VLOOKUP(LV$2,职业列表!$B$1:$G$370,6,0))),"★","")</f>
        <v>★</v>
      </c>
      <c r="LW15" s="929" t="str">
        <f>IF(ISNUMBER(SEARCH($A15,VLOOKUP(LW$2,职业列表!$B$1:$G$370,6,0))),"★","")</f>
        <v/>
      </c>
      <c r="LX15" s="929" t="str">
        <f>IF(ISNUMBER(SEARCH($A15,VLOOKUP(LX$2,职业列表!$B$1:$G$370,6,0))),"★","")</f>
        <v/>
      </c>
      <c r="LY15" s="929" t="str">
        <f>IF(ISNUMBER(SEARCH($A15,VLOOKUP(LY$2,职业列表!$B$1:$G$370,6,0))),"★","")</f>
        <v/>
      </c>
      <c r="LZ15" s="929" t="str">
        <f>IF(ISNUMBER(SEARCH($A15,VLOOKUP(LZ$2,职业列表!$B$1:$G$370,6,0))),"★","")</f>
        <v/>
      </c>
      <c r="MA15" s="929" t="str">
        <f>IF(ISNUMBER(SEARCH($A15,VLOOKUP(MA$2,职业列表!$B$1:$G$370,6,0))),"★","")</f>
        <v/>
      </c>
      <c r="MB15" s="929" t="str">
        <f>IF(ISNUMBER(SEARCH($A15,VLOOKUP(MB$2,职业列表!$B$1:$G$370,6,0))),"★","")</f>
        <v/>
      </c>
      <c r="MC15" s="929" t="str">
        <f>IF(ISNUMBER(SEARCH($A15,VLOOKUP(MC$2,职业列表!$B$1:$G$370,6,0))),"★","")</f>
        <v>★</v>
      </c>
      <c r="MD15" s="929" t="str">
        <f>IF(ISNUMBER(SEARCH($A15,VLOOKUP(MD$2,职业列表!$B$1:$G$370,6,0))),"★","")</f>
        <v/>
      </c>
      <c r="ME15" s="929" t="str">
        <f>IF(ISNUMBER(SEARCH($A15,VLOOKUP(ME$2,职业列表!$B$1:$G$370,6,0))),"★","")</f>
        <v/>
      </c>
      <c r="MF15" s="929" t="str">
        <f>IF(ISNUMBER(SEARCH($A15,VLOOKUP(MF$2,职业列表!$B$1:$G$370,6,0))),"★","")</f>
        <v/>
      </c>
      <c r="MG15" s="929" t="str">
        <f>IF(ISNUMBER(SEARCH($A15,VLOOKUP(MG$2,职业列表!$B$1:$G$370,6,0))),"★","")</f>
        <v/>
      </c>
      <c r="MH15" s="929" t="str">
        <f>IF(ISNUMBER(SEARCH($A15,VLOOKUP(MH$2,职业列表!$B$1:$G$370,6,0))),"★","")</f>
        <v/>
      </c>
      <c r="MI15" s="929" t="str">
        <f>IF(ISNUMBER(SEARCH($A15,VLOOKUP(MI$2,职业列表!$B$1:$G$370,6,0))),"★","")</f>
        <v/>
      </c>
      <c r="MJ15" s="929" t="str">
        <f>IF(ISNUMBER(SEARCH($A15,VLOOKUP(MJ$2,职业列表!$B$1:$G$370,6,0))),"★","")</f>
        <v/>
      </c>
      <c r="MK15" s="929" t="str">
        <f>IF(ISNUMBER(SEARCH($A15,VLOOKUP(MK$2,职业列表!$B$1:$G$370,6,0))),"★","")</f>
        <v/>
      </c>
      <c r="ML15" s="929" t="str">
        <f>IF(ISNUMBER(SEARCH($A15,VLOOKUP(ML$2,职业列表!$B$1:$G$370,6,0))),"★","")</f>
        <v/>
      </c>
      <c r="MM15" s="929" t="str">
        <f>IF(ISNUMBER(SEARCH($A15,VLOOKUP(MM$2,职业列表!$B$1:$G$370,6,0))),"★","")</f>
        <v>★</v>
      </c>
      <c r="MN15" s="929" t="str">
        <f>IF(ISNUMBER(SEARCH($A15,VLOOKUP(MN$2,职业列表!$B$1:$G$370,6,0))),"★","")</f>
        <v/>
      </c>
      <c r="MO15" s="929" t="str">
        <f>IF(ISNUMBER(SEARCH($A15,VLOOKUP(MO$2,职业列表!$B$1:$G$370,6,0))),"★","")</f>
        <v/>
      </c>
      <c r="MP15" s="929" t="str">
        <f>IF(ISNUMBER(SEARCH($A15,VLOOKUP(MP$2,职业列表!$B$1:$G$370,6,0))),"★","")</f>
        <v/>
      </c>
      <c r="MQ15" s="929" t="str">
        <f>IF(ISNUMBER(SEARCH($A15,VLOOKUP(MQ$2,职业列表!$B$1:$G$370,6,0))),"★","")</f>
        <v>★</v>
      </c>
      <c r="MR15" s="929" t="str">
        <f>IF(ISNUMBER(SEARCH($A15,VLOOKUP(MR$2,职业列表!$B$1:$G$370,6,0))),"★","")</f>
        <v/>
      </c>
      <c r="MS15" s="929" t="str">
        <f>IF(ISNUMBER(SEARCH($A15,VLOOKUP(MS$2,职业列表!$B$1:$G$370,6,0))),"★","")</f>
        <v/>
      </c>
      <c r="MT15" s="929" t="str">
        <f>IF(ISNUMBER(SEARCH($A15,VLOOKUP(MT$2,职业列表!$B$1:$G$370,6,0))),"★","")</f>
        <v/>
      </c>
      <c r="MU15" s="929" t="str">
        <f>IF(ISNUMBER(SEARCH($A15,VLOOKUP(MU$2,职业列表!$B$1:$G$370,6,0))),"★","")</f>
        <v/>
      </c>
      <c r="MV15" s="929" t="str">
        <f>IF(ISNUMBER(SEARCH($A15,VLOOKUP(MV$2,职业列表!$B$1:$G$370,6,0))),"★","")</f>
        <v>★</v>
      </c>
      <c r="MW15" s="929" t="str">
        <f>IF(ISNUMBER(SEARCH($A15,VLOOKUP(MW$2,职业列表!$B$1:$G$370,6,0))),"★","")</f>
        <v/>
      </c>
      <c r="MX15" s="929" t="str">
        <f>IF(ISNUMBER(SEARCH($A15,VLOOKUP(MX$2,职业列表!$B$1:$G$370,6,0))),"★","")</f>
        <v>★</v>
      </c>
      <c r="MY15" s="929" t="str">
        <f>IF(ISNUMBER(SEARCH($A15,VLOOKUP(MY$2,职业列表!$B$1:$G$370,6,0))),"★","")</f>
        <v/>
      </c>
      <c r="MZ15" s="929" t="str">
        <f>IF(ISNUMBER(SEARCH($A15,VLOOKUP(MZ$2,职业列表!$B$1:$G$370,6,0))),"★","")</f>
        <v/>
      </c>
      <c r="NA15" s="929" t="str">
        <f>IF(ISNUMBER(SEARCH($A15,VLOOKUP(NA$2,职业列表!$B$1:$G$370,6,0))),"★","")</f>
        <v/>
      </c>
      <c r="NB15" s="929" t="str">
        <f>IF(ISNUMBER(SEARCH($A15,VLOOKUP(NB$2,职业列表!$B$1:$G$370,6,0))),"★","")</f>
        <v/>
      </c>
      <c r="NC15" s="929" t="str">
        <f>IF(ISNUMBER(SEARCH($A15,VLOOKUP(NC$2,职业列表!$B$1:$G$370,6,0))),"★","")</f>
        <v/>
      </c>
      <c r="ND15" s="929" t="str">
        <f>IF(ISNUMBER(SEARCH($A15,VLOOKUP(ND$2,职业列表!$B$1:$G$370,6,0))),"★","")</f>
        <v/>
      </c>
      <c r="NE15" s="929" t="str">
        <f>IF(ISNUMBER(SEARCH($A15,VLOOKUP(NE$2,职业列表!$B$1:$G$370,6,0))),"★","")</f>
        <v/>
      </c>
    </row>
    <row r="16" customFormat="1" spans="1:369">
      <c r="A16" s="932" t="s">
        <v>82</v>
      </c>
      <c r="B16" s="939" t="str">
        <f>IF(OR(A16="说服",A16="话术",A16="取悦",A16="恐吓"),"☯",IF(ISNUMBER(SEARCH(A16,VLOOKUP(IX$2,职业列表!$B$1:$G$370,6,0))),"★",""))</f>
        <v/>
      </c>
      <c r="C16" s="939" t="str">
        <f>IF(ISTEXT(IFERROR(VLOOKUP(A16,职业列表!I3:J10,1,FALSE),0)),"★","")</f>
        <v/>
      </c>
      <c r="D16" s="939"/>
      <c r="E16" s="939" t="s">
        <v>74</v>
      </c>
      <c r="F16" s="939"/>
      <c r="G16" s="939"/>
      <c r="H16" s="939"/>
      <c r="I16" s="939"/>
      <c r="J16" s="939"/>
      <c r="K16" s="939"/>
      <c r="L16" s="939"/>
      <c r="M16" s="939"/>
      <c r="N16" s="939"/>
      <c r="O16" s="939"/>
      <c r="P16" s="939"/>
      <c r="Q16" s="939" t="s">
        <v>74</v>
      </c>
      <c r="R16" s="939"/>
      <c r="S16" s="939"/>
      <c r="T16" s="939"/>
      <c r="U16" s="939"/>
      <c r="V16" s="939"/>
      <c r="W16" s="939"/>
      <c r="X16" s="939"/>
      <c r="Y16" s="939"/>
      <c r="Z16" s="939"/>
      <c r="AA16" s="939"/>
      <c r="AB16" s="939"/>
      <c r="AC16" s="939"/>
      <c r="AD16" s="939"/>
      <c r="AE16" s="939"/>
      <c r="AF16" s="939"/>
      <c r="AG16" s="939" t="s">
        <v>74</v>
      </c>
      <c r="AH16" s="939"/>
      <c r="AI16" s="939"/>
      <c r="AJ16" s="939"/>
      <c r="AK16" s="939"/>
      <c r="AL16" s="939"/>
      <c r="AM16" s="939"/>
      <c r="AN16" s="939" t="s">
        <v>74</v>
      </c>
      <c r="AO16" s="939"/>
      <c r="AP16" s="939"/>
      <c r="AQ16" s="939"/>
      <c r="AR16" s="939"/>
      <c r="AS16" s="939"/>
      <c r="AT16" s="939"/>
      <c r="AU16" s="939" t="s">
        <v>74</v>
      </c>
      <c r="AV16" s="939"/>
      <c r="AW16" s="939"/>
      <c r="AX16" s="939"/>
      <c r="AY16" s="939"/>
      <c r="AZ16" s="939"/>
      <c r="BA16" s="939"/>
      <c r="BB16" s="939"/>
      <c r="BC16" s="939" t="s">
        <v>2716</v>
      </c>
      <c r="BD16" s="939"/>
      <c r="BE16" s="939"/>
      <c r="BF16" s="939" t="s">
        <v>74</v>
      </c>
      <c r="BG16" s="939"/>
      <c r="BH16" s="939"/>
      <c r="BI16" s="939"/>
      <c r="BJ16" s="939"/>
      <c r="BK16" s="939"/>
      <c r="BL16" s="939"/>
      <c r="BM16" s="939" t="s">
        <v>74</v>
      </c>
      <c r="BN16" s="939"/>
      <c r="BO16" s="939"/>
      <c r="BP16" s="939"/>
      <c r="BQ16" s="939"/>
      <c r="BR16" s="939"/>
      <c r="BS16" s="939"/>
      <c r="BT16" s="939" t="s">
        <v>74</v>
      </c>
      <c r="BU16" s="939" t="s">
        <v>74</v>
      </c>
      <c r="BV16" s="939"/>
      <c r="BW16" s="939"/>
      <c r="BX16" s="939" t="s">
        <v>74</v>
      </c>
      <c r="BY16" s="939"/>
      <c r="BZ16" s="939"/>
      <c r="CA16" s="939" t="s">
        <v>74</v>
      </c>
      <c r="CB16" s="939"/>
      <c r="CC16" s="939"/>
      <c r="CD16" s="939"/>
      <c r="CE16" s="939"/>
      <c r="CF16" s="939"/>
      <c r="CG16" s="939"/>
      <c r="CH16" s="939"/>
      <c r="CI16" s="939"/>
      <c r="CJ16" s="939" t="s">
        <v>74</v>
      </c>
      <c r="CK16" s="939"/>
      <c r="CL16" s="939"/>
      <c r="CM16" s="939"/>
      <c r="CN16" s="939"/>
      <c r="CO16" s="939"/>
      <c r="CP16" s="939"/>
      <c r="CQ16" s="939" t="s">
        <v>74</v>
      </c>
      <c r="CR16" s="939"/>
      <c r="CS16" s="939"/>
      <c r="CT16" s="939"/>
      <c r="CU16" s="939"/>
      <c r="CV16" s="939"/>
      <c r="CW16" s="939"/>
      <c r="CX16" s="939"/>
      <c r="CY16" s="939"/>
      <c r="CZ16" s="939"/>
      <c r="DA16" s="939"/>
      <c r="DB16" s="939" t="s">
        <v>2716</v>
      </c>
      <c r="DC16" s="939"/>
      <c r="DD16" s="939"/>
      <c r="DE16" s="939" t="s">
        <v>74</v>
      </c>
      <c r="DF16" s="939" t="s">
        <v>74</v>
      </c>
      <c r="DG16" s="939"/>
      <c r="DH16" s="939"/>
      <c r="DI16" s="939"/>
      <c r="DJ16" s="939"/>
      <c r="DK16" s="939"/>
      <c r="DL16" s="939"/>
      <c r="DM16" s="939"/>
      <c r="DN16" s="939"/>
      <c r="DO16" s="939" t="s">
        <v>74</v>
      </c>
      <c r="DP16" s="939" t="s">
        <v>74</v>
      </c>
      <c r="DQ16" s="939"/>
      <c r="DR16" s="939" t="s">
        <v>74</v>
      </c>
      <c r="DS16" s="939"/>
      <c r="DT16" s="939"/>
      <c r="DU16" s="939"/>
      <c r="DV16" s="939"/>
      <c r="DW16" s="939"/>
      <c r="DX16" s="939"/>
      <c r="DY16" s="939"/>
      <c r="DZ16" s="939"/>
      <c r="EA16" s="939"/>
      <c r="EB16" s="939"/>
      <c r="EC16" s="939"/>
      <c r="ED16" s="939"/>
      <c r="EE16" s="939"/>
      <c r="EF16" s="939"/>
      <c r="EG16" s="939"/>
      <c r="EH16" s="939"/>
      <c r="EI16" s="939"/>
      <c r="EJ16" s="939" t="s">
        <v>2716</v>
      </c>
      <c r="EK16" s="939" t="s">
        <v>74</v>
      </c>
      <c r="EL16" s="939"/>
      <c r="EM16" s="939"/>
      <c r="EN16" s="939" t="s">
        <v>74</v>
      </c>
      <c r="EO16" s="939"/>
      <c r="EP16" s="939"/>
      <c r="EQ16" s="939"/>
      <c r="ER16" s="939"/>
      <c r="ES16" s="939"/>
      <c r="ET16" s="939"/>
      <c r="EU16" s="939"/>
      <c r="EV16" s="939"/>
      <c r="EW16" s="939"/>
      <c r="EX16" s="939"/>
      <c r="EY16" s="939"/>
      <c r="EZ16" s="939"/>
      <c r="FA16" s="939"/>
      <c r="FB16" s="939" t="s">
        <v>74</v>
      </c>
      <c r="FC16" s="939"/>
      <c r="FD16" s="939"/>
      <c r="FE16" s="939"/>
      <c r="FF16" s="939"/>
      <c r="FG16" s="939"/>
      <c r="FH16" s="939"/>
      <c r="FI16" s="939" t="s">
        <v>74</v>
      </c>
      <c r="FJ16" s="939"/>
      <c r="FK16" s="939"/>
      <c r="FL16" s="939"/>
      <c r="FM16" s="939"/>
      <c r="FN16" s="939"/>
      <c r="FO16" s="939"/>
      <c r="FP16" s="939"/>
      <c r="FQ16" s="939"/>
      <c r="FR16" s="939"/>
      <c r="FS16" s="939"/>
      <c r="FT16" s="939"/>
      <c r="FU16" s="939" t="s">
        <v>74</v>
      </c>
      <c r="FV16" s="939"/>
      <c r="FW16" s="939"/>
      <c r="FX16" s="939" t="s">
        <v>74</v>
      </c>
      <c r="FY16" s="939"/>
      <c r="FZ16" s="939"/>
      <c r="GA16" s="939"/>
      <c r="GB16" s="939"/>
      <c r="GC16" s="939" t="s">
        <v>2716</v>
      </c>
      <c r="GD16" s="939" t="s">
        <v>2716</v>
      </c>
      <c r="GE16" s="939" t="s">
        <v>2716</v>
      </c>
      <c r="GF16" s="939"/>
      <c r="GG16" s="939"/>
      <c r="GH16" s="939"/>
      <c r="GI16" s="939"/>
      <c r="GJ16" s="939" t="s">
        <v>74</v>
      </c>
      <c r="GK16" s="939"/>
      <c r="GL16" s="939"/>
      <c r="GM16" s="939"/>
      <c r="GN16" s="939"/>
      <c r="GO16" s="939"/>
      <c r="GP16" s="939"/>
      <c r="GQ16" s="939"/>
      <c r="GR16" s="939" t="s">
        <v>74</v>
      </c>
      <c r="GS16" s="939"/>
      <c r="GT16" s="939"/>
      <c r="GU16" s="939" t="s">
        <v>2716</v>
      </c>
      <c r="GV16" s="939"/>
      <c r="GW16" s="939"/>
      <c r="GX16" s="939"/>
      <c r="GY16" s="939"/>
      <c r="GZ16" s="939"/>
      <c r="HA16" s="939"/>
      <c r="HB16" s="939"/>
      <c r="HC16" s="939"/>
      <c r="HD16" s="939"/>
      <c r="HE16" s="939"/>
      <c r="HF16" s="939"/>
      <c r="HG16" s="939"/>
      <c r="HH16" s="939"/>
      <c r="HI16" s="939"/>
      <c r="HJ16" s="939"/>
      <c r="HK16" s="939" t="s">
        <v>2716</v>
      </c>
      <c r="HL16" s="939" t="s">
        <v>74</v>
      </c>
      <c r="HM16" s="939"/>
      <c r="HN16" s="939"/>
      <c r="HO16" s="939" t="s">
        <v>2719</v>
      </c>
      <c r="HP16" s="939"/>
      <c r="HQ16" s="939"/>
      <c r="HR16" s="939"/>
      <c r="HS16" s="939"/>
      <c r="HT16" s="939"/>
      <c r="HU16" s="939"/>
      <c r="HV16" s="939"/>
      <c r="HW16" s="939"/>
      <c r="HX16" s="990"/>
      <c r="HY16" s="1012"/>
      <c r="HZ16" s="1012"/>
      <c r="IA16" s="1012"/>
      <c r="IB16" s="1012"/>
      <c r="IC16" s="1013"/>
      <c r="ID16" s="1013"/>
      <c r="IE16" s="939" t="s">
        <v>74</v>
      </c>
      <c r="IF16" s="1012"/>
      <c r="IG16" s="1012"/>
      <c r="IH16" s="1012"/>
      <c r="II16" s="1012"/>
      <c r="IJ16" s="1012"/>
      <c r="IK16" s="1012"/>
      <c r="IL16" s="1012"/>
      <c r="IM16" s="1012"/>
      <c r="IN16" s="939" t="s">
        <v>74</v>
      </c>
      <c r="IO16" s="1012"/>
      <c r="IP16" s="1013"/>
      <c r="IQ16" s="1013"/>
      <c r="IR16" s="1012"/>
      <c r="IS16" s="1012"/>
      <c r="IT16" s="1012"/>
      <c r="IU16" s="1012"/>
      <c r="IV16" s="1012"/>
      <c r="IW16" s="929"/>
      <c r="IX16" s="929" t="str">
        <f>IF(ISNUMBER(SEARCH($A16,VLOOKUP(IX$2,职业列表!$B$1:$G$370,6,0))),"★","")</f>
        <v/>
      </c>
      <c r="IY16" s="929" t="str">
        <f>IF(ISNUMBER(SEARCH($A16,VLOOKUP(IY$2,职业列表!$B$1:$G$370,6,0))),"★","")</f>
        <v/>
      </c>
      <c r="IZ16" s="929" t="str">
        <f>IF(ISNUMBER(SEARCH($A16,VLOOKUP(IZ$2,职业列表!$B$1:$G$370,6,0))),"★","")</f>
        <v/>
      </c>
      <c r="JA16" s="929" t="str">
        <f>IF(ISNUMBER(SEARCH($A16,VLOOKUP(JA$2,职业列表!$B$1:$G$370,6,0))),"★","")</f>
        <v/>
      </c>
      <c r="JB16" s="929" t="str">
        <f>IF(ISNUMBER(SEARCH($A16,VLOOKUP(JB$2,职业列表!$B$1:$G$370,6,0))),"★","")</f>
        <v/>
      </c>
      <c r="JC16" s="929" t="str">
        <f>IF(ISNUMBER(SEARCH($A16,VLOOKUP(JC$2,职业列表!$B$1:$G$370,6,0))),"★","")</f>
        <v>★</v>
      </c>
      <c r="JD16" s="929" t="str">
        <f>IF(ISNUMBER(SEARCH($A16,VLOOKUP(JD$2,职业列表!$B$1:$G$370,6,0))),"★","")</f>
        <v/>
      </c>
      <c r="JE16" s="929" t="str">
        <f>IF(ISNUMBER(SEARCH($A16,VLOOKUP(JE$2,职业列表!$B$1:$G$370,6,0))),"★","")</f>
        <v/>
      </c>
      <c r="JF16" s="929" t="str">
        <f>IF(ISNUMBER(SEARCH($A16,VLOOKUP(JF$2,职业列表!$B$1:$G$370,6,0))),"★","")</f>
        <v/>
      </c>
      <c r="JG16" s="929" t="str">
        <f>IF(ISNUMBER(SEARCH($A16,VLOOKUP(JG$2,职业列表!$B$1:$G$370,6,0))),"★","")</f>
        <v/>
      </c>
      <c r="JH16" s="929" t="str">
        <f>IF(ISNUMBER(SEARCH($A16,VLOOKUP(JH$2,职业列表!$B$1:$G$370,6,0))),"★","")</f>
        <v/>
      </c>
      <c r="JI16" s="929" t="str">
        <f>IF(ISNUMBER(SEARCH($A16,VLOOKUP(JI$2,职业列表!$B$1:$G$370,6,0))),"★","")</f>
        <v/>
      </c>
      <c r="JJ16" s="929" t="str">
        <f>IF(ISNUMBER(SEARCH($A16,VLOOKUP(JJ$2,职业列表!$B$1:$G$370,6,0))),"★","")</f>
        <v/>
      </c>
      <c r="JK16" s="929" t="str">
        <f>IF(ISNUMBER(SEARCH($A16,VLOOKUP(JK$2,职业列表!$B$1:$G$370,6,0))),"★","")</f>
        <v/>
      </c>
      <c r="JL16" s="929" t="str">
        <f>IF(ISNUMBER(SEARCH($A16,VLOOKUP(JL$2,职业列表!$B$1:$G$370,6,0))),"★","")</f>
        <v/>
      </c>
      <c r="JM16" s="929" t="str">
        <f>IF(ISNUMBER(SEARCH($A16,VLOOKUP(JM$2,职业列表!$B$1:$G$370,6,0))),"★","")</f>
        <v/>
      </c>
      <c r="JN16" s="929" t="str">
        <f>IF(ISNUMBER(SEARCH($A16,VLOOKUP(JN$2,职业列表!$B$1:$G$370,6,0))),"★","")</f>
        <v/>
      </c>
      <c r="JO16" s="929" t="str">
        <f>IF(ISNUMBER(SEARCH($A16,VLOOKUP(JO$2,职业列表!$B$1:$G$370,6,0))),"★","")</f>
        <v/>
      </c>
      <c r="JP16" s="929" t="str">
        <f>IF(ISNUMBER(SEARCH($A16,VLOOKUP(JP$2,职业列表!$B$1:$G$370,6,0))),"★","")</f>
        <v/>
      </c>
      <c r="JQ16" s="929" t="str">
        <f>IF(ISNUMBER(SEARCH($A16,VLOOKUP(JQ$2,职业列表!$B$1:$G$370,6,0))),"★","")</f>
        <v/>
      </c>
      <c r="JR16" s="929" t="str">
        <f>IF(ISNUMBER(SEARCH($A16,VLOOKUP(JR$2,职业列表!$B$1:$G$370,6,0))),"★","")</f>
        <v/>
      </c>
      <c r="JS16" s="929" t="str">
        <f>IF(ISNUMBER(SEARCH($A16,VLOOKUP(JS$2,职业列表!$B$1:$G$370,6,0))),"★","")</f>
        <v/>
      </c>
      <c r="JT16" s="929" t="str">
        <f>IF(ISNUMBER(SEARCH($A16,VLOOKUP(JT$2,职业列表!$B$1:$G$370,6,0))),"★","")</f>
        <v>★</v>
      </c>
      <c r="JU16" s="929" t="str">
        <f>IF(ISNUMBER(SEARCH($A16,VLOOKUP(JU$2,职业列表!$B$1:$G$370,6,0))),"★","")</f>
        <v/>
      </c>
      <c r="JV16" s="929" t="str">
        <f>IF(ISNUMBER(SEARCH($A16,VLOOKUP(JV$2,职业列表!$B$1:$G$370,6,0))),"★","")</f>
        <v/>
      </c>
      <c r="JW16" s="929" t="str">
        <f>IF(ISNUMBER(SEARCH($A16,VLOOKUP(JW$2,职业列表!$B$1:$G$370,6,0))),"★","")</f>
        <v/>
      </c>
      <c r="JX16" s="929" t="str">
        <f>IF(ISNUMBER(SEARCH($A16,VLOOKUP(JX$2,职业列表!$B$1:$G$370,6,0))),"★","")</f>
        <v/>
      </c>
      <c r="JY16" s="929" t="str">
        <f>IF(ISNUMBER(SEARCH($A16,VLOOKUP(JY$2,职业列表!$B$1:$G$370,6,0))),"★","")</f>
        <v/>
      </c>
      <c r="JZ16" s="929" t="str">
        <f>IF(ISNUMBER(SEARCH($A16,VLOOKUP(JZ$2,职业列表!$B$1:$G$370,6,0))),"★","")</f>
        <v/>
      </c>
      <c r="KA16" s="929" t="str">
        <f>IF(ISNUMBER(SEARCH($A16,VLOOKUP(KA$2,职业列表!$B$1:$G$370,6,0))),"★","")</f>
        <v/>
      </c>
      <c r="KB16" s="929" t="str">
        <f>IF(ISNUMBER(SEARCH($A16,VLOOKUP(KB$2,职业列表!$B$1:$G$370,6,0))),"★","")</f>
        <v/>
      </c>
      <c r="KC16" s="929" t="str">
        <f>IF(ISNUMBER(SEARCH($A16,VLOOKUP(KC$2,职业列表!$B$1:$G$370,6,0))),"★","")</f>
        <v/>
      </c>
      <c r="KD16" s="929" t="str">
        <f>IF(ISNUMBER(SEARCH($A16,VLOOKUP(KD$2,职业列表!$B$1:$G$370,6,0))),"★","")</f>
        <v>★</v>
      </c>
      <c r="KE16" s="929" t="str">
        <f>IF(ISNUMBER(SEARCH($A16,VLOOKUP(KE$2,职业列表!$B$1:$G$370,6,0))),"★","")</f>
        <v/>
      </c>
      <c r="KF16" s="929" t="str">
        <f>IF(ISNUMBER(SEARCH($A16,VLOOKUP(KF$2,职业列表!$B$1:$G$370,6,0))),"★","")</f>
        <v/>
      </c>
      <c r="KG16" s="929" t="str">
        <f>IF(ISNUMBER(SEARCH($A16,VLOOKUP(KG$2,职业列表!$B$1:$G$370,6,0))),"★","")</f>
        <v/>
      </c>
      <c r="KH16" s="929" t="str">
        <f>IF(ISNUMBER(SEARCH($A16,VLOOKUP(KH$2,职业列表!$B$1:$G$370,6,0))),"★","")</f>
        <v/>
      </c>
      <c r="KI16" s="929" t="str">
        <f>IF(ISNUMBER(SEARCH($A16,VLOOKUP(KI$2,职业列表!$B$1:$G$370,6,0))),"★","")</f>
        <v/>
      </c>
      <c r="KJ16" s="929" t="str">
        <f>IF(ISNUMBER(SEARCH($A16,VLOOKUP(KJ$2,职业列表!$B$1:$G$370,6,0))),"★","")</f>
        <v/>
      </c>
      <c r="KK16" s="929" t="str">
        <f>IF(ISNUMBER(SEARCH($A16,VLOOKUP(KK$2,职业列表!$B$1:$G$370,6,0))),"★","")</f>
        <v/>
      </c>
      <c r="KL16" s="929" t="str">
        <f>IF(ISNUMBER(SEARCH($A16,VLOOKUP(KL$2,职业列表!$B$1:$G$370,6,0))),"★","")</f>
        <v/>
      </c>
      <c r="KM16" s="929" t="str">
        <f>IF(ISNUMBER(SEARCH($A16,VLOOKUP(KM$2,职业列表!$B$1:$G$370,6,0))),"★","")</f>
        <v>★</v>
      </c>
      <c r="KN16" s="929" t="str">
        <f>IF(ISNUMBER(SEARCH($A16,VLOOKUP(KN$2,职业列表!$B$1:$G$370,6,0))),"★","")</f>
        <v/>
      </c>
      <c r="KO16" s="929" t="str">
        <f>IF(ISNUMBER(SEARCH($A16,VLOOKUP(KO$2,职业列表!$B$1:$G$370,6,0))),"★","")</f>
        <v/>
      </c>
      <c r="KP16" s="929" t="str">
        <f>IF(ISNUMBER(SEARCH($A16,VLOOKUP(KP$2,职业列表!$B$1:$G$370,6,0))),"★","")</f>
        <v/>
      </c>
      <c r="KQ16" s="929" t="str">
        <f>IF(ISNUMBER(SEARCH($A16,VLOOKUP(KQ$2,职业列表!$B$1:$G$370,6,0))),"★","")</f>
        <v/>
      </c>
      <c r="KR16" s="929" t="str">
        <f>IF(ISNUMBER(SEARCH($A16,VLOOKUP(KR$2,职业列表!$B$1:$G$370,6,0))),"★","")</f>
        <v/>
      </c>
      <c r="KS16" s="929" t="str">
        <f>IF(ISNUMBER(SEARCH($A16,VLOOKUP(KS$2,职业列表!$B$1:$G$370,6,0))),"★","")</f>
        <v/>
      </c>
      <c r="KT16" s="929" t="str">
        <f>IF(ISNUMBER(SEARCH($A16,VLOOKUP(KT$2,职业列表!$B$1:$G$370,6,0))),"★","")</f>
        <v/>
      </c>
      <c r="KU16" s="929" t="str">
        <f>IF(ISNUMBER(SEARCH($A16,VLOOKUP(KU$2,职业列表!$B$1:$G$370,6,0))),"★","")</f>
        <v/>
      </c>
      <c r="KV16" s="929" t="str">
        <f>IF(ISNUMBER(SEARCH($A16,VLOOKUP(KV$2,职业列表!$B$1:$G$370,6,0))),"★","")</f>
        <v/>
      </c>
      <c r="KW16" s="929" t="str">
        <f>IF(ISNUMBER(SEARCH($A16,VLOOKUP(KW$2,职业列表!$B$1:$G$370,6,0))),"★","")</f>
        <v/>
      </c>
      <c r="KX16" s="929" t="str">
        <f>IF(ISNUMBER(SEARCH($A16,VLOOKUP(KX$2,职业列表!$B$1:$G$370,6,0))),"★","")</f>
        <v/>
      </c>
      <c r="KY16" s="929" t="str">
        <f>IF(ISNUMBER(SEARCH($A16,VLOOKUP(KY$2,职业列表!$B$1:$G$370,6,0))),"★","")</f>
        <v/>
      </c>
      <c r="KZ16" s="929" t="str">
        <f>IF(ISNUMBER(SEARCH($A16,VLOOKUP(KZ$2,职业列表!$B$1:$G$370,6,0))),"★","")</f>
        <v/>
      </c>
      <c r="LA16" s="929" t="str">
        <f>IF(ISNUMBER(SEARCH($A16,VLOOKUP(LA$2,职业列表!$B$1:$G$370,6,0))),"★","")</f>
        <v/>
      </c>
      <c r="LB16" s="929" t="str">
        <f>IF(ISNUMBER(SEARCH($A16,VLOOKUP(LB$2,职业列表!$B$1:$G$370,6,0))),"★","")</f>
        <v/>
      </c>
      <c r="LC16" s="929" t="str">
        <f>IF(ISNUMBER(SEARCH($A16,VLOOKUP(LC$2,职业列表!$B$1:$G$370,6,0))),"★","")</f>
        <v/>
      </c>
      <c r="LD16" s="929" t="str">
        <f>IF(ISNUMBER(SEARCH($A16,VLOOKUP(LD$2,职业列表!$B$1:$G$370,6,0))),"★","")</f>
        <v/>
      </c>
      <c r="LE16" s="929" t="str">
        <f>IF(ISNUMBER(SEARCH($A16,VLOOKUP(LE$2,职业列表!$B$1:$G$370,6,0))),"★","")</f>
        <v/>
      </c>
      <c r="LF16" s="929" t="str">
        <f>IF(ISNUMBER(SEARCH($A16,VLOOKUP(LF$2,职业列表!$B$1:$G$370,6,0))),"★","")</f>
        <v/>
      </c>
      <c r="LG16" s="929" t="str">
        <f>IF(ISNUMBER(SEARCH($A16,VLOOKUP(LG$2,职业列表!$B$1:$G$370,6,0))),"★","")</f>
        <v/>
      </c>
      <c r="LH16" s="929" t="str">
        <f>IF(ISNUMBER(SEARCH($A16,VLOOKUP(LH$2,职业列表!$B$1:$G$370,6,0))),"★","")</f>
        <v/>
      </c>
      <c r="LI16" s="929" t="str">
        <f>IF(ISNUMBER(SEARCH($A16,VLOOKUP(LI$2,职业列表!$B$1:$G$370,6,0))),"★","")</f>
        <v/>
      </c>
      <c r="LJ16" s="929" t="str">
        <f>IF(ISNUMBER(SEARCH($A16,VLOOKUP(LJ$2,职业列表!$B$1:$G$370,6,0))),"★","")</f>
        <v/>
      </c>
      <c r="LK16" s="929" t="str">
        <f>IF(ISNUMBER(SEARCH($A16,VLOOKUP(LK$2,职业列表!$B$1:$G$370,6,0))),"★","")</f>
        <v>★</v>
      </c>
      <c r="LL16" s="929" t="str">
        <f>IF(ISNUMBER(SEARCH($A16,VLOOKUP(LL$2,职业列表!$B$1:$G$370,6,0))),"★","")</f>
        <v/>
      </c>
      <c r="LM16" s="929" t="str">
        <f>IF(ISNUMBER(SEARCH($A16,VLOOKUP(LM$2,职业列表!$B$1:$G$370,6,0))),"★","")</f>
        <v>★</v>
      </c>
      <c r="LN16" s="929" t="str">
        <f>IF(ISNUMBER(SEARCH($A16,VLOOKUP(LN$2,职业列表!$B$1:$G$370,6,0))),"★","")</f>
        <v/>
      </c>
      <c r="LO16" s="929" t="str">
        <f>IF(ISNUMBER(SEARCH($A16,VLOOKUP(LO$2,职业列表!$B$1:$G$370,6,0))),"★","")</f>
        <v/>
      </c>
      <c r="LP16" s="929" t="str">
        <f>IF(ISNUMBER(SEARCH($A16,VLOOKUP(LP$2,职业列表!$B$1:$G$370,6,0))),"★","")</f>
        <v/>
      </c>
      <c r="LQ16" s="929" t="str">
        <f>IF(ISNUMBER(SEARCH($A16,VLOOKUP(LQ$2,职业列表!$B$1:$G$370,6,0))),"★","")</f>
        <v/>
      </c>
      <c r="LR16" s="929" t="str">
        <f>IF(ISNUMBER(SEARCH($A16,VLOOKUP(LR$2,职业列表!$B$1:$G$370,6,0))),"★","")</f>
        <v/>
      </c>
      <c r="LS16" s="929" t="str">
        <f>IF(ISNUMBER(SEARCH($A16,VLOOKUP(LS$2,职业列表!$B$1:$G$370,6,0))),"★","")</f>
        <v>★</v>
      </c>
      <c r="LT16" s="929" t="str">
        <f>IF(ISNUMBER(SEARCH($A16,VLOOKUP(LT$2,职业列表!$B$1:$G$370,6,0))),"★","")</f>
        <v/>
      </c>
      <c r="LU16" s="929" t="str">
        <f>IF(ISNUMBER(SEARCH($A16,VLOOKUP(LU$2,职业列表!$B$1:$G$370,6,0))),"★","")</f>
        <v/>
      </c>
      <c r="LV16" s="929" t="str">
        <f>IF(ISNUMBER(SEARCH($A16,VLOOKUP(LV$2,职业列表!$B$1:$G$370,6,0))),"★","")</f>
        <v/>
      </c>
      <c r="LW16" s="929" t="str">
        <f>IF(ISNUMBER(SEARCH($A16,VLOOKUP(LW$2,职业列表!$B$1:$G$370,6,0))),"★","")</f>
        <v/>
      </c>
      <c r="LX16" s="929" t="str">
        <f>IF(ISNUMBER(SEARCH($A16,VLOOKUP(LX$2,职业列表!$B$1:$G$370,6,0))),"★","")</f>
        <v/>
      </c>
      <c r="LY16" s="929" t="str">
        <f>IF(ISNUMBER(SEARCH($A16,VLOOKUP(LY$2,职业列表!$B$1:$G$370,6,0))),"★","")</f>
        <v/>
      </c>
      <c r="LZ16" s="929" t="str">
        <f>IF(ISNUMBER(SEARCH($A16,VLOOKUP(LZ$2,职业列表!$B$1:$G$370,6,0))),"★","")</f>
        <v/>
      </c>
      <c r="MA16" s="929" t="str">
        <f>IF(ISNUMBER(SEARCH($A16,VLOOKUP(MA$2,职业列表!$B$1:$G$370,6,0))),"★","")</f>
        <v/>
      </c>
      <c r="MB16" s="929" t="str">
        <f>IF(ISNUMBER(SEARCH($A16,VLOOKUP(MB$2,职业列表!$B$1:$G$370,6,0))),"★","")</f>
        <v/>
      </c>
      <c r="MC16" s="929" t="str">
        <f>IF(ISNUMBER(SEARCH($A16,VLOOKUP(MC$2,职业列表!$B$1:$G$370,6,0))),"★","")</f>
        <v/>
      </c>
      <c r="MD16" s="929" t="str">
        <f>IF(ISNUMBER(SEARCH($A16,VLOOKUP(MD$2,职业列表!$B$1:$G$370,6,0))),"★","")</f>
        <v/>
      </c>
      <c r="ME16" s="929" t="str">
        <f>IF(ISNUMBER(SEARCH($A16,VLOOKUP(ME$2,职业列表!$B$1:$G$370,6,0))),"★","")</f>
        <v/>
      </c>
      <c r="MF16" s="929" t="str">
        <f>IF(ISNUMBER(SEARCH($A16,VLOOKUP(MF$2,职业列表!$B$1:$G$370,6,0))),"★","")</f>
        <v/>
      </c>
      <c r="MG16" s="929" t="str">
        <f>IF(ISNUMBER(SEARCH($A16,VLOOKUP(MG$2,职业列表!$B$1:$G$370,6,0))),"★","")</f>
        <v/>
      </c>
      <c r="MH16" s="929" t="str">
        <f>IF(ISNUMBER(SEARCH($A16,VLOOKUP(MH$2,职业列表!$B$1:$G$370,6,0))),"★","")</f>
        <v/>
      </c>
      <c r="MI16" s="929" t="str">
        <f>IF(ISNUMBER(SEARCH($A16,VLOOKUP(MI$2,职业列表!$B$1:$G$370,6,0))),"★","")</f>
        <v/>
      </c>
      <c r="MJ16" s="929" t="str">
        <f>IF(ISNUMBER(SEARCH($A16,VLOOKUP(MJ$2,职业列表!$B$1:$G$370,6,0))),"★","")</f>
        <v/>
      </c>
      <c r="MK16" s="929" t="str">
        <f>IF(ISNUMBER(SEARCH($A16,VLOOKUP(MK$2,职业列表!$B$1:$G$370,6,0))),"★","")</f>
        <v>★</v>
      </c>
      <c r="ML16" s="929" t="str">
        <f>IF(ISNUMBER(SEARCH($A16,VLOOKUP(ML$2,职业列表!$B$1:$G$370,6,0))),"★","")</f>
        <v/>
      </c>
      <c r="MM16" s="929" t="str">
        <f>IF(ISNUMBER(SEARCH($A16,VLOOKUP(MM$2,职业列表!$B$1:$G$370,6,0))),"★","")</f>
        <v/>
      </c>
      <c r="MN16" s="929" t="str">
        <f>IF(ISNUMBER(SEARCH($A16,VLOOKUP(MN$2,职业列表!$B$1:$G$370,6,0))),"★","")</f>
        <v/>
      </c>
      <c r="MO16" s="929" t="str">
        <f>IF(ISNUMBER(SEARCH($A16,VLOOKUP(MO$2,职业列表!$B$1:$G$370,6,0))),"★","")</f>
        <v/>
      </c>
      <c r="MP16" s="929" t="str">
        <f>IF(ISNUMBER(SEARCH($A16,VLOOKUP(MP$2,职业列表!$B$1:$G$370,6,0))),"★","")</f>
        <v/>
      </c>
      <c r="MQ16" s="929" t="str">
        <f>IF(ISNUMBER(SEARCH($A16,VLOOKUP(MQ$2,职业列表!$B$1:$G$370,6,0))),"★","")</f>
        <v>★</v>
      </c>
      <c r="MR16" s="929" t="str">
        <f>IF(ISNUMBER(SEARCH($A16,VLOOKUP(MR$2,职业列表!$B$1:$G$370,6,0))),"★","")</f>
        <v/>
      </c>
      <c r="MS16" s="929" t="str">
        <f>IF(ISNUMBER(SEARCH($A16,VLOOKUP(MS$2,职业列表!$B$1:$G$370,6,0))),"★","")</f>
        <v/>
      </c>
      <c r="MT16" s="929" t="str">
        <f>IF(ISNUMBER(SEARCH($A16,VLOOKUP(MT$2,职业列表!$B$1:$G$370,6,0))),"★","")</f>
        <v/>
      </c>
      <c r="MU16" s="929" t="str">
        <f>IF(ISNUMBER(SEARCH($A16,VLOOKUP(MU$2,职业列表!$B$1:$G$370,6,0))),"★","")</f>
        <v>★</v>
      </c>
      <c r="MV16" s="929" t="str">
        <f>IF(ISNUMBER(SEARCH($A16,VLOOKUP(MV$2,职业列表!$B$1:$G$370,6,0))),"★","")</f>
        <v/>
      </c>
      <c r="MW16" s="929" t="str">
        <f>IF(ISNUMBER(SEARCH($A16,VLOOKUP(MW$2,职业列表!$B$1:$G$370,6,0))),"★","")</f>
        <v/>
      </c>
      <c r="MX16" s="929" t="str">
        <f>IF(ISNUMBER(SEARCH($A16,VLOOKUP(MX$2,职业列表!$B$1:$G$370,6,0))),"★","")</f>
        <v/>
      </c>
      <c r="MY16" s="929" t="str">
        <f>IF(ISNUMBER(SEARCH($A16,VLOOKUP(MY$2,职业列表!$B$1:$G$370,6,0))),"★","")</f>
        <v/>
      </c>
      <c r="MZ16" s="929" t="str">
        <f>IF(ISNUMBER(SEARCH($A16,VLOOKUP(MZ$2,职业列表!$B$1:$G$370,6,0))),"★","")</f>
        <v/>
      </c>
      <c r="NA16" s="929" t="str">
        <f>IF(ISNUMBER(SEARCH($A16,VLOOKUP(NA$2,职业列表!$B$1:$G$370,6,0))),"★","")</f>
        <v/>
      </c>
      <c r="NB16" s="929" t="str">
        <f>IF(ISNUMBER(SEARCH($A16,VLOOKUP(NB$2,职业列表!$B$1:$G$370,6,0))),"★","")</f>
        <v>★</v>
      </c>
      <c r="NC16" s="929" t="str">
        <f>IF(ISNUMBER(SEARCH($A16,VLOOKUP(NC$2,职业列表!$B$1:$G$370,6,0))),"★","")</f>
        <v/>
      </c>
      <c r="ND16" s="929" t="str">
        <f>IF(ISNUMBER(SEARCH($A16,VLOOKUP(ND$2,职业列表!$B$1:$G$370,6,0))),"★","")</f>
        <v/>
      </c>
      <c r="NE16" s="929" t="str">
        <f>IF(ISNUMBER(SEARCH($A16,VLOOKUP(NE$2,职业列表!$B$1:$G$370,6,0))),"★","")</f>
        <v/>
      </c>
    </row>
    <row r="17" customFormat="1" spans="1:369">
      <c r="A17" s="932" t="s">
        <v>87</v>
      </c>
      <c r="B17" s="939" t="str">
        <f>IF(OR(A17="说服",A17="话术",A17="取悦",A17="恐吓"),"☯",IF(ISNUMBER(SEARCH(A17,VLOOKUP(IX$2,职业列表!$B$1:$G$370,6,0))),"★",""))</f>
        <v/>
      </c>
      <c r="C17" s="939" t="str">
        <f>IF(ISTEXT(IFERROR(VLOOKUP(A17,职业列表!I3:J10,1,FALSE),0)),"★","")</f>
        <v/>
      </c>
      <c r="D17" s="939"/>
      <c r="E17" s="939"/>
      <c r="F17" s="939"/>
      <c r="G17" s="939"/>
      <c r="H17" s="939"/>
      <c r="I17" s="939"/>
      <c r="J17" s="939"/>
      <c r="K17" s="939"/>
      <c r="L17" s="939"/>
      <c r="M17" s="939"/>
      <c r="N17" s="939" t="s">
        <v>2716</v>
      </c>
      <c r="O17" s="939"/>
      <c r="P17" s="939"/>
      <c r="Q17" s="939"/>
      <c r="R17" s="939"/>
      <c r="S17" s="939"/>
      <c r="T17" s="939"/>
      <c r="U17" s="939"/>
      <c r="V17" s="939"/>
      <c r="W17" s="939"/>
      <c r="X17" s="939"/>
      <c r="Y17" s="939"/>
      <c r="Z17" s="939" t="s">
        <v>74</v>
      </c>
      <c r="AA17" s="939" t="s">
        <v>74</v>
      </c>
      <c r="AB17" s="939"/>
      <c r="AC17" s="939"/>
      <c r="AD17" s="939"/>
      <c r="AE17" s="939"/>
      <c r="AF17" s="939"/>
      <c r="AG17" s="939"/>
      <c r="AH17" s="939"/>
      <c r="AI17" s="939"/>
      <c r="AJ17" s="939"/>
      <c r="AK17" s="939"/>
      <c r="AL17" s="939"/>
      <c r="AM17" s="939"/>
      <c r="AN17" s="939"/>
      <c r="AO17" s="939"/>
      <c r="AP17" s="939"/>
      <c r="AQ17" s="939" t="s">
        <v>2716</v>
      </c>
      <c r="AR17" s="939"/>
      <c r="AS17" s="939"/>
      <c r="AT17" s="939"/>
      <c r="AU17" s="939"/>
      <c r="AV17" s="939"/>
      <c r="AW17" s="939"/>
      <c r="AX17" s="939"/>
      <c r="AY17" s="939"/>
      <c r="AZ17" s="939"/>
      <c r="BA17" s="939"/>
      <c r="BB17" s="939"/>
      <c r="BC17" s="939"/>
      <c r="BD17" s="939"/>
      <c r="BE17" s="939"/>
      <c r="BF17" s="939"/>
      <c r="BG17" s="939"/>
      <c r="BH17" s="939"/>
      <c r="BI17" s="939"/>
      <c r="BJ17" s="939"/>
      <c r="BK17" s="939"/>
      <c r="BL17" s="939"/>
      <c r="BM17" s="939"/>
      <c r="BN17" s="939"/>
      <c r="BO17" s="939"/>
      <c r="BP17" s="939"/>
      <c r="BQ17" s="939"/>
      <c r="BR17" s="939" t="s">
        <v>2716</v>
      </c>
      <c r="BS17" s="939"/>
      <c r="BT17" s="939"/>
      <c r="BU17" s="939"/>
      <c r="BV17" s="939"/>
      <c r="BW17" s="939"/>
      <c r="BX17" s="939"/>
      <c r="BY17" s="939"/>
      <c r="BZ17" s="939"/>
      <c r="CA17" s="939"/>
      <c r="CB17" s="939"/>
      <c r="CC17" s="939"/>
      <c r="CD17" s="939"/>
      <c r="CE17" s="939"/>
      <c r="CF17" s="939"/>
      <c r="CG17" s="939"/>
      <c r="CH17" s="939"/>
      <c r="CI17" s="939"/>
      <c r="CJ17" s="939"/>
      <c r="CK17" s="939"/>
      <c r="CL17" s="939"/>
      <c r="CM17" s="939"/>
      <c r="CN17" s="939"/>
      <c r="CO17" s="939"/>
      <c r="CP17" s="939"/>
      <c r="CQ17" s="939"/>
      <c r="CR17" s="939"/>
      <c r="CS17" s="939"/>
      <c r="CT17" s="939"/>
      <c r="CU17" s="939"/>
      <c r="CV17" s="939"/>
      <c r="CW17" s="939"/>
      <c r="CX17" s="939"/>
      <c r="CY17" s="939" t="s">
        <v>2716</v>
      </c>
      <c r="CZ17" s="940" t="s">
        <v>2717</v>
      </c>
      <c r="DA17" s="939"/>
      <c r="DB17" s="939"/>
      <c r="DC17" s="939"/>
      <c r="DD17" s="939"/>
      <c r="DE17" s="939"/>
      <c r="DF17" s="939"/>
      <c r="DG17" s="939"/>
      <c r="DH17" s="939"/>
      <c r="DI17" s="939"/>
      <c r="DJ17" s="939" t="s">
        <v>2716</v>
      </c>
      <c r="DK17" s="939"/>
      <c r="DL17" s="939"/>
      <c r="DM17" s="939"/>
      <c r="DN17" s="939"/>
      <c r="DO17" s="939"/>
      <c r="DP17" s="939"/>
      <c r="DQ17" s="939"/>
      <c r="DR17" s="939"/>
      <c r="DS17" s="939"/>
      <c r="DT17" s="939"/>
      <c r="DU17" s="939"/>
      <c r="DV17" s="939"/>
      <c r="DW17" s="939"/>
      <c r="DX17" s="939"/>
      <c r="DY17" s="939"/>
      <c r="DZ17" s="939"/>
      <c r="EA17" s="939"/>
      <c r="EB17" s="939"/>
      <c r="EC17" s="939"/>
      <c r="ED17" s="939"/>
      <c r="EE17" s="939"/>
      <c r="EF17" s="939"/>
      <c r="EG17" s="939"/>
      <c r="EH17" s="939"/>
      <c r="EI17" s="939"/>
      <c r="EJ17" s="939"/>
      <c r="EK17" s="939"/>
      <c r="EL17" s="939"/>
      <c r="EM17" s="939"/>
      <c r="EN17" s="939"/>
      <c r="EO17" s="939"/>
      <c r="EP17" s="939"/>
      <c r="EQ17" s="939"/>
      <c r="ER17" s="939"/>
      <c r="ES17" s="939"/>
      <c r="ET17" s="939"/>
      <c r="EU17" s="939"/>
      <c r="EV17" s="939"/>
      <c r="EW17" s="939"/>
      <c r="EX17" s="939"/>
      <c r="EY17" s="939"/>
      <c r="EZ17" s="939"/>
      <c r="FA17" s="939"/>
      <c r="FB17" s="939"/>
      <c r="FC17" s="939"/>
      <c r="FD17" s="939"/>
      <c r="FE17" s="939"/>
      <c r="FF17" s="939"/>
      <c r="FG17" s="939"/>
      <c r="FH17" s="939"/>
      <c r="FI17" s="939"/>
      <c r="FJ17" s="940"/>
      <c r="FK17" s="939"/>
      <c r="FL17" s="939"/>
      <c r="FM17" s="939"/>
      <c r="FN17" s="939"/>
      <c r="FO17" s="939"/>
      <c r="FP17" s="939"/>
      <c r="FQ17" s="939"/>
      <c r="FR17" s="939"/>
      <c r="FS17" s="939"/>
      <c r="FT17" s="939"/>
      <c r="FU17" s="939"/>
      <c r="FV17" s="939"/>
      <c r="FW17" s="939"/>
      <c r="FX17" s="939"/>
      <c r="FY17" s="939"/>
      <c r="FZ17" s="939" t="s">
        <v>2716</v>
      </c>
      <c r="GA17" s="939"/>
      <c r="GB17" s="939"/>
      <c r="GC17" s="939"/>
      <c r="GD17" s="939"/>
      <c r="GE17" s="939"/>
      <c r="GF17" s="939"/>
      <c r="GG17" s="939"/>
      <c r="GH17" s="939"/>
      <c r="GI17" s="939"/>
      <c r="GJ17" s="939"/>
      <c r="GK17" s="939"/>
      <c r="GL17" s="939"/>
      <c r="GM17" s="939"/>
      <c r="GN17" s="939" t="s">
        <v>74</v>
      </c>
      <c r="GO17" s="939"/>
      <c r="GP17" s="939"/>
      <c r="GQ17" s="939"/>
      <c r="GR17" s="939"/>
      <c r="GS17" s="939"/>
      <c r="GT17" s="939" t="s">
        <v>74</v>
      </c>
      <c r="GU17" s="939"/>
      <c r="GV17" s="939" t="s">
        <v>74</v>
      </c>
      <c r="GW17" s="939"/>
      <c r="GX17" s="939" t="s">
        <v>74</v>
      </c>
      <c r="GY17" s="939" t="s">
        <v>644</v>
      </c>
      <c r="GZ17" s="939"/>
      <c r="HA17" s="939"/>
      <c r="HB17" s="939"/>
      <c r="HC17" s="939"/>
      <c r="HD17" s="939"/>
      <c r="HE17" s="939"/>
      <c r="HF17" s="939"/>
      <c r="HG17" s="939"/>
      <c r="HH17" s="939"/>
      <c r="HI17" s="939"/>
      <c r="HJ17" s="939"/>
      <c r="HK17" s="939"/>
      <c r="HL17" s="939"/>
      <c r="HM17" s="939"/>
      <c r="HN17" s="939"/>
      <c r="HO17" s="939"/>
      <c r="HP17" s="939"/>
      <c r="HQ17" s="939"/>
      <c r="HR17" s="939"/>
      <c r="HS17" s="939"/>
      <c r="HT17" s="939"/>
      <c r="HU17" s="939"/>
      <c r="HV17" s="939"/>
      <c r="HW17" s="939"/>
      <c r="HX17" s="990"/>
      <c r="HY17" s="939" t="s">
        <v>74</v>
      </c>
      <c r="HZ17" s="1012"/>
      <c r="IA17" s="1012"/>
      <c r="IB17" s="990" t="s">
        <v>74</v>
      </c>
      <c r="IC17" s="1013"/>
      <c r="ID17" s="1013"/>
      <c r="IE17" s="1012"/>
      <c r="IF17" s="1012"/>
      <c r="IG17" s="1012"/>
      <c r="IH17" s="939" t="s">
        <v>74</v>
      </c>
      <c r="II17" s="1012"/>
      <c r="IJ17" s="1012"/>
      <c r="IK17" s="939" t="s">
        <v>74</v>
      </c>
      <c r="IL17" s="1012"/>
      <c r="IM17" s="1012"/>
      <c r="IN17" s="1012"/>
      <c r="IO17" s="1012"/>
      <c r="IP17" s="990" t="s">
        <v>74</v>
      </c>
      <c r="IQ17" s="1013"/>
      <c r="IR17" s="1012"/>
      <c r="IS17" s="1012"/>
      <c r="IT17" s="972" t="s">
        <v>74</v>
      </c>
      <c r="IU17" s="1012"/>
      <c r="IV17" s="1012"/>
      <c r="IW17" s="972" t="s">
        <v>74</v>
      </c>
      <c r="IX17" s="929" t="str">
        <f>IF(ISNUMBER(SEARCH($A17,VLOOKUP(IX$2,职业列表!$B$1:$G$370,6,0))),"★","")</f>
        <v/>
      </c>
      <c r="IY17" s="929" t="str">
        <f>IF(ISNUMBER(SEARCH($A17,VLOOKUP(IY$2,职业列表!$B$1:$G$370,6,0))),"★","")</f>
        <v/>
      </c>
      <c r="IZ17" s="929" t="str">
        <f>IF(ISNUMBER(SEARCH($A17,VLOOKUP(IZ$2,职业列表!$B$1:$G$370,6,0))),"★","")</f>
        <v/>
      </c>
      <c r="JA17" s="929" t="str">
        <f>IF(ISNUMBER(SEARCH($A17,VLOOKUP(JA$2,职业列表!$B$1:$G$370,6,0))),"★","")</f>
        <v/>
      </c>
      <c r="JB17" s="929" t="str">
        <f>IF(ISNUMBER(SEARCH($A17,VLOOKUP(JB$2,职业列表!$B$1:$G$370,6,0))),"★","")</f>
        <v>★</v>
      </c>
      <c r="JC17" s="929" t="str">
        <f>IF(ISNUMBER(SEARCH($A17,VLOOKUP(JC$2,职业列表!$B$1:$G$370,6,0))),"★","")</f>
        <v/>
      </c>
      <c r="JD17" s="929" t="str">
        <f>IF(ISNUMBER(SEARCH($A17,VLOOKUP(JD$2,职业列表!$B$1:$G$370,6,0))),"★","")</f>
        <v/>
      </c>
      <c r="JE17" s="929" t="str">
        <f>IF(ISNUMBER(SEARCH($A17,VLOOKUP(JE$2,职业列表!$B$1:$G$370,6,0))),"★","")</f>
        <v/>
      </c>
      <c r="JF17" s="929" t="str">
        <f>IF(ISNUMBER(SEARCH($A17,VLOOKUP(JF$2,职业列表!$B$1:$G$370,6,0))),"★","")</f>
        <v>★</v>
      </c>
      <c r="JG17" s="929" t="str">
        <f>IF(ISNUMBER(SEARCH($A17,VLOOKUP(JG$2,职业列表!$B$1:$G$370,6,0))),"★","")</f>
        <v/>
      </c>
      <c r="JH17" s="929" t="str">
        <f>IF(ISNUMBER(SEARCH($A17,VLOOKUP(JH$2,职业列表!$B$1:$G$370,6,0))),"★","")</f>
        <v/>
      </c>
      <c r="JI17" s="929" t="str">
        <f>IF(ISNUMBER(SEARCH($A17,VLOOKUP(JI$2,职业列表!$B$1:$G$370,6,0))),"★","")</f>
        <v/>
      </c>
      <c r="JJ17" s="929" t="str">
        <f>IF(ISNUMBER(SEARCH($A17,VLOOKUP(JJ$2,职业列表!$B$1:$G$370,6,0))),"★","")</f>
        <v/>
      </c>
      <c r="JK17" s="929" t="str">
        <f>IF(ISNUMBER(SEARCH($A17,VLOOKUP(JK$2,职业列表!$B$1:$G$370,6,0))),"★","")</f>
        <v/>
      </c>
      <c r="JL17" s="929" t="str">
        <f>IF(ISNUMBER(SEARCH($A17,VLOOKUP(JL$2,职业列表!$B$1:$G$370,6,0))),"★","")</f>
        <v>★</v>
      </c>
      <c r="JM17" s="929" t="str">
        <f>IF(ISNUMBER(SEARCH($A17,VLOOKUP(JM$2,职业列表!$B$1:$G$370,6,0))),"★","")</f>
        <v/>
      </c>
      <c r="JN17" s="929" t="str">
        <f>IF(ISNUMBER(SEARCH($A17,VLOOKUP(JN$2,职业列表!$B$1:$G$370,6,0))),"★","")</f>
        <v>★</v>
      </c>
      <c r="JO17" s="929" t="str">
        <f>IF(ISNUMBER(SEARCH($A17,VLOOKUP(JO$2,职业列表!$B$1:$G$370,6,0))),"★","")</f>
        <v>★</v>
      </c>
      <c r="JP17" s="929" t="str">
        <f>IF(ISNUMBER(SEARCH($A17,VLOOKUP(JP$2,职业列表!$B$1:$G$370,6,0))),"★","")</f>
        <v/>
      </c>
      <c r="JQ17" s="929" t="str">
        <f>IF(ISNUMBER(SEARCH($A17,VLOOKUP(JQ$2,职业列表!$B$1:$G$370,6,0))),"★","")</f>
        <v>★</v>
      </c>
      <c r="JR17" s="929" t="str">
        <f>IF(ISNUMBER(SEARCH($A17,VLOOKUP(JR$2,职业列表!$B$1:$G$370,6,0))),"★","")</f>
        <v/>
      </c>
      <c r="JS17" s="929" t="str">
        <f>IF(ISNUMBER(SEARCH($A17,VLOOKUP(JS$2,职业列表!$B$1:$G$370,6,0))),"★","")</f>
        <v/>
      </c>
      <c r="JT17" s="929" t="str">
        <f>IF(ISNUMBER(SEARCH($A17,VLOOKUP(JT$2,职业列表!$B$1:$G$370,6,0))),"★","")</f>
        <v/>
      </c>
      <c r="JU17" s="929" t="str">
        <f>IF(ISNUMBER(SEARCH($A17,VLOOKUP(JU$2,职业列表!$B$1:$G$370,6,0))),"★","")</f>
        <v/>
      </c>
      <c r="JV17" s="929" t="str">
        <f>IF(ISNUMBER(SEARCH($A17,VLOOKUP(JV$2,职业列表!$B$1:$G$370,6,0))),"★","")</f>
        <v/>
      </c>
      <c r="JW17" s="929" t="str">
        <f>IF(ISNUMBER(SEARCH($A17,VLOOKUP(JW$2,职业列表!$B$1:$G$370,6,0))),"★","")</f>
        <v>★</v>
      </c>
      <c r="JX17" s="929" t="str">
        <f>IF(ISNUMBER(SEARCH($A17,VLOOKUP(JX$2,职业列表!$B$1:$G$370,6,0))),"★","")</f>
        <v/>
      </c>
      <c r="JY17" s="929" t="str">
        <f>IF(ISNUMBER(SEARCH($A17,VLOOKUP(JY$2,职业列表!$B$1:$G$370,6,0))),"★","")</f>
        <v/>
      </c>
      <c r="JZ17" s="929" t="str">
        <f>IF(ISNUMBER(SEARCH($A17,VLOOKUP(JZ$2,职业列表!$B$1:$G$370,6,0))),"★","")</f>
        <v/>
      </c>
      <c r="KA17" s="929" t="str">
        <f>IF(ISNUMBER(SEARCH($A17,VLOOKUP(KA$2,职业列表!$B$1:$G$370,6,0))),"★","")</f>
        <v/>
      </c>
      <c r="KB17" s="929" t="str">
        <f>IF(ISNUMBER(SEARCH($A17,VLOOKUP(KB$2,职业列表!$B$1:$G$370,6,0))),"★","")</f>
        <v/>
      </c>
      <c r="KC17" s="929" t="str">
        <f>IF(ISNUMBER(SEARCH($A17,VLOOKUP(KC$2,职业列表!$B$1:$G$370,6,0))),"★","")</f>
        <v>★</v>
      </c>
      <c r="KD17" s="929" t="str">
        <f>IF(ISNUMBER(SEARCH($A17,VLOOKUP(KD$2,职业列表!$B$1:$G$370,6,0))),"★","")</f>
        <v/>
      </c>
      <c r="KE17" s="929" t="str">
        <f>IF(ISNUMBER(SEARCH($A17,VLOOKUP(KE$2,职业列表!$B$1:$G$370,6,0))),"★","")</f>
        <v/>
      </c>
      <c r="KF17" s="929" t="str">
        <f>IF(ISNUMBER(SEARCH($A17,VLOOKUP(KF$2,职业列表!$B$1:$G$370,6,0))),"★","")</f>
        <v>★</v>
      </c>
      <c r="KG17" s="929" t="str">
        <f>IF(ISNUMBER(SEARCH($A17,VLOOKUP(KG$2,职业列表!$B$1:$G$370,6,0))),"★","")</f>
        <v>★</v>
      </c>
      <c r="KH17" s="929" t="str">
        <f>IF(ISNUMBER(SEARCH($A17,VLOOKUP(KH$2,职业列表!$B$1:$G$370,6,0))),"★","")</f>
        <v/>
      </c>
      <c r="KI17" s="929" t="str">
        <f>IF(ISNUMBER(SEARCH($A17,VLOOKUP(KI$2,职业列表!$B$1:$G$370,6,0))),"★","")</f>
        <v/>
      </c>
      <c r="KJ17" s="929" t="str">
        <f>IF(ISNUMBER(SEARCH($A17,VLOOKUP(KJ$2,职业列表!$B$1:$G$370,6,0))),"★","")</f>
        <v/>
      </c>
      <c r="KK17" s="929" t="str">
        <f>IF(ISNUMBER(SEARCH($A17,VLOOKUP(KK$2,职业列表!$B$1:$G$370,6,0))),"★","")</f>
        <v/>
      </c>
      <c r="KL17" s="929" t="str">
        <f>IF(ISNUMBER(SEARCH($A17,VLOOKUP(KL$2,职业列表!$B$1:$G$370,6,0))),"★","")</f>
        <v>★</v>
      </c>
      <c r="KM17" s="929" t="str">
        <f>IF(ISNUMBER(SEARCH($A17,VLOOKUP(KM$2,职业列表!$B$1:$G$370,6,0))),"★","")</f>
        <v/>
      </c>
      <c r="KN17" s="929" t="str">
        <f>IF(ISNUMBER(SEARCH($A17,VLOOKUP(KN$2,职业列表!$B$1:$G$370,6,0))),"★","")</f>
        <v/>
      </c>
      <c r="KO17" s="929" t="str">
        <f>IF(ISNUMBER(SEARCH($A17,VLOOKUP(KO$2,职业列表!$B$1:$G$370,6,0))),"★","")</f>
        <v/>
      </c>
      <c r="KP17" s="929" t="str">
        <f>IF(ISNUMBER(SEARCH($A17,VLOOKUP(KP$2,职业列表!$B$1:$G$370,6,0))),"★","")</f>
        <v>★</v>
      </c>
      <c r="KQ17" s="929" t="str">
        <f>IF(ISNUMBER(SEARCH($A17,VLOOKUP(KQ$2,职业列表!$B$1:$G$370,6,0))),"★","")</f>
        <v>★</v>
      </c>
      <c r="KR17" s="929" t="str">
        <f>IF(ISNUMBER(SEARCH($A17,VLOOKUP(KR$2,职业列表!$B$1:$G$370,6,0))),"★","")</f>
        <v/>
      </c>
      <c r="KS17" s="929" t="str">
        <f>IF(ISNUMBER(SEARCH($A17,VLOOKUP(KS$2,职业列表!$B$1:$G$370,6,0))),"★","")</f>
        <v>★</v>
      </c>
      <c r="KT17" s="929" t="str">
        <f>IF(ISNUMBER(SEARCH($A17,VLOOKUP(KT$2,职业列表!$B$1:$G$370,6,0))),"★","")</f>
        <v/>
      </c>
      <c r="KU17" s="929" t="str">
        <f>IF(ISNUMBER(SEARCH($A17,VLOOKUP(KU$2,职业列表!$B$1:$G$370,6,0))),"★","")</f>
        <v/>
      </c>
      <c r="KV17" s="929" t="str">
        <f>IF(ISNUMBER(SEARCH($A17,VLOOKUP(KV$2,职业列表!$B$1:$G$370,6,0))),"★","")</f>
        <v>★</v>
      </c>
      <c r="KW17" s="929" t="str">
        <f>IF(ISNUMBER(SEARCH($A17,VLOOKUP(KW$2,职业列表!$B$1:$G$370,6,0))),"★","")</f>
        <v>★</v>
      </c>
      <c r="KX17" s="929" t="str">
        <f>IF(ISNUMBER(SEARCH($A17,VLOOKUP(KX$2,职业列表!$B$1:$G$370,6,0))),"★","")</f>
        <v/>
      </c>
      <c r="KY17" s="929" t="str">
        <f>IF(ISNUMBER(SEARCH($A17,VLOOKUP(KY$2,职业列表!$B$1:$G$370,6,0))),"★","")</f>
        <v/>
      </c>
      <c r="KZ17" s="929" t="str">
        <f>IF(ISNUMBER(SEARCH($A17,VLOOKUP(KZ$2,职业列表!$B$1:$G$370,6,0))),"★","")</f>
        <v/>
      </c>
      <c r="LA17" s="929" t="str">
        <f>IF(ISNUMBER(SEARCH($A17,VLOOKUP(LA$2,职业列表!$B$1:$G$370,6,0))),"★","")</f>
        <v/>
      </c>
      <c r="LB17" s="929" t="str">
        <f>IF(ISNUMBER(SEARCH($A17,VLOOKUP(LB$2,职业列表!$B$1:$G$370,6,0))),"★","")</f>
        <v>★</v>
      </c>
      <c r="LC17" s="929" t="str">
        <f>IF(ISNUMBER(SEARCH($A17,VLOOKUP(LC$2,职业列表!$B$1:$G$370,6,0))),"★","")</f>
        <v/>
      </c>
      <c r="LD17" s="929" t="str">
        <f>IF(ISNUMBER(SEARCH($A17,VLOOKUP(LD$2,职业列表!$B$1:$G$370,6,0))),"★","")</f>
        <v/>
      </c>
      <c r="LE17" s="929" t="str">
        <f>IF(ISNUMBER(SEARCH($A17,VLOOKUP(LE$2,职业列表!$B$1:$G$370,6,0))),"★","")</f>
        <v/>
      </c>
      <c r="LF17" s="929" t="str">
        <f>IF(ISNUMBER(SEARCH($A17,VLOOKUP(LF$2,职业列表!$B$1:$G$370,6,0))),"★","")</f>
        <v>★</v>
      </c>
      <c r="LG17" s="929" t="str">
        <f>IF(ISNUMBER(SEARCH($A17,VLOOKUP(LG$2,职业列表!$B$1:$G$370,6,0))),"★","")</f>
        <v/>
      </c>
      <c r="LH17" s="929" t="str">
        <f>IF(ISNUMBER(SEARCH($A17,VLOOKUP(LH$2,职业列表!$B$1:$G$370,6,0))),"★","")</f>
        <v>★</v>
      </c>
      <c r="LI17" s="929" t="str">
        <f>IF(ISNUMBER(SEARCH($A17,VLOOKUP(LI$2,职业列表!$B$1:$G$370,6,0))),"★","")</f>
        <v/>
      </c>
      <c r="LJ17" s="929" t="str">
        <f>IF(ISNUMBER(SEARCH($A17,VLOOKUP(LJ$2,职业列表!$B$1:$G$370,6,0))),"★","")</f>
        <v>★</v>
      </c>
      <c r="LK17" s="929" t="str">
        <f>IF(ISNUMBER(SEARCH($A17,VLOOKUP(LK$2,职业列表!$B$1:$G$370,6,0))),"★","")</f>
        <v/>
      </c>
      <c r="LL17" s="929" t="str">
        <f>IF(ISNUMBER(SEARCH($A17,VLOOKUP(LL$2,职业列表!$B$1:$G$370,6,0))),"★","")</f>
        <v/>
      </c>
      <c r="LM17" s="929" t="str">
        <f>IF(ISNUMBER(SEARCH($A17,VLOOKUP(LM$2,职业列表!$B$1:$G$370,6,0))),"★","")</f>
        <v/>
      </c>
      <c r="LN17" s="929" t="str">
        <f>IF(ISNUMBER(SEARCH($A17,VLOOKUP(LN$2,职业列表!$B$1:$G$370,6,0))),"★","")</f>
        <v/>
      </c>
      <c r="LO17" s="929" t="str">
        <f>IF(ISNUMBER(SEARCH($A17,VLOOKUP(LO$2,职业列表!$B$1:$G$370,6,0))),"★","")</f>
        <v/>
      </c>
      <c r="LP17" s="929" t="str">
        <f>IF(ISNUMBER(SEARCH($A17,VLOOKUP(LP$2,职业列表!$B$1:$G$370,6,0))),"★","")</f>
        <v/>
      </c>
      <c r="LQ17" s="929" t="str">
        <f>IF(ISNUMBER(SEARCH($A17,VLOOKUP(LQ$2,职业列表!$B$1:$G$370,6,0))),"★","")</f>
        <v/>
      </c>
      <c r="LR17" s="929" t="str">
        <f>IF(ISNUMBER(SEARCH($A17,VLOOKUP(LR$2,职业列表!$B$1:$G$370,6,0))),"★","")</f>
        <v/>
      </c>
      <c r="LS17" s="929" t="str">
        <f>IF(ISNUMBER(SEARCH($A17,VLOOKUP(LS$2,职业列表!$B$1:$G$370,6,0))),"★","")</f>
        <v>★</v>
      </c>
      <c r="LT17" s="929" t="str">
        <f>IF(ISNUMBER(SEARCH($A17,VLOOKUP(LT$2,职业列表!$B$1:$G$370,6,0))),"★","")</f>
        <v>★</v>
      </c>
      <c r="LU17" s="929" t="str">
        <f>IF(ISNUMBER(SEARCH($A17,VLOOKUP(LU$2,职业列表!$B$1:$G$370,6,0))),"★","")</f>
        <v>★</v>
      </c>
      <c r="LV17" s="929" t="str">
        <f>IF(ISNUMBER(SEARCH($A17,VLOOKUP(LV$2,职业列表!$B$1:$G$370,6,0))),"★","")</f>
        <v/>
      </c>
      <c r="LW17" s="929" t="str">
        <f>IF(ISNUMBER(SEARCH($A17,VLOOKUP(LW$2,职业列表!$B$1:$G$370,6,0))),"★","")</f>
        <v>★</v>
      </c>
      <c r="LX17" s="929" t="str">
        <f>IF(ISNUMBER(SEARCH($A17,VLOOKUP(LX$2,职业列表!$B$1:$G$370,6,0))),"★","")</f>
        <v/>
      </c>
      <c r="LY17" s="929" t="str">
        <f>IF(ISNUMBER(SEARCH($A17,VLOOKUP(LY$2,职业列表!$B$1:$G$370,6,0))),"★","")</f>
        <v/>
      </c>
      <c r="LZ17" s="929" t="str">
        <f>IF(ISNUMBER(SEARCH($A17,VLOOKUP(LZ$2,职业列表!$B$1:$G$370,6,0))),"★","")</f>
        <v/>
      </c>
      <c r="MA17" s="929" t="str">
        <f>IF(ISNUMBER(SEARCH($A17,VLOOKUP(MA$2,职业列表!$B$1:$G$370,6,0))),"★","")</f>
        <v/>
      </c>
      <c r="MB17" s="929" t="str">
        <f>IF(ISNUMBER(SEARCH($A17,VLOOKUP(MB$2,职业列表!$B$1:$G$370,6,0))),"★","")</f>
        <v/>
      </c>
      <c r="MC17" s="929" t="str">
        <f>IF(ISNUMBER(SEARCH($A17,VLOOKUP(MC$2,职业列表!$B$1:$G$370,6,0))),"★","")</f>
        <v>★</v>
      </c>
      <c r="MD17" s="929" t="str">
        <f>IF(ISNUMBER(SEARCH($A17,VLOOKUP(MD$2,职业列表!$B$1:$G$370,6,0))),"★","")</f>
        <v>★</v>
      </c>
      <c r="ME17" s="929" t="str">
        <f>IF(ISNUMBER(SEARCH($A17,VLOOKUP(ME$2,职业列表!$B$1:$G$370,6,0))),"★","")</f>
        <v>★</v>
      </c>
      <c r="MF17" s="929" t="str">
        <f>IF(ISNUMBER(SEARCH($A17,VLOOKUP(MF$2,职业列表!$B$1:$G$370,6,0))),"★","")</f>
        <v>★</v>
      </c>
      <c r="MG17" s="929" t="str">
        <f>IF(ISNUMBER(SEARCH($A17,VLOOKUP(MG$2,职业列表!$B$1:$G$370,6,0))),"★","")</f>
        <v>★</v>
      </c>
      <c r="MH17" s="929" t="str">
        <f>IF(ISNUMBER(SEARCH($A17,VLOOKUP(MH$2,职业列表!$B$1:$G$370,6,0))),"★","")</f>
        <v/>
      </c>
      <c r="MI17" s="929" t="str">
        <f>IF(ISNUMBER(SEARCH($A17,VLOOKUP(MI$2,职业列表!$B$1:$G$370,6,0))),"★","")</f>
        <v>★</v>
      </c>
      <c r="MJ17" s="929" t="str">
        <f>IF(ISNUMBER(SEARCH($A17,VLOOKUP(MJ$2,职业列表!$B$1:$G$370,6,0))),"★","")</f>
        <v>★</v>
      </c>
      <c r="MK17" s="929" t="str">
        <f>IF(ISNUMBER(SEARCH($A17,VLOOKUP(MK$2,职业列表!$B$1:$G$370,6,0))),"★","")</f>
        <v>★</v>
      </c>
      <c r="ML17" s="929" t="str">
        <f>IF(ISNUMBER(SEARCH($A17,VLOOKUP(ML$2,职业列表!$B$1:$G$370,6,0))),"★","")</f>
        <v/>
      </c>
      <c r="MM17" s="929" t="str">
        <f>IF(ISNUMBER(SEARCH($A17,VLOOKUP(MM$2,职业列表!$B$1:$G$370,6,0))),"★","")</f>
        <v/>
      </c>
      <c r="MN17" s="929" t="str">
        <f>IF(ISNUMBER(SEARCH($A17,VLOOKUP(MN$2,职业列表!$B$1:$G$370,6,0))),"★","")</f>
        <v/>
      </c>
      <c r="MO17" s="929" t="str">
        <f>IF(ISNUMBER(SEARCH($A17,VLOOKUP(MO$2,职业列表!$B$1:$G$370,6,0))),"★","")</f>
        <v/>
      </c>
      <c r="MP17" s="929" t="str">
        <f>IF(ISNUMBER(SEARCH($A17,VLOOKUP(MP$2,职业列表!$B$1:$G$370,6,0))),"★","")</f>
        <v/>
      </c>
      <c r="MQ17" s="929" t="str">
        <f>IF(ISNUMBER(SEARCH($A17,VLOOKUP(MQ$2,职业列表!$B$1:$G$370,6,0))),"★","")</f>
        <v/>
      </c>
      <c r="MR17" s="929" t="str">
        <f>IF(ISNUMBER(SEARCH($A17,VLOOKUP(MR$2,职业列表!$B$1:$G$370,6,0))),"★","")</f>
        <v/>
      </c>
      <c r="MS17" s="929" t="str">
        <f>IF(ISNUMBER(SEARCH($A17,VLOOKUP(MS$2,职业列表!$B$1:$G$370,6,0))),"★","")</f>
        <v/>
      </c>
      <c r="MT17" s="929" t="str">
        <f>IF(ISNUMBER(SEARCH($A17,VLOOKUP(MT$2,职业列表!$B$1:$G$370,6,0))),"★","")</f>
        <v/>
      </c>
      <c r="MU17" s="929" t="str">
        <f>IF(ISNUMBER(SEARCH($A17,VLOOKUP(MU$2,职业列表!$B$1:$G$370,6,0))),"★","")</f>
        <v/>
      </c>
      <c r="MV17" s="929" t="str">
        <f>IF(ISNUMBER(SEARCH($A17,VLOOKUP(MV$2,职业列表!$B$1:$G$370,6,0))),"★","")</f>
        <v/>
      </c>
      <c r="MW17" s="929" t="str">
        <f>IF(ISNUMBER(SEARCH($A17,VLOOKUP(MW$2,职业列表!$B$1:$G$370,6,0))),"★","")</f>
        <v/>
      </c>
      <c r="MX17" s="929" t="str">
        <f>IF(ISNUMBER(SEARCH($A17,VLOOKUP(MX$2,职业列表!$B$1:$G$370,6,0))),"★","")</f>
        <v/>
      </c>
      <c r="MY17" s="929" t="str">
        <f>IF(ISNUMBER(SEARCH($A17,VLOOKUP(MY$2,职业列表!$B$1:$G$370,6,0))),"★","")</f>
        <v/>
      </c>
      <c r="MZ17" s="929" t="str">
        <f>IF(ISNUMBER(SEARCH($A17,VLOOKUP(MZ$2,职业列表!$B$1:$G$370,6,0))),"★","")</f>
        <v/>
      </c>
      <c r="NA17" s="929" t="str">
        <f>IF(ISNUMBER(SEARCH($A17,VLOOKUP(NA$2,职业列表!$B$1:$G$370,6,0))),"★","")</f>
        <v/>
      </c>
      <c r="NB17" s="929" t="str">
        <f>IF(ISNUMBER(SEARCH($A17,VLOOKUP(NB$2,职业列表!$B$1:$G$370,6,0))),"★","")</f>
        <v/>
      </c>
      <c r="NC17" s="929" t="str">
        <f>IF(ISNUMBER(SEARCH($A17,VLOOKUP(NC$2,职业列表!$B$1:$G$370,6,0))),"★","")</f>
        <v/>
      </c>
      <c r="ND17" s="929" t="str">
        <f>IF(ISNUMBER(SEARCH($A17,VLOOKUP(ND$2,职业列表!$B$1:$G$370,6,0))),"★","")</f>
        <v/>
      </c>
      <c r="NE17" s="929" t="str">
        <f>IF(ISNUMBER(SEARCH($A17,VLOOKUP(NE$2,职业列表!$B$1:$G$370,6,0))),"★","")</f>
        <v/>
      </c>
    </row>
    <row r="18" customFormat="1" spans="1:369">
      <c r="A18" s="932" t="s">
        <v>96</v>
      </c>
      <c r="B18" s="939" t="str">
        <f>IF(OR(A18="说服",A18="话术",A18="取悦",A18="恐吓"),"☯",IF(ISNUMBER(SEARCH(A18,VLOOKUP(IX$2,职业列表!$B$1:$G$370,6,0))),"★",""))</f>
        <v/>
      </c>
      <c r="C18" s="939" t="str">
        <f>IF(ISTEXT(IFERROR(VLOOKUP(A18,职业列表!I3:J10,1,FALSE),0)),"★","")</f>
        <v/>
      </c>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c r="AL18" s="939"/>
      <c r="AM18" s="939"/>
      <c r="AN18" s="939"/>
      <c r="AO18" s="939"/>
      <c r="AP18" s="939"/>
      <c r="AQ18" s="939"/>
      <c r="AR18" s="939"/>
      <c r="AS18" s="939"/>
      <c r="AT18" s="939"/>
      <c r="AU18" s="939"/>
      <c r="AV18" s="939"/>
      <c r="AW18" s="939"/>
      <c r="AX18" s="939"/>
      <c r="AY18" s="939"/>
      <c r="AZ18" s="939"/>
      <c r="BA18" s="939"/>
      <c r="BB18" s="939"/>
      <c r="BC18" s="939"/>
      <c r="BD18" s="939"/>
      <c r="BE18" s="939"/>
      <c r="BF18" s="939"/>
      <c r="BG18" s="939"/>
      <c r="BH18" s="939"/>
      <c r="BI18" s="939"/>
      <c r="BJ18" s="939"/>
      <c r="BK18" s="939"/>
      <c r="BL18" s="939"/>
      <c r="BM18" s="939"/>
      <c r="BN18" s="939"/>
      <c r="BO18" s="939"/>
      <c r="BP18" s="939"/>
      <c r="BQ18" s="939"/>
      <c r="BR18" s="939"/>
      <c r="BS18" s="939"/>
      <c r="BT18" s="939"/>
      <c r="BU18" s="939"/>
      <c r="BV18" s="939"/>
      <c r="BW18" s="939"/>
      <c r="BX18" s="939"/>
      <c r="BY18" s="939"/>
      <c r="BZ18" s="939"/>
      <c r="CA18" s="939"/>
      <c r="CB18" s="939"/>
      <c r="CC18" s="939"/>
      <c r="CD18" s="939"/>
      <c r="CE18" s="939"/>
      <c r="CF18" s="939"/>
      <c r="CG18" s="939"/>
      <c r="CH18" s="939"/>
      <c r="CI18" s="939"/>
      <c r="CJ18" s="939"/>
      <c r="CK18" s="939"/>
      <c r="CL18" s="939"/>
      <c r="CM18" s="939"/>
      <c r="CN18" s="939"/>
      <c r="CO18" s="939"/>
      <c r="CP18" s="939"/>
      <c r="CQ18" s="939"/>
      <c r="CR18" s="939"/>
      <c r="CS18" s="939"/>
      <c r="CT18" s="939"/>
      <c r="CU18" s="939"/>
      <c r="CV18" s="939"/>
      <c r="CW18" s="939"/>
      <c r="CX18" s="939"/>
      <c r="CY18" s="939"/>
      <c r="CZ18" s="939"/>
      <c r="DA18" s="939"/>
      <c r="DB18" s="939"/>
      <c r="DC18" s="939"/>
      <c r="DD18" s="939"/>
      <c r="DE18" s="939"/>
      <c r="DF18" s="939"/>
      <c r="DG18" s="939"/>
      <c r="DH18" s="939"/>
      <c r="DI18" s="939"/>
      <c r="DJ18" s="939"/>
      <c r="DK18" s="939"/>
      <c r="DL18" s="939"/>
      <c r="DM18" s="939"/>
      <c r="DN18" s="939"/>
      <c r="DO18" s="939"/>
      <c r="DP18" s="939"/>
      <c r="DQ18" s="939"/>
      <c r="DR18" s="939"/>
      <c r="DS18" s="939"/>
      <c r="DT18" s="939"/>
      <c r="DU18" s="939"/>
      <c r="DV18" s="939"/>
      <c r="DW18" s="939"/>
      <c r="DX18" s="939"/>
      <c r="DY18" s="939"/>
      <c r="DZ18" s="939"/>
      <c r="EA18" s="939"/>
      <c r="EB18" s="939"/>
      <c r="EC18" s="939"/>
      <c r="ED18" s="939"/>
      <c r="EE18" s="939"/>
      <c r="EF18" s="939"/>
      <c r="EG18" s="939"/>
      <c r="EH18" s="939"/>
      <c r="EI18" s="939"/>
      <c r="EJ18" s="939"/>
      <c r="EK18" s="939"/>
      <c r="EL18" s="939"/>
      <c r="EM18" s="939"/>
      <c r="EN18" s="939"/>
      <c r="EO18" s="939"/>
      <c r="EP18" s="939"/>
      <c r="EQ18" s="939"/>
      <c r="ER18" s="939"/>
      <c r="ES18" s="939"/>
      <c r="ET18" s="939"/>
      <c r="EU18" s="939"/>
      <c r="EV18" s="939"/>
      <c r="EW18" s="939"/>
      <c r="EX18" s="939"/>
      <c r="EY18" s="939"/>
      <c r="EZ18" s="939"/>
      <c r="FA18" s="939"/>
      <c r="FB18" s="939"/>
      <c r="FC18" s="939"/>
      <c r="FD18" s="939"/>
      <c r="FE18" s="939"/>
      <c r="FF18" s="939"/>
      <c r="FG18" s="939"/>
      <c r="FH18" s="939"/>
      <c r="FI18" s="939"/>
      <c r="FJ18" s="939"/>
      <c r="FK18" s="939"/>
      <c r="FL18" s="939"/>
      <c r="FM18" s="939"/>
      <c r="FN18" s="939"/>
      <c r="FO18" s="939"/>
      <c r="FP18" s="939"/>
      <c r="FQ18" s="939"/>
      <c r="FR18" s="939"/>
      <c r="FS18" s="939"/>
      <c r="FT18" s="939"/>
      <c r="FU18" s="939"/>
      <c r="FV18" s="939"/>
      <c r="FW18" s="939"/>
      <c r="FX18" s="939"/>
      <c r="FY18" s="939"/>
      <c r="FZ18" s="939"/>
      <c r="GA18" s="939"/>
      <c r="GB18" s="939"/>
      <c r="GC18" s="939"/>
      <c r="GD18" s="939"/>
      <c r="GE18" s="939"/>
      <c r="GF18" s="939"/>
      <c r="GG18" s="939"/>
      <c r="GH18" s="939"/>
      <c r="GI18" s="939"/>
      <c r="GJ18" s="939"/>
      <c r="GK18" s="939"/>
      <c r="GL18" s="939"/>
      <c r="GM18" s="939"/>
      <c r="GN18" s="939"/>
      <c r="GO18" s="939"/>
      <c r="GP18" s="939"/>
      <c r="GQ18" s="939"/>
      <c r="GR18" s="939"/>
      <c r="GS18" s="939"/>
      <c r="GT18" s="939"/>
      <c r="GU18" s="939"/>
      <c r="GV18" s="939"/>
      <c r="GW18" s="939"/>
      <c r="GX18" s="939"/>
      <c r="GY18" s="939"/>
      <c r="GZ18" s="939"/>
      <c r="HA18" s="939"/>
      <c r="HB18" s="939"/>
      <c r="HC18" s="939"/>
      <c r="HD18" s="939"/>
      <c r="HE18" s="939"/>
      <c r="HF18" s="939"/>
      <c r="HG18" s="939"/>
      <c r="HH18" s="939"/>
      <c r="HI18" s="939"/>
      <c r="HJ18" s="939"/>
      <c r="HK18" s="939"/>
      <c r="HL18" s="939"/>
      <c r="HM18" s="939"/>
      <c r="HN18" s="939"/>
      <c r="HO18" s="939"/>
      <c r="HP18" s="939"/>
      <c r="HQ18" s="939"/>
      <c r="HR18" s="939"/>
      <c r="HS18" s="939"/>
      <c r="HT18" s="939"/>
      <c r="HU18" s="939"/>
      <c r="HV18" s="939"/>
      <c r="HW18" s="939"/>
      <c r="HX18" s="990"/>
      <c r="HY18" s="1012"/>
      <c r="HZ18" s="1012"/>
      <c r="IA18" s="1012"/>
      <c r="IB18" s="1012"/>
      <c r="IC18" s="1013"/>
      <c r="ID18" s="1013"/>
      <c r="IE18" s="1012"/>
      <c r="IF18" s="1012"/>
      <c r="IG18" s="1012"/>
      <c r="IH18" s="1012"/>
      <c r="II18" s="1012"/>
      <c r="IJ18" s="1012"/>
      <c r="IK18" s="1012"/>
      <c r="IL18" s="1012"/>
      <c r="IM18" s="1012"/>
      <c r="IN18" s="1012"/>
      <c r="IO18" s="1012"/>
      <c r="IP18" s="1013"/>
      <c r="IQ18" s="1013"/>
      <c r="IR18" s="1012"/>
      <c r="IS18" s="1012"/>
      <c r="IT18" s="1012"/>
      <c r="IU18" s="1012"/>
      <c r="IV18" s="1012"/>
      <c r="IW18" s="929"/>
      <c r="IX18" s="929" t="str">
        <f>IF(ISNUMBER(SEARCH($A18,VLOOKUP(IX$2,职业列表!$B$1:$G$370,6,0))),"★","")</f>
        <v/>
      </c>
      <c r="IY18" s="929" t="str">
        <f>IF(ISNUMBER(SEARCH($A18,VLOOKUP(IY$2,职业列表!$B$1:$G$370,6,0))),"★","")</f>
        <v/>
      </c>
      <c r="IZ18" s="929" t="str">
        <f>IF(ISNUMBER(SEARCH($A18,VLOOKUP(IZ$2,职业列表!$B$1:$G$370,6,0))),"★","")</f>
        <v/>
      </c>
      <c r="JA18" s="929" t="str">
        <f>IF(ISNUMBER(SEARCH($A18,VLOOKUP(JA$2,职业列表!$B$1:$G$370,6,0))),"★","")</f>
        <v/>
      </c>
      <c r="JB18" s="929" t="str">
        <f>IF(ISNUMBER(SEARCH($A18,VLOOKUP(JB$2,职业列表!$B$1:$G$370,6,0))),"★","")</f>
        <v/>
      </c>
      <c r="JC18" s="929" t="str">
        <f>IF(ISNUMBER(SEARCH($A18,VLOOKUP(JC$2,职业列表!$B$1:$G$370,6,0))),"★","")</f>
        <v/>
      </c>
      <c r="JD18" s="929" t="str">
        <f>IF(ISNUMBER(SEARCH($A18,VLOOKUP(JD$2,职业列表!$B$1:$G$370,6,0))),"★","")</f>
        <v/>
      </c>
      <c r="JE18" s="929" t="str">
        <f>IF(ISNUMBER(SEARCH($A18,VLOOKUP(JE$2,职业列表!$B$1:$G$370,6,0))),"★","")</f>
        <v/>
      </c>
      <c r="JF18" s="929" t="str">
        <f>IF(ISNUMBER(SEARCH($A18,VLOOKUP(JF$2,职业列表!$B$1:$G$370,6,0))),"★","")</f>
        <v/>
      </c>
      <c r="JG18" s="929" t="str">
        <f>IF(ISNUMBER(SEARCH($A18,VLOOKUP(JG$2,职业列表!$B$1:$G$370,6,0))),"★","")</f>
        <v/>
      </c>
      <c r="JH18" s="929" t="str">
        <f>IF(ISNUMBER(SEARCH($A18,VLOOKUP(JH$2,职业列表!$B$1:$G$370,6,0))),"★","")</f>
        <v/>
      </c>
      <c r="JI18" s="929" t="str">
        <f>IF(ISNUMBER(SEARCH($A18,VLOOKUP(JI$2,职业列表!$B$1:$G$370,6,0))),"★","")</f>
        <v/>
      </c>
      <c r="JJ18" s="929" t="str">
        <f>IF(ISNUMBER(SEARCH($A18,VLOOKUP(JJ$2,职业列表!$B$1:$G$370,6,0))),"★","")</f>
        <v/>
      </c>
      <c r="JK18" s="929" t="str">
        <f>IF(ISNUMBER(SEARCH($A18,VLOOKUP(JK$2,职业列表!$B$1:$G$370,6,0))),"★","")</f>
        <v/>
      </c>
      <c r="JL18" s="929" t="str">
        <f>IF(ISNUMBER(SEARCH($A18,VLOOKUP(JL$2,职业列表!$B$1:$G$370,6,0))),"★","")</f>
        <v/>
      </c>
      <c r="JM18" s="929" t="str">
        <f>IF(ISNUMBER(SEARCH($A18,VLOOKUP(JM$2,职业列表!$B$1:$G$370,6,0))),"★","")</f>
        <v/>
      </c>
      <c r="JN18" s="929" t="str">
        <f>IF(ISNUMBER(SEARCH($A18,VLOOKUP(JN$2,职业列表!$B$1:$G$370,6,0))),"★","")</f>
        <v/>
      </c>
      <c r="JO18" s="929" t="str">
        <f>IF(ISNUMBER(SEARCH($A18,VLOOKUP(JO$2,职业列表!$B$1:$G$370,6,0))),"★","")</f>
        <v/>
      </c>
      <c r="JP18" s="929" t="str">
        <f>IF(ISNUMBER(SEARCH($A18,VLOOKUP(JP$2,职业列表!$B$1:$G$370,6,0))),"★","")</f>
        <v/>
      </c>
      <c r="JQ18" s="929" t="str">
        <f>IF(ISNUMBER(SEARCH($A18,VLOOKUP(JQ$2,职业列表!$B$1:$G$370,6,0))),"★","")</f>
        <v/>
      </c>
      <c r="JR18" s="929" t="str">
        <f>IF(ISNUMBER(SEARCH($A18,VLOOKUP(JR$2,职业列表!$B$1:$G$370,6,0))),"★","")</f>
        <v/>
      </c>
      <c r="JS18" s="929" t="str">
        <f>IF(ISNUMBER(SEARCH($A18,VLOOKUP(JS$2,职业列表!$B$1:$G$370,6,0))),"★","")</f>
        <v/>
      </c>
      <c r="JT18" s="929" t="str">
        <f>IF(ISNUMBER(SEARCH($A18,VLOOKUP(JT$2,职业列表!$B$1:$G$370,6,0))),"★","")</f>
        <v/>
      </c>
      <c r="JU18" s="929" t="str">
        <f>IF(ISNUMBER(SEARCH($A18,VLOOKUP(JU$2,职业列表!$B$1:$G$370,6,0))),"★","")</f>
        <v/>
      </c>
      <c r="JV18" s="929" t="str">
        <f>IF(ISNUMBER(SEARCH($A18,VLOOKUP(JV$2,职业列表!$B$1:$G$370,6,0))),"★","")</f>
        <v/>
      </c>
      <c r="JW18" s="929" t="str">
        <f>IF(ISNUMBER(SEARCH($A18,VLOOKUP(JW$2,职业列表!$B$1:$G$370,6,0))),"★","")</f>
        <v/>
      </c>
      <c r="JX18" s="929" t="str">
        <f>IF(ISNUMBER(SEARCH($A18,VLOOKUP(JX$2,职业列表!$B$1:$G$370,6,0))),"★","")</f>
        <v/>
      </c>
      <c r="JY18" s="929" t="str">
        <f>IF(ISNUMBER(SEARCH($A18,VLOOKUP(JY$2,职业列表!$B$1:$G$370,6,0))),"★","")</f>
        <v/>
      </c>
      <c r="JZ18" s="929" t="str">
        <f>IF(ISNUMBER(SEARCH($A18,VLOOKUP(JZ$2,职业列表!$B$1:$G$370,6,0))),"★","")</f>
        <v/>
      </c>
      <c r="KA18" s="929" t="str">
        <f>IF(ISNUMBER(SEARCH($A18,VLOOKUP(KA$2,职业列表!$B$1:$G$370,6,0))),"★","")</f>
        <v/>
      </c>
      <c r="KB18" s="929" t="str">
        <f>IF(ISNUMBER(SEARCH($A18,VLOOKUP(KB$2,职业列表!$B$1:$G$370,6,0))),"★","")</f>
        <v/>
      </c>
      <c r="KC18" s="929" t="str">
        <f>IF(ISNUMBER(SEARCH($A18,VLOOKUP(KC$2,职业列表!$B$1:$G$370,6,0))),"★","")</f>
        <v/>
      </c>
      <c r="KD18" s="929" t="str">
        <f>IF(ISNUMBER(SEARCH($A18,VLOOKUP(KD$2,职业列表!$B$1:$G$370,6,0))),"★","")</f>
        <v/>
      </c>
      <c r="KE18" s="929" t="str">
        <f>IF(ISNUMBER(SEARCH($A18,VLOOKUP(KE$2,职业列表!$B$1:$G$370,6,0))),"★","")</f>
        <v/>
      </c>
      <c r="KF18" s="929" t="str">
        <f>IF(ISNUMBER(SEARCH($A18,VLOOKUP(KF$2,职业列表!$B$1:$G$370,6,0))),"★","")</f>
        <v/>
      </c>
      <c r="KG18" s="929" t="str">
        <f>IF(ISNUMBER(SEARCH($A18,VLOOKUP(KG$2,职业列表!$B$1:$G$370,6,0))),"★","")</f>
        <v/>
      </c>
      <c r="KH18" s="929" t="str">
        <f>IF(ISNUMBER(SEARCH($A18,VLOOKUP(KH$2,职业列表!$B$1:$G$370,6,0))),"★","")</f>
        <v/>
      </c>
      <c r="KI18" s="929" t="str">
        <f>IF(ISNUMBER(SEARCH($A18,VLOOKUP(KI$2,职业列表!$B$1:$G$370,6,0))),"★","")</f>
        <v/>
      </c>
      <c r="KJ18" s="929" t="str">
        <f>IF(ISNUMBER(SEARCH($A18,VLOOKUP(KJ$2,职业列表!$B$1:$G$370,6,0))),"★","")</f>
        <v/>
      </c>
      <c r="KK18" s="929" t="str">
        <f>IF(ISNUMBER(SEARCH($A18,VLOOKUP(KK$2,职业列表!$B$1:$G$370,6,0))),"★","")</f>
        <v/>
      </c>
      <c r="KL18" s="929" t="str">
        <f>IF(ISNUMBER(SEARCH($A18,VLOOKUP(KL$2,职业列表!$B$1:$G$370,6,0))),"★","")</f>
        <v/>
      </c>
      <c r="KM18" s="929" t="str">
        <f>IF(ISNUMBER(SEARCH($A18,VLOOKUP(KM$2,职业列表!$B$1:$G$370,6,0))),"★","")</f>
        <v/>
      </c>
      <c r="KN18" s="929" t="str">
        <f>IF(ISNUMBER(SEARCH($A18,VLOOKUP(KN$2,职业列表!$B$1:$G$370,6,0))),"★","")</f>
        <v/>
      </c>
      <c r="KO18" s="929" t="str">
        <f>IF(ISNUMBER(SEARCH($A18,VLOOKUP(KO$2,职业列表!$B$1:$G$370,6,0))),"★","")</f>
        <v/>
      </c>
      <c r="KP18" s="929" t="str">
        <f>IF(ISNUMBER(SEARCH($A18,VLOOKUP(KP$2,职业列表!$B$1:$G$370,6,0))),"★","")</f>
        <v/>
      </c>
      <c r="KQ18" s="929" t="str">
        <f>IF(ISNUMBER(SEARCH($A18,VLOOKUP(KQ$2,职业列表!$B$1:$G$370,6,0))),"★","")</f>
        <v/>
      </c>
      <c r="KR18" s="929" t="str">
        <f>IF(ISNUMBER(SEARCH($A18,VLOOKUP(KR$2,职业列表!$B$1:$G$370,6,0))),"★","")</f>
        <v/>
      </c>
      <c r="KS18" s="929" t="str">
        <f>IF(ISNUMBER(SEARCH($A18,VLOOKUP(KS$2,职业列表!$B$1:$G$370,6,0))),"★","")</f>
        <v/>
      </c>
      <c r="KT18" s="929" t="str">
        <f>IF(ISNUMBER(SEARCH($A18,VLOOKUP(KT$2,职业列表!$B$1:$G$370,6,0))),"★","")</f>
        <v/>
      </c>
      <c r="KU18" s="929" t="str">
        <f>IF(ISNUMBER(SEARCH($A18,VLOOKUP(KU$2,职业列表!$B$1:$G$370,6,0))),"★","")</f>
        <v/>
      </c>
      <c r="KV18" s="929" t="str">
        <f>IF(ISNUMBER(SEARCH($A18,VLOOKUP(KV$2,职业列表!$B$1:$G$370,6,0))),"★","")</f>
        <v/>
      </c>
      <c r="KW18" s="929" t="str">
        <f>IF(ISNUMBER(SEARCH($A18,VLOOKUP(KW$2,职业列表!$B$1:$G$370,6,0))),"★","")</f>
        <v/>
      </c>
      <c r="KX18" s="929" t="str">
        <f>IF(ISNUMBER(SEARCH($A18,VLOOKUP(KX$2,职业列表!$B$1:$G$370,6,0))),"★","")</f>
        <v/>
      </c>
      <c r="KY18" s="929" t="str">
        <f>IF(ISNUMBER(SEARCH($A18,VLOOKUP(KY$2,职业列表!$B$1:$G$370,6,0))),"★","")</f>
        <v/>
      </c>
      <c r="KZ18" s="929" t="str">
        <f>IF(ISNUMBER(SEARCH($A18,VLOOKUP(KZ$2,职业列表!$B$1:$G$370,6,0))),"★","")</f>
        <v/>
      </c>
      <c r="LA18" s="929" t="str">
        <f>IF(ISNUMBER(SEARCH($A18,VLOOKUP(LA$2,职业列表!$B$1:$G$370,6,0))),"★","")</f>
        <v/>
      </c>
      <c r="LB18" s="929" t="str">
        <f>IF(ISNUMBER(SEARCH($A18,VLOOKUP(LB$2,职业列表!$B$1:$G$370,6,0))),"★","")</f>
        <v/>
      </c>
      <c r="LC18" s="929" t="str">
        <f>IF(ISNUMBER(SEARCH($A18,VLOOKUP(LC$2,职业列表!$B$1:$G$370,6,0))),"★","")</f>
        <v/>
      </c>
      <c r="LD18" s="929" t="str">
        <f>IF(ISNUMBER(SEARCH($A18,VLOOKUP(LD$2,职业列表!$B$1:$G$370,6,0))),"★","")</f>
        <v/>
      </c>
      <c r="LE18" s="929" t="str">
        <f>IF(ISNUMBER(SEARCH($A18,VLOOKUP(LE$2,职业列表!$B$1:$G$370,6,0))),"★","")</f>
        <v/>
      </c>
      <c r="LF18" s="929" t="str">
        <f>IF(ISNUMBER(SEARCH($A18,VLOOKUP(LF$2,职业列表!$B$1:$G$370,6,0))),"★","")</f>
        <v/>
      </c>
      <c r="LG18" s="929" t="str">
        <f>IF(ISNUMBER(SEARCH($A18,VLOOKUP(LG$2,职业列表!$B$1:$G$370,6,0))),"★","")</f>
        <v/>
      </c>
      <c r="LH18" s="929" t="str">
        <f>IF(ISNUMBER(SEARCH($A18,VLOOKUP(LH$2,职业列表!$B$1:$G$370,6,0))),"★","")</f>
        <v/>
      </c>
      <c r="LI18" s="929" t="str">
        <f>IF(ISNUMBER(SEARCH($A18,VLOOKUP(LI$2,职业列表!$B$1:$G$370,6,0))),"★","")</f>
        <v/>
      </c>
      <c r="LJ18" s="929" t="str">
        <f>IF(ISNUMBER(SEARCH($A18,VLOOKUP(LJ$2,职业列表!$B$1:$G$370,6,0))),"★","")</f>
        <v/>
      </c>
      <c r="LK18" s="929" t="str">
        <f>IF(ISNUMBER(SEARCH($A18,VLOOKUP(LK$2,职业列表!$B$1:$G$370,6,0))),"★","")</f>
        <v/>
      </c>
      <c r="LL18" s="929" t="str">
        <f>IF(ISNUMBER(SEARCH($A18,VLOOKUP(LL$2,职业列表!$B$1:$G$370,6,0))),"★","")</f>
        <v/>
      </c>
      <c r="LM18" s="929" t="str">
        <f>IF(ISNUMBER(SEARCH($A18,VLOOKUP(LM$2,职业列表!$B$1:$G$370,6,0))),"★","")</f>
        <v/>
      </c>
      <c r="LN18" s="929" t="str">
        <f>IF(ISNUMBER(SEARCH($A18,VLOOKUP(LN$2,职业列表!$B$1:$G$370,6,0))),"★","")</f>
        <v/>
      </c>
      <c r="LO18" s="929" t="str">
        <f>IF(ISNUMBER(SEARCH($A18,VLOOKUP(LO$2,职业列表!$B$1:$G$370,6,0))),"★","")</f>
        <v/>
      </c>
      <c r="LP18" s="929" t="str">
        <f>IF(ISNUMBER(SEARCH($A18,VLOOKUP(LP$2,职业列表!$B$1:$G$370,6,0))),"★","")</f>
        <v/>
      </c>
      <c r="LQ18" s="929" t="str">
        <f>IF(ISNUMBER(SEARCH($A18,VLOOKUP(LQ$2,职业列表!$B$1:$G$370,6,0))),"★","")</f>
        <v/>
      </c>
      <c r="LR18" s="929" t="str">
        <f>IF(ISNUMBER(SEARCH($A18,VLOOKUP(LR$2,职业列表!$B$1:$G$370,6,0))),"★","")</f>
        <v/>
      </c>
      <c r="LS18" s="929" t="str">
        <f>IF(ISNUMBER(SEARCH($A18,VLOOKUP(LS$2,职业列表!$B$1:$G$370,6,0))),"★","")</f>
        <v/>
      </c>
      <c r="LT18" s="929" t="str">
        <f>IF(ISNUMBER(SEARCH($A18,VLOOKUP(LT$2,职业列表!$B$1:$G$370,6,0))),"★","")</f>
        <v/>
      </c>
      <c r="LU18" s="929" t="str">
        <f>IF(ISNUMBER(SEARCH($A18,VLOOKUP(LU$2,职业列表!$B$1:$G$370,6,0))),"★","")</f>
        <v/>
      </c>
      <c r="LV18" s="929" t="str">
        <f>IF(ISNUMBER(SEARCH($A18,VLOOKUP(LV$2,职业列表!$B$1:$G$370,6,0))),"★","")</f>
        <v/>
      </c>
      <c r="LW18" s="929" t="str">
        <f>IF(ISNUMBER(SEARCH($A18,VLOOKUP(LW$2,职业列表!$B$1:$G$370,6,0))),"★","")</f>
        <v/>
      </c>
      <c r="LX18" s="929" t="str">
        <f>IF(ISNUMBER(SEARCH($A18,VLOOKUP(LX$2,职业列表!$B$1:$G$370,6,0))),"★","")</f>
        <v/>
      </c>
      <c r="LY18" s="929" t="str">
        <f>IF(ISNUMBER(SEARCH($A18,VLOOKUP(LY$2,职业列表!$B$1:$G$370,6,0))),"★","")</f>
        <v/>
      </c>
      <c r="LZ18" s="929" t="str">
        <f>IF(ISNUMBER(SEARCH($A18,VLOOKUP(LZ$2,职业列表!$B$1:$G$370,6,0))),"★","")</f>
        <v/>
      </c>
      <c r="MA18" s="929" t="str">
        <f>IF(ISNUMBER(SEARCH($A18,VLOOKUP(MA$2,职业列表!$B$1:$G$370,6,0))),"★","")</f>
        <v/>
      </c>
      <c r="MB18" s="929" t="str">
        <f>IF(ISNUMBER(SEARCH($A18,VLOOKUP(MB$2,职业列表!$B$1:$G$370,6,0))),"★","")</f>
        <v/>
      </c>
      <c r="MC18" s="929" t="str">
        <f>IF(ISNUMBER(SEARCH($A18,VLOOKUP(MC$2,职业列表!$B$1:$G$370,6,0))),"★","")</f>
        <v/>
      </c>
      <c r="MD18" s="929" t="str">
        <f>IF(ISNUMBER(SEARCH($A18,VLOOKUP(MD$2,职业列表!$B$1:$G$370,6,0))),"★","")</f>
        <v/>
      </c>
      <c r="ME18" s="929" t="str">
        <f>IF(ISNUMBER(SEARCH($A18,VLOOKUP(ME$2,职业列表!$B$1:$G$370,6,0))),"★","")</f>
        <v/>
      </c>
      <c r="MF18" s="929" t="str">
        <f>IF(ISNUMBER(SEARCH($A18,VLOOKUP(MF$2,职业列表!$B$1:$G$370,6,0))),"★","")</f>
        <v/>
      </c>
      <c r="MG18" s="929" t="str">
        <f>IF(ISNUMBER(SEARCH($A18,VLOOKUP(MG$2,职业列表!$B$1:$G$370,6,0))),"★","")</f>
        <v/>
      </c>
      <c r="MH18" s="929" t="str">
        <f>IF(ISNUMBER(SEARCH($A18,VLOOKUP(MH$2,职业列表!$B$1:$G$370,6,0))),"★","")</f>
        <v/>
      </c>
      <c r="MI18" s="929" t="str">
        <f>IF(ISNUMBER(SEARCH($A18,VLOOKUP(MI$2,职业列表!$B$1:$G$370,6,0))),"★","")</f>
        <v/>
      </c>
      <c r="MJ18" s="929" t="str">
        <f>IF(ISNUMBER(SEARCH($A18,VLOOKUP(MJ$2,职业列表!$B$1:$G$370,6,0))),"★","")</f>
        <v/>
      </c>
      <c r="MK18" s="929" t="str">
        <f>IF(ISNUMBER(SEARCH($A18,VLOOKUP(MK$2,职业列表!$B$1:$G$370,6,0))),"★","")</f>
        <v/>
      </c>
      <c r="ML18" s="929" t="str">
        <f>IF(ISNUMBER(SEARCH($A18,VLOOKUP(ML$2,职业列表!$B$1:$G$370,6,0))),"★","")</f>
        <v/>
      </c>
      <c r="MM18" s="929" t="str">
        <f>IF(ISNUMBER(SEARCH($A18,VLOOKUP(MM$2,职业列表!$B$1:$G$370,6,0))),"★","")</f>
        <v/>
      </c>
      <c r="MN18" s="929" t="str">
        <f>IF(ISNUMBER(SEARCH($A18,VLOOKUP(MN$2,职业列表!$B$1:$G$370,6,0))),"★","")</f>
        <v/>
      </c>
      <c r="MO18" s="929" t="str">
        <f>IF(ISNUMBER(SEARCH($A18,VLOOKUP(MO$2,职业列表!$B$1:$G$370,6,0))),"★","")</f>
        <v/>
      </c>
      <c r="MP18" s="929" t="str">
        <f>IF(ISNUMBER(SEARCH($A18,VLOOKUP(MP$2,职业列表!$B$1:$G$370,6,0))),"★","")</f>
        <v/>
      </c>
      <c r="MQ18" s="929" t="str">
        <f>IF(ISNUMBER(SEARCH($A18,VLOOKUP(MQ$2,职业列表!$B$1:$G$370,6,0))),"★","")</f>
        <v/>
      </c>
      <c r="MR18" s="929" t="str">
        <f>IF(ISNUMBER(SEARCH($A18,VLOOKUP(MR$2,职业列表!$B$1:$G$370,6,0))),"★","")</f>
        <v/>
      </c>
      <c r="MS18" s="929" t="str">
        <f>IF(ISNUMBER(SEARCH($A18,VLOOKUP(MS$2,职业列表!$B$1:$G$370,6,0))),"★","")</f>
        <v/>
      </c>
      <c r="MT18" s="929" t="str">
        <f>IF(ISNUMBER(SEARCH($A18,VLOOKUP(MT$2,职业列表!$B$1:$G$370,6,0))),"★","")</f>
        <v/>
      </c>
      <c r="MU18" s="929" t="str">
        <f>IF(ISNUMBER(SEARCH($A18,VLOOKUP(MU$2,职业列表!$B$1:$G$370,6,0))),"★","")</f>
        <v/>
      </c>
      <c r="MV18" s="929" t="str">
        <f>IF(ISNUMBER(SEARCH($A18,VLOOKUP(MV$2,职业列表!$B$1:$G$370,6,0))),"★","")</f>
        <v/>
      </c>
      <c r="MW18" s="929" t="str">
        <f>IF(ISNUMBER(SEARCH($A18,VLOOKUP(MW$2,职业列表!$B$1:$G$370,6,0))),"★","")</f>
        <v/>
      </c>
      <c r="MX18" s="929" t="str">
        <f>IF(ISNUMBER(SEARCH($A18,VLOOKUP(MX$2,职业列表!$B$1:$G$370,6,0))),"★","")</f>
        <v/>
      </c>
      <c r="MY18" s="929" t="str">
        <f>IF(ISNUMBER(SEARCH($A18,VLOOKUP(MY$2,职业列表!$B$1:$G$370,6,0))),"★","")</f>
        <v/>
      </c>
      <c r="MZ18" s="929" t="str">
        <f>IF(ISNUMBER(SEARCH($A18,VLOOKUP(MZ$2,职业列表!$B$1:$G$370,6,0))),"★","")</f>
        <v/>
      </c>
      <c r="NA18" s="929" t="str">
        <f>IF(ISNUMBER(SEARCH($A18,VLOOKUP(NA$2,职业列表!$B$1:$G$370,6,0))),"★","")</f>
        <v/>
      </c>
      <c r="NB18" s="929" t="str">
        <f>IF(ISNUMBER(SEARCH($A18,VLOOKUP(NB$2,职业列表!$B$1:$G$370,6,0))),"★","")</f>
        <v/>
      </c>
      <c r="NC18" s="929" t="str">
        <f>IF(ISNUMBER(SEARCH($A18,VLOOKUP(NC$2,职业列表!$B$1:$G$370,6,0))),"★","")</f>
        <v/>
      </c>
      <c r="ND18" s="929" t="str">
        <f>IF(ISNUMBER(SEARCH($A18,VLOOKUP(ND$2,职业列表!$B$1:$G$370,6,0))),"★","")</f>
        <v/>
      </c>
      <c r="NE18" s="929" t="str">
        <f>IF(ISNUMBER(SEARCH($A18,VLOOKUP(NE$2,职业列表!$B$1:$G$370,6,0))),"★","")</f>
        <v/>
      </c>
    </row>
    <row r="19" customFormat="1" spans="1:369">
      <c r="A19" s="932" t="s">
        <v>103</v>
      </c>
      <c r="B19" s="939" t="str">
        <f>IF(OR(A19="说服",A19="话术",A19="取悦",A19="恐吓"),"☯",IF(ISNUMBER(SEARCH(A19,VLOOKUP(IX$2,职业列表!$B$1:$G$370,6,0))),"★",""))</f>
        <v/>
      </c>
      <c r="C19" s="939" t="str">
        <f>IF(ISTEXT(IFERROR(VLOOKUP(A19,职业列表!I3:J10,1,FALSE),0)),"★","")</f>
        <v/>
      </c>
      <c r="D19" s="939"/>
      <c r="E19" s="939"/>
      <c r="F19" s="939" t="s">
        <v>74</v>
      </c>
      <c r="G19" s="939" t="s">
        <v>74</v>
      </c>
      <c r="H19" s="939"/>
      <c r="I19" s="939"/>
      <c r="J19" s="939"/>
      <c r="K19" s="939"/>
      <c r="L19" s="939"/>
      <c r="M19" s="939"/>
      <c r="N19" s="939"/>
      <c r="O19" s="939"/>
      <c r="P19" s="939"/>
      <c r="Q19" s="939"/>
      <c r="R19" s="939"/>
      <c r="S19" s="939"/>
      <c r="T19" s="939"/>
      <c r="U19" s="939"/>
      <c r="V19" s="939"/>
      <c r="W19" s="939"/>
      <c r="X19" s="939"/>
      <c r="Y19" s="939"/>
      <c r="Z19" s="939"/>
      <c r="AA19" s="939"/>
      <c r="AB19" s="939"/>
      <c r="AC19" s="939"/>
      <c r="AD19" s="939" t="s">
        <v>74</v>
      </c>
      <c r="AE19" s="939"/>
      <c r="AF19" s="939"/>
      <c r="AG19" s="939"/>
      <c r="AH19" s="939"/>
      <c r="AI19" s="939" t="s">
        <v>2716</v>
      </c>
      <c r="AJ19" s="939"/>
      <c r="AK19" s="939"/>
      <c r="AL19" s="939"/>
      <c r="AM19" s="939"/>
      <c r="AN19" s="939"/>
      <c r="AO19" s="939"/>
      <c r="AP19" s="939"/>
      <c r="AQ19" s="939"/>
      <c r="AR19" s="939"/>
      <c r="AS19" s="939"/>
      <c r="AT19" s="939"/>
      <c r="AU19" s="939"/>
      <c r="AV19" s="939"/>
      <c r="AW19" s="939"/>
      <c r="AX19" s="939"/>
      <c r="AY19" s="939"/>
      <c r="AZ19" s="939"/>
      <c r="BA19" s="939"/>
      <c r="BB19" s="939" t="s">
        <v>74</v>
      </c>
      <c r="BC19" s="939"/>
      <c r="BD19" s="939"/>
      <c r="BE19" s="939"/>
      <c r="BF19" s="939"/>
      <c r="BG19" s="939"/>
      <c r="BH19" s="939"/>
      <c r="BI19" s="939"/>
      <c r="BJ19" s="939"/>
      <c r="BK19" s="939"/>
      <c r="BL19" s="939"/>
      <c r="BM19" s="939"/>
      <c r="BN19" s="939"/>
      <c r="BO19" s="939"/>
      <c r="BP19" s="939"/>
      <c r="BQ19" s="939"/>
      <c r="BR19" s="939"/>
      <c r="BS19" s="939"/>
      <c r="BT19" s="939"/>
      <c r="BU19" s="939"/>
      <c r="BV19" s="939"/>
      <c r="BW19" s="939"/>
      <c r="BX19" s="939"/>
      <c r="BY19" s="939"/>
      <c r="BZ19" s="939"/>
      <c r="CA19" s="939"/>
      <c r="CB19" s="939"/>
      <c r="CC19" s="939"/>
      <c r="CD19" s="939"/>
      <c r="CE19" s="939"/>
      <c r="CF19" s="939"/>
      <c r="CG19" s="939"/>
      <c r="CH19" s="939"/>
      <c r="CI19" s="939"/>
      <c r="CJ19" s="939"/>
      <c r="CK19" s="939"/>
      <c r="CL19" s="939"/>
      <c r="CM19" s="939" t="s">
        <v>2716</v>
      </c>
      <c r="CN19" s="939"/>
      <c r="CO19" s="939" t="s">
        <v>74</v>
      </c>
      <c r="CP19" s="939"/>
      <c r="CQ19" s="939"/>
      <c r="CR19" s="939"/>
      <c r="CS19" s="939"/>
      <c r="CT19" s="939"/>
      <c r="CU19" s="939"/>
      <c r="CV19" s="939"/>
      <c r="CW19" s="939"/>
      <c r="CX19" s="939"/>
      <c r="CY19" s="939"/>
      <c r="CZ19" s="939"/>
      <c r="DA19" s="939"/>
      <c r="DB19" s="939"/>
      <c r="DC19" s="939" t="s">
        <v>2716</v>
      </c>
      <c r="DD19" s="939"/>
      <c r="DE19" s="939"/>
      <c r="DF19" s="939"/>
      <c r="DG19" s="939"/>
      <c r="DH19" s="939"/>
      <c r="DI19" s="939"/>
      <c r="DJ19" s="939"/>
      <c r="DK19" s="939"/>
      <c r="DL19" s="939"/>
      <c r="DM19" s="939"/>
      <c r="DN19" s="939"/>
      <c r="DO19" s="939"/>
      <c r="DP19" s="939"/>
      <c r="DQ19" s="939"/>
      <c r="DR19" s="939"/>
      <c r="DS19" s="939" t="s">
        <v>74</v>
      </c>
      <c r="DT19" s="939"/>
      <c r="DU19" s="939"/>
      <c r="DV19" s="939"/>
      <c r="DW19" s="939"/>
      <c r="DX19" s="939" t="s">
        <v>74</v>
      </c>
      <c r="DY19" s="939"/>
      <c r="DZ19" s="939"/>
      <c r="EA19" s="939"/>
      <c r="EB19" s="939"/>
      <c r="EC19" s="939" t="s">
        <v>74</v>
      </c>
      <c r="ED19" s="939"/>
      <c r="EE19" s="939"/>
      <c r="EF19" s="939"/>
      <c r="EG19" s="939"/>
      <c r="EH19" s="939"/>
      <c r="EI19" s="939"/>
      <c r="EJ19" s="939"/>
      <c r="EK19" s="939"/>
      <c r="EL19" s="939"/>
      <c r="EM19" s="939"/>
      <c r="EN19" s="939"/>
      <c r="EO19" s="939"/>
      <c r="EP19" s="939"/>
      <c r="EQ19" s="939"/>
      <c r="ER19" s="939"/>
      <c r="ES19" s="939"/>
      <c r="ET19" s="939"/>
      <c r="EU19" s="939" t="s">
        <v>74</v>
      </c>
      <c r="EV19" s="939"/>
      <c r="EW19" s="939"/>
      <c r="EX19" s="939"/>
      <c r="EY19" s="939"/>
      <c r="EZ19" s="939"/>
      <c r="FA19" s="939"/>
      <c r="FB19" s="939"/>
      <c r="FC19" s="939"/>
      <c r="FD19" s="939"/>
      <c r="FE19" s="939"/>
      <c r="FF19" s="939"/>
      <c r="FG19" s="939"/>
      <c r="FH19" s="939"/>
      <c r="FI19" s="939"/>
      <c r="FJ19" s="939"/>
      <c r="FK19" s="939"/>
      <c r="FL19" s="939"/>
      <c r="FM19" s="939"/>
      <c r="FN19" s="939" t="s">
        <v>74</v>
      </c>
      <c r="FO19" s="939"/>
      <c r="FP19" s="939"/>
      <c r="FQ19" s="939"/>
      <c r="FR19" s="939"/>
      <c r="FS19" s="939"/>
      <c r="FT19" s="939"/>
      <c r="FU19" s="939"/>
      <c r="FV19" s="939"/>
      <c r="FW19" s="939"/>
      <c r="FX19" s="939"/>
      <c r="FY19" s="939" t="s">
        <v>74</v>
      </c>
      <c r="FZ19" s="939" t="s">
        <v>74</v>
      </c>
      <c r="GA19" s="939"/>
      <c r="GB19" s="939"/>
      <c r="GC19" s="939"/>
      <c r="GD19" s="939"/>
      <c r="GE19" s="939"/>
      <c r="GF19" s="939" t="s">
        <v>74</v>
      </c>
      <c r="GG19" s="939" t="s">
        <v>74</v>
      </c>
      <c r="GH19" s="939" t="s">
        <v>74</v>
      </c>
      <c r="GI19" s="939" t="s">
        <v>74</v>
      </c>
      <c r="GJ19" s="939"/>
      <c r="GK19" s="939"/>
      <c r="GL19" s="939"/>
      <c r="GM19" s="939"/>
      <c r="GN19" s="939" t="s">
        <v>74</v>
      </c>
      <c r="GO19" s="939"/>
      <c r="GP19" s="939"/>
      <c r="GQ19" s="939"/>
      <c r="GR19" s="939"/>
      <c r="GS19" s="939"/>
      <c r="GT19" s="939"/>
      <c r="GU19" s="939"/>
      <c r="GV19" s="939"/>
      <c r="GW19" s="939"/>
      <c r="GX19" s="939"/>
      <c r="GY19" s="939" t="s">
        <v>2716</v>
      </c>
      <c r="GZ19" s="940"/>
      <c r="HA19" s="939"/>
      <c r="HB19" s="939"/>
      <c r="HC19" s="939"/>
      <c r="HD19" s="939"/>
      <c r="HE19" s="939"/>
      <c r="HF19" s="939"/>
      <c r="HG19" s="939"/>
      <c r="HH19" s="939" t="s">
        <v>74</v>
      </c>
      <c r="HI19" s="939"/>
      <c r="HJ19" s="939" t="s">
        <v>74</v>
      </c>
      <c r="HK19" s="939"/>
      <c r="HL19" s="939"/>
      <c r="HM19" s="939"/>
      <c r="HN19" s="939"/>
      <c r="HO19" s="939"/>
      <c r="HP19" s="939"/>
      <c r="HQ19" s="939"/>
      <c r="HR19" s="939"/>
      <c r="HS19" s="939"/>
      <c r="HT19" s="939"/>
      <c r="HU19" s="939"/>
      <c r="HV19" s="939"/>
      <c r="HW19" s="939"/>
      <c r="HX19" s="990" t="s">
        <v>74</v>
      </c>
      <c r="HY19" s="1012"/>
      <c r="HZ19" s="1012"/>
      <c r="IA19" s="1012"/>
      <c r="IB19" s="1012"/>
      <c r="IC19" s="1013"/>
      <c r="ID19" s="1013"/>
      <c r="IE19" s="1012"/>
      <c r="IF19" s="1012"/>
      <c r="IG19" s="1012"/>
      <c r="IH19" s="1012"/>
      <c r="II19" s="1012"/>
      <c r="IJ19" s="1012"/>
      <c r="IK19" s="1012"/>
      <c r="IL19" s="1012"/>
      <c r="IM19" s="1012"/>
      <c r="IN19" s="1012"/>
      <c r="IO19" s="1012"/>
      <c r="IP19" s="1013"/>
      <c r="IQ19" s="1013"/>
      <c r="IR19" s="972" t="s">
        <v>74</v>
      </c>
      <c r="IS19" s="972" t="s">
        <v>74</v>
      </c>
      <c r="IT19" s="1012"/>
      <c r="IU19" s="972" t="s">
        <v>74</v>
      </c>
      <c r="IV19" s="1012"/>
      <c r="IW19" s="929"/>
      <c r="IX19" s="929" t="str">
        <f>IF(ISNUMBER(SEARCH($A19,VLOOKUP(IX$2,职业列表!$B$1:$G$370,6,0))),"★","")</f>
        <v/>
      </c>
      <c r="IY19" s="929" t="str">
        <f>IF(ISNUMBER(SEARCH($A19,VLOOKUP(IY$2,职业列表!$B$1:$G$370,6,0))),"★","")</f>
        <v/>
      </c>
      <c r="IZ19" s="929" t="str">
        <f>IF(ISNUMBER(SEARCH($A19,VLOOKUP(IZ$2,职业列表!$B$1:$G$370,6,0))),"★","")</f>
        <v/>
      </c>
      <c r="JA19" s="929" t="str">
        <f>IF(ISNUMBER(SEARCH($A19,VLOOKUP(JA$2,职业列表!$B$1:$G$370,6,0))),"★","")</f>
        <v/>
      </c>
      <c r="JB19" s="929" t="str">
        <f>IF(ISNUMBER(SEARCH($A19,VLOOKUP(JB$2,职业列表!$B$1:$G$370,6,0))),"★","")</f>
        <v/>
      </c>
      <c r="JC19" s="929" t="str">
        <f>IF(ISNUMBER(SEARCH($A19,VLOOKUP(JC$2,职业列表!$B$1:$G$370,6,0))),"★","")</f>
        <v/>
      </c>
      <c r="JD19" s="929" t="str">
        <f>IF(ISNUMBER(SEARCH($A19,VLOOKUP(JD$2,职业列表!$B$1:$G$370,6,0))),"★","")</f>
        <v/>
      </c>
      <c r="JE19" s="929" t="str">
        <f>IF(ISNUMBER(SEARCH($A19,VLOOKUP(JE$2,职业列表!$B$1:$G$370,6,0))),"★","")</f>
        <v/>
      </c>
      <c r="JF19" s="929" t="str">
        <f>IF(ISNUMBER(SEARCH($A19,VLOOKUP(JF$2,职业列表!$B$1:$G$370,6,0))),"★","")</f>
        <v/>
      </c>
      <c r="JG19" s="929" t="str">
        <f>IF(ISNUMBER(SEARCH($A19,VLOOKUP(JG$2,职业列表!$B$1:$G$370,6,0))),"★","")</f>
        <v/>
      </c>
      <c r="JH19" s="929" t="str">
        <f>IF(ISNUMBER(SEARCH($A19,VLOOKUP(JH$2,职业列表!$B$1:$G$370,6,0))),"★","")</f>
        <v/>
      </c>
      <c r="JI19" s="929" t="str">
        <f>IF(ISNUMBER(SEARCH($A19,VLOOKUP(JI$2,职业列表!$B$1:$G$370,6,0))),"★","")</f>
        <v/>
      </c>
      <c r="JJ19" s="929" t="str">
        <f>IF(ISNUMBER(SEARCH($A19,VLOOKUP(JJ$2,职业列表!$B$1:$G$370,6,0))),"★","")</f>
        <v/>
      </c>
      <c r="JK19" s="929" t="str">
        <f>IF(ISNUMBER(SEARCH($A19,VLOOKUP(JK$2,职业列表!$B$1:$G$370,6,0))),"★","")</f>
        <v/>
      </c>
      <c r="JL19" s="929" t="str">
        <f>IF(ISNUMBER(SEARCH($A19,VLOOKUP(JL$2,职业列表!$B$1:$G$370,6,0))),"★","")</f>
        <v/>
      </c>
      <c r="JM19" s="929" t="str">
        <f>IF(ISNUMBER(SEARCH($A19,VLOOKUP(JM$2,职业列表!$B$1:$G$370,6,0))),"★","")</f>
        <v/>
      </c>
      <c r="JN19" s="929" t="str">
        <f>IF(ISNUMBER(SEARCH($A19,VLOOKUP(JN$2,职业列表!$B$1:$G$370,6,0))),"★","")</f>
        <v/>
      </c>
      <c r="JO19" s="929" t="str">
        <f>IF(ISNUMBER(SEARCH($A19,VLOOKUP(JO$2,职业列表!$B$1:$G$370,6,0))),"★","")</f>
        <v/>
      </c>
      <c r="JP19" s="929" t="str">
        <f>IF(ISNUMBER(SEARCH($A19,VLOOKUP(JP$2,职业列表!$B$1:$G$370,6,0))),"★","")</f>
        <v/>
      </c>
      <c r="JQ19" s="929" t="str">
        <f>IF(ISNUMBER(SEARCH($A19,VLOOKUP(JQ$2,职业列表!$B$1:$G$370,6,0))),"★","")</f>
        <v/>
      </c>
      <c r="JR19" s="929" t="str">
        <f>IF(ISNUMBER(SEARCH($A19,VLOOKUP(JR$2,职业列表!$B$1:$G$370,6,0))),"★","")</f>
        <v/>
      </c>
      <c r="JS19" s="929" t="str">
        <f>IF(ISNUMBER(SEARCH($A19,VLOOKUP(JS$2,职业列表!$B$1:$G$370,6,0))),"★","")</f>
        <v/>
      </c>
      <c r="JT19" s="929" t="str">
        <f>IF(ISNUMBER(SEARCH($A19,VLOOKUP(JT$2,职业列表!$B$1:$G$370,6,0))),"★","")</f>
        <v/>
      </c>
      <c r="JU19" s="929" t="str">
        <f>IF(ISNUMBER(SEARCH($A19,VLOOKUP(JU$2,职业列表!$B$1:$G$370,6,0))),"★","")</f>
        <v/>
      </c>
      <c r="JV19" s="929" t="str">
        <f>IF(ISNUMBER(SEARCH($A19,VLOOKUP(JV$2,职业列表!$B$1:$G$370,6,0))),"★","")</f>
        <v/>
      </c>
      <c r="JW19" s="929" t="str">
        <f>IF(ISNUMBER(SEARCH($A19,VLOOKUP(JW$2,职业列表!$B$1:$G$370,6,0))),"★","")</f>
        <v/>
      </c>
      <c r="JX19" s="929" t="str">
        <f>IF(ISNUMBER(SEARCH($A19,VLOOKUP(JX$2,职业列表!$B$1:$G$370,6,0))),"★","")</f>
        <v/>
      </c>
      <c r="JY19" s="929" t="str">
        <f>IF(ISNUMBER(SEARCH($A19,VLOOKUP(JY$2,职业列表!$B$1:$G$370,6,0))),"★","")</f>
        <v/>
      </c>
      <c r="JZ19" s="929" t="str">
        <f>IF(ISNUMBER(SEARCH($A19,VLOOKUP(JZ$2,职业列表!$B$1:$G$370,6,0))),"★","")</f>
        <v/>
      </c>
      <c r="KA19" s="929" t="str">
        <f>IF(ISNUMBER(SEARCH($A19,VLOOKUP(KA$2,职业列表!$B$1:$G$370,6,0))),"★","")</f>
        <v/>
      </c>
      <c r="KB19" s="929" t="str">
        <f>IF(ISNUMBER(SEARCH($A19,VLOOKUP(KB$2,职业列表!$B$1:$G$370,6,0))),"★","")</f>
        <v/>
      </c>
      <c r="KC19" s="929" t="str">
        <f>IF(ISNUMBER(SEARCH($A19,VLOOKUP(KC$2,职业列表!$B$1:$G$370,6,0))),"★","")</f>
        <v/>
      </c>
      <c r="KD19" s="929" t="str">
        <f>IF(ISNUMBER(SEARCH($A19,VLOOKUP(KD$2,职业列表!$B$1:$G$370,6,0))),"★","")</f>
        <v/>
      </c>
      <c r="KE19" s="929" t="str">
        <f>IF(ISNUMBER(SEARCH($A19,VLOOKUP(KE$2,职业列表!$B$1:$G$370,6,0))),"★","")</f>
        <v/>
      </c>
      <c r="KF19" s="929" t="str">
        <f>IF(ISNUMBER(SEARCH($A19,VLOOKUP(KF$2,职业列表!$B$1:$G$370,6,0))),"★","")</f>
        <v/>
      </c>
      <c r="KG19" s="929" t="str">
        <f>IF(ISNUMBER(SEARCH($A19,VLOOKUP(KG$2,职业列表!$B$1:$G$370,6,0))),"★","")</f>
        <v/>
      </c>
      <c r="KH19" s="929" t="str">
        <f>IF(ISNUMBER(SEARCH($A19,VLOOKUP(KH$2,职业列表!$B$1:$G$370,6,0))),"★","")</f>
        <v/>
      </c>
      <c r="KI19" s="929" t="str">
        <f>IF(ISNUMBER(SEARCH($A19,VLOOKUP(KI$2,职业列表!$B$1:$G$370,6,0))),"★","")</f>
        <v/>
      </c>
      <c r="KJ19" s="929" t="str">
        <f>IF(ISNUMBER(SEARCH($A19,VLOOKUP(KJ$2,职业列表!$B$1:$G$370,6,0))),"★","")</f>
        <v/>
      </c>
      <c r="KK19" s="929" t="str">
        <f>IF(ISNUMBER(SEARCH($A19,VLOOKUP(KK$2,职业列表!$B$1:$G$370,6,0))),"★","")</f>
        <v/>
      </c>
      <c r="KL19" s="929" t="str">
        <f>IF(ISNUMBER(SEARCH($A19,VLOOKUP(KL$2,职业列表!$B$1:$G$370,6,0))),"★","")</f>
        <v/>
      </c>
      <c r="KM19" s="929" t="str">
        <f>IF(ISNUMBER(SEARCH($A19,VLOOKUP(KM$2,职业列表!$B$1:$G$370,6,0))),"★","")</f>
        <v/>
      </c>
      <c r="KN19" s="929" t="str">
        <f>IF(ISNUMBER(SEARCH($A19,VLOOKUP(KN$2,职业列表!$B$1:$G$370,6,0))),"★","")</f>
        <v/>
      </c>
      <c r="KO19" s="929" t="str">
        <f>IF(ISNUMBER(SEARCH($A19,VLOOKUP(KO$2,职业列表!$B$1:$G$370,6,0))),"★","")</f>
        <v/>
      </c>
      <c r="KP19" s="929" t="str">
        <f>IF(ISNUMBER(SEARCH($A19,VLOOKUP(KP$2,职业列表!$B$1:$G$370,6,0))),"★","")</f>
        <v/>
      </c>
      <c r="KQ19" s="929" t="str">
        <f>IF(ISNUMBER(SEARCH($A19,VLOOKUP(KQ$2,职业列表!$B$1:$G$370,6,0))),"★","")</f>
        <v/>
      </c>
      <c r="KR19" s="929" t="str">
        <f>IF(ISNUMBER(SEARCH($A19,VLOOKUP(KR$2,职业列表!$B$1:$G$370,6,0))),"★","")</f>
        <v/>
      </c>
      <c r="KS19" s="929" t="str">
        <f>IF(ISNUMBER(SEARCH($A19,VLOOKUP(KS$2,职业列表!$B$1:$G$370,6,0))),"★","")</f>
        <v/>
      </c>
      <c r="KT19" s="929" t="str">
        <f>IF(ISNUMBER(SEARCH($A19,VLOOKUP(KT$2,职业列表!$B$1:$G$370,6,0))),"★","")</f>
        <v/>
      </c>
      <c r="KU19" s="929" t="str">
        <f>IF(ISNUMBER(SEARCH($A19,VLOOKUP(KU$2,职业列表!$B$1:$G$370,6,0))),"★","")</f>
        <v/>
      </c>
      <c r="KV19" s="929" t="str">
        <f>IF(ISNUMBER(SEARCH($A19,VLOOKUP(KV$2,职业列表!$B$1:$G$370,6,0))),"★","")</f>
        <v/>
      </c>
      <c r="KW19" s="929" t="str">
        <f>IF(ISNUMBER(SEARCH($A19,VLOOKUP(KW$2,职业列表!$B$1:$G$370,6,0))),"★","")</f>
        <v/>
      </c>
      <c r="KX19" s="929" t="str">
        <f>IF(ISNUMBER(SEARCH($A19,VLOOKUP(KX$2,职业列表!$B$1:$G$370,6,0))),"★","")</f>
        <v/>
      </c>
      <c r="KY19" s="929" t="str">
        <f>IF(ISNUMBER(SEARCH($A19,VLOOKUP(KY$2,职业列表!$B$1:$G$370,6,0))),"★","")</f>
        <v/>
      </c>
      <c r="KZ19" s="929" t="str">
        <f>IF(ISNUMBER(SEARCH($A19,VLOOKUP(KZ$2,职业列表!$B$1:$G$370,6,0))),"★","")</f>
        <v/>
      </c>
      <c r="LA19" s="929" t="str">
        <f>IF(ISNUMBER(SEARCH($A19,VLOOKUP(LA$2,职业列表!$B$1:$G$370,6,0))),"★","")</f>
        <v>★</v>
      </c>
      <c r="LB19" s="929" t="str">
        <f>IF(ISNUMBER(SEARCH($A19,VLOOKUP(LB$2,职业列表!$B$1:$G$370,6,0))),"★","")</f>
        <v/>
      </c>
      <c r="LC19" s="929" t="str">
        <f>IF(ISNUMBER(SEARCH($A19,VLOOKUP(LC$2,职业列表!$B$1:$G$370,6,0))),"★","")</f>
        <v/>
      </c>
      <c r="LD19" s="929" t="str">
        <f>IF(ISNUMBER(SEARCH($A19,VLOOKUP(LD$2,职业列表!$B$1:$G$370,6,0))),"★","")</f>
        <v>★</v>
      </c>
      <c r="LE19" s="929" t="str">
        <f>IF(ISNUMBER(SEARCH($A19,VLOOKUP(LE$2,职业列表!$B$1:$G$370,6,0))),"★","")</f>
        <v>★</v>
      </c>
      <c r="LF19" s="929" t="str">
        <f>IF(ISNUMBER(SEARCH($A19,VLOOKUP(LF$2,职业列表!$B$1:$G$370,6,0))),"★","")</f>
        <v/>
      </c>
      <c r="LG19" s="929" t="str">
        <f>IF(ISNUMBER(SEARCH($A19,VLOOKUP(LG$2,职业列表!$B$1:$G$370,6,0))),"★","")</f>
        <v/>
      </c>
      <c r="LH19" s="929" t="str">
        <f>IF(ISNUMBER(SEARCH($A19,VLOOKUP(LH$2,职业列表!$B$1:$G$370,6,0))),"★","")</f>
        <v/>
      </c>
      <c r="LI19" s="929" t="str">
        <f>IF(ISNUMBER(SEARCH($A19,VLOOKUP(LI$2,职业列表!$B$1:$G$370,6,0))),"★","")</f>
        <v/>
      </c>
      <c r="LJ19" s="929" t="str">
        <f>IF(ISNUMBER(SEARCH($A19,VLOOKUP(LJ$2,职业列表!$B$1:$G$370,6,0))),"★","")</f>
        <v/>
      </c>
      <c r="LK19" s="929" t="str">
        <f>IF(ISNUMBER(SEARCH($A19,VLOOKUP(LK$2,职业列表!$B$1:$G$370,6,0))),"★","")</f>
        <v/>
      </c>
      <c r="LL19" s="929" t="str">
        <f>IF(ISNUMBER(SEARCH($A19,VLOOKUP(LL$2,职业列表!$B$1:$G$370,6,0))),"★","")</f>
        <v/>
      </c>
      <c r="LM19" s="929" t="str">
        <f>IF(ISNUMBER(SEARCH($A19,VLOOKUP(LM$2,职业列表!$B$1:$G$370,6,0))),"★","")</f>
        <v/>
      </c>
      <c r="LN19" s="929" t="str">
        <f>IF(ISNUMBER(SEARCH($A19,VLOOKUP(LN$2,职业列表!$B$1:$G$370,6,0))),"★","")</f>
        <v/>
      </c>
      <c r="LO19" s="929" t="str">
        <f>IF(ISNUMBER(SEARCH($A19,VLOOKUP(LO$2,职业列表!$B$1:$G$370,6,0))),"★","")</f>
        <v/>
      </c>
      <c r="LP19" s="929" t="str">
        <f>IF(ISNUMBER(SEARCH($A19,VLOOKUP(LP$2,职业列表!$B$1:$G$370,6,0))),"★","")</f>
        <v/>
      </c>
      <c r="LQ19" s="929" t="str">
        <f>IF(ISNUMBER(SEARCH($A19,VLOOKUP(LQ$2,职业列表!$B$1:$G$370,6,0))),"★","")</f>
        <v/>
      </c>
      <c r="LR19" s="929" t="str">
        <f>IF(ISNUMBER(SEARCH($A19,VLOOKUP(LR$2,职业列表!$B$1:$G$370,6,0))),"★","")</f>
        <v>★</v>
      </c>
      <c r="LS19" s="929" t="str">
        <f>IF(ISNUMBER(SEARCH($A19,VLOOKUP(LS$2,职业列表!$B$1:$G$370,6,0))),"★","")</f>
        <v/>
      </c>
      <c r="LT19" s="929" t="str">
        <f>IF(ISNUMBER(SEARCH($A19,VLOOKUP(LT$2,职业列表!$B$1:$G$370,6,0))),"★","")</f>
        <v/>
      </c>
      <c r="LU19" s="929" t="str">
        <f>IF(ISNUMBER(SEARCH($A19,VLOOKUP(LU$2,职业列表!$B$1:$G$370,6,0))),"★","")</f>
        <v/>
      </c>
      <c r="LV19" s="929" t="str">
        <f>IF(ISNUMBER(SEARCH($A19,VLOOKUP(LV$2,职业列表!$B$1:$G$370,6,0))),"★","")</f>
        <v/>
      </c>
      <c r="LW19" s="929" t="str">
        <f>IF(ISNUMBER(SEARCH($A19,VLOOKUP(LW$2,职业列表!$B$1:$G$370,6,0))),"★","")</f>
        <v/>
      </c>
      <c r="LX19" s="929" t="str">
        <f>IF(ISNUMBER(SEARCH($A19,VLOOKUP(LX$2,职业列表!$B$1:$G$370,6,0))),"★","")</f>
        <v/>
      </c>
      <c r="LY19" s="929" t="str">
        <f>IF(ISNUMBER(SEARCH($A19,VLOOKUP(LY$2,职业列表!$B$1:$G$370,6,0))),"★","")</f>
        <v/>
      </c>
      <c r="LZ19" s="929" t="str">
        <f>IF(ISNUMBER(SEARCH($A19,VLOOKUP(LZ$2,职业列表!$B$1:$G$370,6,0))),"★","")</f>
        <v/>
      </c>
      <c r="MA19" s="929" t="str">
        <f>IF(ISNUMBER(SEARCH($A19,VLOOKUP(MA$2,职业列表!$B$1:$G$370,6,0))),"★","")</f>
        <v/>
      </c>
      <c r="MB19" s="929" t="str">
        <f>IF(ISNUMBER(SEARCH($A19,VLOOKUP(MB$2,职业列表!$B$1:$G$370,6,0))),"★","")</f>
        <v/>
      </c>
      <c r="MC19" s="929" t="str">
        <f>IF(ISNUMBER(SEARCH($A19,VLOOKUP(MC$2,职业列表!$B$1:$G$370,6,0))),"★","")</f>
        <v/>
      </c>
      <c r="MD19" s="929" t="str">
        <f>IF(ISNUMBER(SEARCH($A19,VLOOKUP(MD$2,职业列表!$B$1:$G$370,6,0))),"★","")</f>
        <v/>
      </c>
      <c r="ME19" s="929" t="str">
        <f>IF(ISNUMBER(SEARCH($A19,VLOOKUP(ME$2,职业列表!$B$1:$G$370,6,0))),"★","")</f>
        <v/>
      </c>
      <c r="MF19" s="929" t="str">
        <f>IF(ISNUMBER(SEARCH($A19,VLOOKUP(MF$2,职业列表!$B$1:$G$370,6,0))),"★","")</f>
        <v/>
      </c>
      <c r="MG19" s="929" t="str">
        <f>IF(ISNUMBER(SEARCH($A19,VLOOKUP(MG$2,职业列表!$B$1:$G$370,6,0))),"★","")</f>
        <v/>
      </c>
      <c r="MH19" s="929" t="str">
        <f>IF(ISNUMBER(SEARCH($A19,VLOOKUP(MH$2,职业列表!$B$1:$G$370,6,0))),"★","")</f>
        <v/>
      </c>
      <c r="MI19" s="929" t="str">
        <f>IF(ISNUMBER(SEARCH($A19,VLOOKUP(MI$2,职业列表!$B$1:$G$370,6,0))),"★","")</f>
        <v/>
      </c>
      <c r="MJ19" s="929" t="str">
        <f>IF(ISNUMBER(SEARCH($A19,VLOOKUP(MJ$2,职业列表!$B$1:$G$370,6,0))),"★","")</f>
        <v/>
      </c>
      <c r="MK19" s="929" t="str">
        <f>IF(ISNUMBER(SEARCH($A19,VLOOKUP(MK$2,职业列表!$B$1:$G$370,6,0))),"★","")</f>
        <v/>
      </c>
      <c r="ML19" s="929" t="str">
        <f>IF(ISNUMBER(SEARCH($A19,VLOOKUP(ML$2,职业列表!$B$1:$G$370,6,0))),"★","")</f>
        <v/>
      </c>
      <c r="MM19" s="929" t="str">
        <f>IF(ISNUMBER(SEARCH($A19,VLOOKUP(MM$2,职业列表!$B$1:$G$370,6,0))),"★","")</f>
        <v/>
      </c>
      <c r="MN19" s="929" t="str">
        <f>IF(ISNUMBER(SEARCH($A19,VLOOKUP(MN$2,职业列表!$B$1:$G$370,6,0))),"★","")</f>
        <v/>
      </c>
      <c r="MO19" s="929" t="str">
        <f>IF(ISNUMBER(SEARCH($A19,VLOOKUP(MO$2,职业列表!$B$1:$G$370,6,0))),"★","")</f>
        <v/>
      </c>
      <c r="MP19" s="929" t="str">
        <f>IF(ISNUMBER(SEARCH($A19,VLOOKUP(MP$2,职业列表!$B$1:$G$370,6,0))),"★","")</f>
        <v/>
      </c>
      <c r="MQ19" s="929" t="str">
        <f>IF(ISNUMBER(SEARCH($A19,VLOOKUP(MQ$2,职业列表!$B$1:$G$370,6,0))),"★","")</f>
        <v/>
      </c>
      <c r="MR19" s="929" t="str">
        <f>IF(ISNUMBER(SEARCH($A19,VLOOKUP(MR$2,职业列表!$B$1:$G$370,6,0))),"★","")</f>
        <v/>
      </c>
      <c r="MS19" s="929" t="str">
        <f>IF(ISNUMBER(SEARCH($A19,VLOOKUP(MS$2,职业列表!$B$1:$G$370,6,0))),"★","")</f>
        <v/>
      </c>
      <c r="MT19" s="929" t="str">
        <f>IF(ISNUMBER(SEARCH($A19,VLOOKUP(MT$2,职业列表!$B$1:$G$370,6,0))),"★","")</f>
        <v/>
      </c>
      <c r="MU19" s="929" t="str">
        <f>IF(ISNUMBER(SEARCH($A19,VLOOKUP(MU$2,职业列表!$B$1:$G$370,6,0))),"★","")</f>
        <v/>
      </c>
      <c r="MV19" s="929" t="str">
        <f>IF(ISNUMBER(SEARCH($A19,VLOOKUP(MV$2,职业列表!$B$1:$G$370,6,0))),"★","")</f>
        <v/>
      </c>
      <c r="MW19" s="929" t="str">
        <f>IF(ISNUMBER(SEARCH($A19,VLOOKUP(MW$2,职业列表!$B$1:$G$370,6,0))),"★","")</f>
        <v/>
      </c>
      <c r="MX19" s="929" t="str">
        <f>IF(ISNUMBER(SEARCH($A19,VLOOKUP(MX$2,职业列表!$B$1:$G$370,6,0))),"★","")</f>
        <v/>
      </c>
      <c r="MY19" s="929" t="str">
        <f>IF(ISNUMBER(SEARCH($A19,VLOOKUP(MY$2,职业列表!$B$1:$G$370,6,0))),"★","")</f>
        <v/>
      </c>
      <c r="MZ19" s="929" t="str">
        <f>IF(ISNUMBER(SEARCH($A19,VLOOKUP(MZ$2,职业列表!$B$1:$G$370,6,0))),"★","")</f>
        <v/>
      </c>
      <c r="NA19" s="929" t="str">
        <f>IF(ISNUMBER(SEARCH($A19,VLOOKUP(NA$2,职业列表!$B$1:$G$370,6,0))),"★","")</f>
        <v/>
      </c>
      <c r="NB19" s="929" t="str">
        <f>IF(ISNUMBER(SEARCH($A19,VLOOKUP(NB$2,职业列表!$B$1:$G$370,6,0))),"★","")</f>
        <v/>
      </c>
      <c r="NC19" s="929" t="str">
        <f>IF(ISNUMBER(SEARCH($A19,VLOOKUP(NC$2,职业列表!$B$1:$G$370,6,0))),"★","")</f>
        <v/>
      </c>
      <c r="ND19" s="929" t="str">
        <f>IF(ISNUMBER(SEARCH($A19,VLOOKUP(ND$2,职业列表!$B$1:$G$370,6,0))),"★","")</f>
        <v/>
      </c>
      <c r="NE19" s="929" t="str">
        <f>IF(ISNUMBER(SEARCH($A19,VLOOKUP(NE$2,职业列表!$B$1:$G$370,6,0))),"★","")</f>
        <v/>
      </c>
    </row>
    <row r="20" customFormat="1" spans="1:369">
      <c r="A20" s="932" t="s">
        <v>105</v>
      </c>
      <c r="B20" s="947" t="str">
        <f>IF(OR(A20="说服",A20="话术",A20="取悦",A20="恐吓"),"☯",IF(ISNUMBER(SEARCH(A20,VLOOKUP(IX$2,职业列表!$B$1:$G$370,6,0))),"★",""))</f>
        <v/>
      </c>
      <c r="C20" s="939" t="str">
        <f>IF(ISTEXT(IFERROR(VLOOKUP(A20,职业列表!I3:J10,1,FALSE),0)),"★","")</f>
        <v/>
      </c>
      <c r="D20" s="947"/>
      <c r="E20" s="947" t="s">
        <v>74</v>
      </c>
      <c r="F20" s="947"/>
      <c r="G20" s="947"/>
      <c r="H20" s="947"/>
      <c r="I20" s="947"/>
      <c r="J20" s="947"/>
      <c r="K20" s="947"/>
      <c r="L20" s="947"/>
      <c r="M20" s="947"/>
      <c r="N20" s="947"/>
      <c r="O20" s="947"/>
      <c r="P20" s="947" t="s">
        <v>74</v>
      </c>
      <c r="Q20" s="947"/>
      <c r="R20" s="947"/>
      <c r="S20" s="947"/>
      <c r="T20" s="947"/>
      <c r="U20" s="947"/>
      <c r="V20" s="947"/>
      <c r="W20" s="947" t="s">
        <v>74</v>
      </c>
      <c r="X20" s="947"/>
      <c r="Y20" s="947"/>
      <c r="Z20" s="947"/>
      <c r="AA20" s="947"/>
      <c r="AB20" s="947" t="s">
        <v>74</v>
      </c>
      <c r="AC20" s="947"/>
      <c r="AD20" s="947"/>
      <c r="AE20" s="947"/>
      <c r="AF20" s="947"/>
      <c r="AG20" s="947"/>
      <c r="AH20" s="947"/>
      <c r="AI20" s="947"/>
      <c r="AJ20" s="947"/>
      <c r="AK20" s="947"/>
      <c r="AL20" s="947"/>
      <c r="AM20" s="947"/>
      <c r="AN20" s="947"/>
      <c r="AO20" s="947"/>
      <c r="AP20" s="947"/>
      <c r="AQ20" s="947"/>
      <c r="AR20" s="947"/>
      <c r="AS20" s="947"/>
      <c r="AT20" s="947"/>
      <c r="AU20" s="947"/>
      <c r="AV20" s="947"/>
      <c r="AW20" s="947"/>
      <c r="AX20" s="947"/>
      <c r="AY20" s="947"/>
      <c r="AZ20" s="947"/>
      <c r="BA20" s="947"/>
      <c r="BB20" s="947"/>
      <c r="BC20" s="947"/>
      <c r="BD20" s="947"/>
      <c r="BE20" s="947"/>
      <c r="BF20" s="947" t="s">
        <v>74</v>
      </c>
      <c r="BG20" s="947"/>
      <c r="BH20" s="947"/>
      <c r="BI20" s="947"/>
      <c r="BJ20" s="947"/>
      <c r="BK20" s="947"/>
      <c r="BL20" s="947"/>
      <c r="BM20" s="947"/>
      <c r="BN20" s="947"/>
      <c r="BO20" s="947"/>
      <c r="BP20" s="947"/>
      <c r="BQ20" s="947"/>
      <c r="BR20" s="947"/>
      <c r="BS20" s="947"/>
      <c r="BT20" s="947" t="s">
        <v>74</v>
      </c>
      <c r="BU20" s="947"/>
      <c r="BV20" s="947"/>
      <c r="BW20" s="947"/>
      <c r="BX20" s="947"/>
      <c r="BY20" s="947"/>
      <c r="BZ20" s="947"/>
      <c r="CA20" s="947"/>
      <c r="CB20" s="947"/>
      <c r="CC20" s="947"/>
      <c r="CD20" s="947"/>
      <c r="CE20" s="947"/>
      <c r="CF20" s="947"/>
      <c r="CG20" s="947"/>
      <c r="CH20" s="947"/>
      <c r="CI20" s="947"/>
      <c r="CJ20" s="947"/>
      <c r="CK20" s="947"/>
      <c r="CL20" s="947"/>
      <c r="CM20" s="947"/>
      <c r="CN20" s="947"/>
      <c r="CO20" s="947"/>
      <c r="CP20" s="947"/>
      <c r="CQ20" s="947"/>
      <c r="CR20" s="947" t="s">
        <v>74</v>
      </c>
      <c r="CS20" s="947"/>
      <c r="CT20" s="947"/>
      <c r="CU20" s="947"/>
      <c r="CV20" s="947"/>
      <c r="CW20" s="947"/>
      <c r="CX20" s="947"/>
      <c r="CY20" s="947"/>
      <c r="CZ20" s="947"/>
      <c r="DA20" s="947"/>
      <c r="DB20" s="947" t="s">
        <v>74</v>
      </c>
      <c r="DC20" s="947"/>
      <c r="DD20" s="947"/>
      <c r="DE20" s="947" t="s">
        <v>74</v>
      </c>
      <c r="DF20" s="947"/>
      <c r="DG20" s="947"/>
      <c r="DH20" s="947"/>
      <c r="DI20" s="947" t="s">
        <v>74</v>
      </c>
      <c r="DJ20" s="947"/>
      <c r="DK20" s="947"/>
      <c r="DL20" s="947"/>
      <c r="DM20" s="947" t="s">
        <v>74</v>
      </c>
      <c r="DN20" s="947"/>
      <c r="DO20" s="947"/>
      <c r="DP20" s="947"/>
      <c r="DQ20" s="947" t="s">
        <v>74</v>
      </c>
      <c r="DR20" s="947" t="s">
        <v>74</v>
      </c>
      <c r="DS20" s="947" t="s">
        <v>74</v>
      </c>
      <c r="DT20" s="947"/>
      <c r="DU20" s="947"/>
      <c r="DV20" s="947"/>
      <c r="DW20" s="947"/>
      <c r="DX20" s="947"/>
      <c r="DY20" s="947"/>
      <c r="DZ20" s="947"/>
      <c r="EA20" s="947"/>
      <c r="EB20" s="947"/>
      <c r="EC20" s="947"/>
      <c r="ED20" s="947"/>
      <c r="EE20" s="947"/>
      <c r="EF20" s="947"/>
      <c r="EG20" s="947"/>
      <c r="EH20" s="947"/>
      <c r="EI20" s="947"/>
      <c r="EJ20" s="947"/>
      <c r="EK20" s="947"/>
      <c r="EL20" s="947"/>
      <c r="EM20" s="947" t="s">
        <v>74</v>
      </c>
      <c r="EN20" s="947"/>
      <c r="EO20" s="947"/>
      <c r="EP20" s="947"/>
      <c r="EQ20" s="947"/>
      <c r="ER20" s="947"/>
      <c r="ES20" s="947"/>
      <c r="ET20" s="947"/>
      <c r="EU20" s="947"/>
      <c r="EV20" s="947"/>
      <c r="EW20" s="947"/>
      <c r="EX20" s="947"/>
      <c r="EY20" s="947"/>
      <c r="EZ20" s="947"/>
      <c r="FA20" s="947"/>
      <c r="FB20" s="947"/>
      <c r="FC20" s="947"/>
      <c r="FD20" s="947"/>
      <c r="FE20" s="947"/>
      <c r="FF20" s="947"/>
      <c r="FG20" s="947"/>
      <c r="FH20" s="947"/>
      <c r="FI20" s="947"/>
      <c r="FJ20" s="947"/>
      <c r="FK20" s="947"/>
      <c r="FL20" s="947"/>
      <c r="FM20" s="947"/>
      <c r="FN20" s="947"/>
      <c r="FO20" s="947" t="s">
        <v>74</v>
      </c>
      <c r="FP20" s="947"/>
      <c r="FQ20" s="947"/>
      <c r="FR20" s="947"/>
      <c r="FS20" s="947"/>
      <c r="FT20" s="947"/>
      <c r="FU20" s="947"/>
      <c r="FV20" s="947"/>
      <c r="FW20" s="947"/>
      <c r="FX20" s="947"/>
      <c r="FY20" s="947"/>
      <c r="FZ20" s="947"/>
      <c r="GA20" s="947"/>
      <c r="GB20" s="947"/>
      <c r="GC20" s="947" t="s">
        <v>74</v>
      </c>
      <c r="GD20" s="947" t="s">
        <v>74</v>
      </c>
      <c r="GE20" s="947"/>
      <c r="GF20" s="947"/>
      <c r="GG20" s="947"/>
      <c r="GH20" s="947"/>
      <c r="GI20" s="947"/>
      <c r="GJ20" s="947" t="s">
        <v>74</v>
      </c>
      <c r="GK20" s="947"/>
      <c r="GL20" s="947"/>
      <c r="GM20" s="947"/>
      <c r="GN20" s="947"/>
      <c r="GO20" s="947"/>
      <c r="GP20" s="947"/>
      <c r="GQ20" s="947"/>
      <c r="GR20" s="947"/>
      <c r="GS20" s="947"/>
      <c r="GT20" s="947"/>
      <c r="GU20" s="947" t="s">
        <v>74</v>
      </c>
      <c r="GV20" s="947"/>
      <c r="GW20" s="947"/>
      <c r="GX20" s="947"/>
      <c r="GY20" s="947"/>
      <c r="GZ20" s="947"/>
      <c r="HA20" s="947"/>
      <c r="HB20" s="947"/>
      <c r="HC20" s="947"/>
      <c r="HD20" s="947" t="s">
        <v>74</v>
      </c>
      <c r="HE20" s="947"/>
      <c r="HF20" s="947"/>
      <c r="HG20" s="947"/>
      <c r="HH20" s="947"/>
      <c r="HI20" s="947"/>
      <c r="HJ20" s="982" t="s">
        <v>74</v>
      </c>
      <c r="HK20" s="947"/>
      <c r="HL20" s="947"/>
      <c r="HM20" s="947"/>
      <c r="HN20" s="947" t="s">
        <v>74</v>
      </c>
      <c r="HO20" s="947" t="s">
        <v>74</v>
      </c>
      <c r="HP20" s="947"/>
      <c r="HQ20" s="947"/>
      <c r="HR20" s="947" t="s">
        <v>74</v>
      </c>
      <c r="HS20" s="947"/>
      <c r="HT20" s="947"/>
      <c r="HU20" s="947" t="s">
        <v>74</v>
      </c>
      <c r="HV20" s="947"/>
      <c r="HW20" s="982" t="s">
        <v>74</v>
      </c>
      <c r="HX20" s="994"/>
      <c r="HY20" s="1017"/>
      <c r="HZ20" s="1017"/>
      <c r="IA20" s="1017"/>
      <c r="IB20" s="1017"/>
      <c r="IC20" s="1018"/>
      <c r="ID20" s="990" t="s">
        <v>74</v>
      </c>
      <c r="IE20" s="939" t="s">
        <v>74</v>
      </c>
      <c r="IF20" s="1017"/>
      <c r="IG20" s="1017"/>
      <c r="IH20" s="1017"/>
      <c r="II20" s="1017"/>
      <c r="IJ20" s="1017"/>
      <c r="IK20" s="1017"/>
      <c r="IL20" s="1017"/>
      <c r="IM20" s="1017"/>
      <c r="IN20" s="939" t="s">
        <v>74</v>
      </c>
      <c r="IO20" s="1017"/>
      <c r="IP20" s="1018"/>
      <c r="IQ20" s="1018"/>
      <c r="IR20" s="1017"/>
      <c r="IS20" s="1017"/>
      <c r="IT20" s="1017"/>
      <c r="IU20" s="1017"/>
      <c r="IV20" s="1017"/>
      <c r="IW20" s="1050"/>
      <c r="IX20" s="929" t="str">
        <f>IF(ISNUMBER(SEARCH($A20,VLOOKUP(IX$2,职业列表!$B$1:$G$370,6,0))),"★","")</f>
        <v/>
      </c>
      <c r="IY20" s="929" t="str">
        <f>IF(ISNUMBER(SEARCH($A20,VLOOKUP(IY$2,职业列表!$B$1:$G$370,6,0))),"★","")</f>
        <v/>
      </c>
      <c r="IZ20" s="929" t="str">
        <f>IF(ISNUMBER(SEARCH($A20,VLOOKUP(IZ$2,职业列表!$B$1:$G$370,6,0))),"★","")</f>
        <v>★</v>
      </c>
      <c r="JA20" s="929" t="str">
        <f>IF(ISNUMBER(SEARCH($A20,VLOOKUP(JA$2,职业列表!$B$1:$G$370,6,0))),"★","")</f>
        <v/>
      </c>
      <c r="JB20" s="929" t="str">
        <f>IF(ISNUMBER(SEARCH($A20,VLOOKUP(JB$2,职业列表!$B$1:$G$370,6,0))),"★","")</f>
        <v/>
      </c>
      <c r="JC20" s="929" t="str">
        <f>IF(ISNUMBER(SEARCH($A20,VLOOKUP(JC$2,职业列表!$B$1:$G$370,6,0))),"★","")</f>
        <v/>
      </c>
      <c r="JD20" s="929" t="str">
        <f>IF(ISNUMBER(SEARCH($A20,VLOOKUP(JD$2,职业列表!$B$1:$G$370,6,0))),"★","")</f>
        <v/>
      </c>
      <c r="JE20" s="929" t="str">
        <f>IF(ISNUMBER(SEARCH($A20,VLOOKUP(JE$2,职业列表!$B$1:$G$370,6,0))),"★","")</f>
        <v/>
      </c>
      <c r="JF20" s="929" t="str">
        <f>IF(ISNUMBER(SEARCH($A20,VLOOKUP(JF$2,职业列表!$B$1:$G$370,6,0))),"★","")</f>
        <v/>
      </c>
      <c r="JG20" s="929" t="str">
        <f>IF(ISNUMBER(SEARCH($A20,VLOOKUP(JG$2,职业列表!$B$1:$G$370,6,0))),"★","")</f>
        <v>★</v>
      </c>
      <c r="JH20" s="929" t="str">
        <f>IF(ISNUMBER(SEARCH($A20,VLOOKUP(JH$2,职业列表!$B$1:$G$370,6,0))),"★","")</f>
        <v>★</v>
      </c>
      <c r="JI20" s="929" t="str">
        <f>IF(ISNUMBER(SEARCH($A20,VLOOKUP(JI$2,职业列表!$B$1:$G$370,6,0))),"★","")</f>
        <v/>
      </c>
      <c r="JJ20" s="929" t="str">
        <f>IF(ISNUMBER(SEARCH($A20,VLOOKUP(JJ$2,职业列表!$B$1:$G$370,6,0))),"★","")</f>
        <v>★</v>
      </c>
      <c r="JK20" s="929" t="str">
        <f>IF(ISNUMBER(SEARCH($A20,VLOOKUP(JK$2,职业列表!$B$1:$G$370,6,0))),"★","")</f>
        <v/>
      </c>
      <c r="JL20" s="929" t="str">
        <f>IF(ISNUMBER(SEARCH($A20,VLOOKUP(JL$2,职业列表!$B$1:$G$370,6,0))),"★","")</f>
        <v/>
      </c>
      <c r="JM20" s="929" t="str">
        <f>IF(ISNUMBER(SEARCH($A20,VLOOKUP(JM$2,职业列表!$B$1:$G$370,6,0))),"★","")</f>
        <v/>
      </c>
      <c r="JN20" s="929" t="str">
        <f>IF(ISNUMBER(SEARCH($A20,VLOOKUP(JN$2,职业列表!$B$1:$G$370,6,0))),"★","")</f>
        <v/>
      </c>
      <c r="JO20" s="929" t="str">
        <f>IF(ISNUMBER(SEARCH($A20,VLOOKUP(JO$2,职业列表!$B$1:$G$370,6,0))),"★","")</f>
        <v/>
      </c>
      <c r="JP20" s="929" t="str">
        <f>IF(ISNUMBER(SEARCH($A20,VLOOKUP(JP$2,职业列表!$B$1:$G$370,6,0))),"★","")</f>
        <v/>
      </c>
      <c r="JQ20" s="929" t="str">
        <f>IF(ISNUMBER(SEARCH($A20,VLOOKUP(JQ$2,职业列表!$B$1:$G$370,6,0))),"★","")</f>
        <v/>
      </c>
      <c r="JR20" s="929" t="str">
        <f>IF(ISNUMBER(SEARCH($A20,VLOOKUP(JR$2,职业列表!$B$1:$G$370,6,0))),"★","")</f>
        <v/>
      </c>
      <c r="JS20" s="929" t="str">
        <f>IF(ISNUMBER(SEARCH($A20,VLOOKUP(JS$2,职业列表!$B$1:$G$370,6,0))),"★","")</f>
        <v/>
      </c>
      <c r="JT20" s="929" t="str">
        <f>IF(ISNUMBER(SEARCH($A20,VLOOKUP(JT$2,职业列表!$B$1:$G$370,6,0))),"★","")</f>
        <v>★</v>
      </c>
      <c r="JU20" s="929" t="str">
        <f>IF(ISNUMBER(SEARCH($A20,VLOOKUP(JU$2,职业列表!$B$1:$G$370,6,0))),"★","")</f>
        <v/>
      </c>
      <c r="JV20" s="929" t="str">
        <f>IF(ISNUMBER(SEARCH($A20,VLOOKUP(JV$2,职业列表!$B$1:$G$370,6,0))),"★","")</f>
        <v/>
      </c>
      <c r="JW20" s="929" t="str">
        <f>IF(ISNUMBER(SEARCH($A20,VLOOKUP(JW$2,职业列表!$B$1:$G$370,6,0))),"★","")</f>
        <v/>
      </c>
      <c r="JX20" s="929" t="str">
        <f>IF(ISNUMBER(SEARCH($A20,VLOOKUP(JX$2,职业列表!$B$1:$G$370,6,0))),"★","")</f>
        <v/>
      </c>
      <c r="JY20" s="929" t="str">
        <f>IF(ISNUMBER(SEARCH($A20,VLOOKUP(JY$2,职业列表!$B$1:$G$370,6,0))),"★","")</f>
        <v/>
      </c>
      <c r="JZ20" s="929" t="str">
        <f>IF(ISNUMBER(SEARCH($A20,VLOOKUP(JZ$2,职业列表!$B$1:$G$370,6,0))),"★","")</f>
        <v/>
      </c>
      <c r="KA20" s="929" t="str">
        <f>IF(ISNUMBER(SEARCH($A20,VLOOKUP(KA$2,职业列表!$B$1:$G$370,6,0))),"★","")</f>
        <v/>
      </c>
      <c r="KB20" s="929" t="str">
        <f>IF(ISNUMBER(SEARCH($A20,VLOOKUP(KB$2,职业列表!$B$1:$G$370,6,0))),"★","")</f>
        <v/>
      </c>
      <c r="KC20" s="929" t="str">
        <f>IF(ISNUMBER(SEARCH($A20,VLOOKUP(KC$2,职业列表!$B$1:$G$370,6,0))),"★","")</f>
        <v/>
      </c>
      <c r="KD20" s="929" t="str">
        <f>IF(ISNUMBER(SEARCH($A20,VLOOKUP(KD$2,职业列表!$B$1:$G$370,6,0))),"★","")</f>
        <v/>
      </c>
      <c r="KE20" s="929" t="str">
        <f>IF(ISNUMBER(SEARCH($A20,VLOOKUP(KE$2,职业列表!$B$1:$G$370,6,0))),"★","")</f>
        <v/>
      </c>
      <c r="KF20" s="929" t="str">
        <f>IF(ISNUMBER(SEARCH($A20,VLOOKUP(KF$2,职业列表!$B$1:$G$370,6,0))),"★","")</f>
        <v/>
      </c>
      <c r="KG20" s="929" t="str">
        <f>IF(ISNUMBER(SEARCH($A20,VLOOKUP(KG$2,职业列表!$B$1:$G$370,6,0))),"★","")</f>
        <v/>
      </c>
      <c r="KH20" s="929" t="str">
        <f>IF(ISNUMBER(SEARCH($A20,VLOOKUP(KH$2,职业列表!$B$1:$G$370,6,0))),"★","")</f>
        <v/>
      </c>
      <c r="KI20" s="929" t="str">
        <f>IF(ISNUMBER(SEARCH($A20,VLOOKUP(KI$2,职业列表!$B$1:$G$370,6,0))),"★","")</f>
        <v/>
      </c>
      <c r="KJ20" s="929" t="str">
        <f>IF(ISNUMBER(SEARCH($A20,VLOOKUP(KJ$2,职业列表!$B$1:$G$370,6,0))),"★","")</f>
        <v/>
      </c>
      <c r="KK20" s="929" t="str">
        <f>IF(ISNUMBER(SEARCH($A20,VLOOKUP(KK$2,职业列表!$B$1:$G$370,6,0))),"★","")</f>
        <v/>
      </c>
      <c r="KL20" s="929" t="str">
        <f>IF(ISNUMBER(SEARCH($A20,VLOOKUP(KL$2,职业列表!$B$1:$G$370,6,0))),"★","")</f>
        <v/>
      </c>
      <c r="KM20" s="929" t="str">
        <f>IF(ISNUMBER(SEARCH($A20,VLOOKUP(KM$2,职业列表!$B$1:$G$370,6,0))),"★","")</f>
        <v>★</v>
      </c>
      <c r="KN20" s="929" t="str">
        <f>IF(ISNUMBER(SEARCH($A20,VLOOKUP(KN$2,职业列表!$B$1:$G$370,6,0))),"★","")</f>
        <v/>
      </c>
      <c r="KO20" s="929" t="str">
        <f>IF(ISNUMBER(SEARCH($A20,VLOOKUP(KO$2,职业列表!$B$1:$G$370,6,0))),"★","")</f>
        <v/>
      </c>
      <c r="KP20" s="929" t="str">
        <f>IF(ISNUMBER(SEARCH($A20,VLOOKUP(KP$2,职业列表!$B$1:$G$370,6,0))),"★","")</f>
        <v/>
      </c>
      <c r="KQ20" s="929" t="str">
        <f>IF(ISNUMBER(SEARCH($A20,VLOOKUP(KQ$2,职业列表!$B$1:$G$370,6,0))),"★","")</f>
        <v/>
      </c>
      <c r="KR20" s="929" t="str">
        <f>IF(ISNUMBER(SEARCH($A20,VLOOKUP(KR$2,职业列表!$B$1:$G$370,6,0))),"★","")</f>
        <v/>
      </c>
      <c r="KS20" s="929" t="str">
        <f>IF(ISNUMBER(SEARCH($A20,VLOOKUP(KS$2,职业列表!$B$1:$G$370,6,0))),"★","")</f>
        <v/>
      </c>
      <c r="KT20" s="929" t="str">
        <f>IF(ISNUMBER(SEARCH($A20,VLOOKUP(KT$2,职业列表!$B$1:$G$370,6,0))),"★","")</f>
        <v/>
      </c>
      <c r="KU20" s="929" t="str">
        <f>IF(ISNUMBER(SEARCH($A20,VLOOKUP(KU$2,职业列表!$B$1:$G$370,6,0))),"★","")</f>
        <v/>
      </c>
      <c r="KV20" s="929" t="str">
        <f>IF(ISNUMBER(SEARCH($A20,VLOOKUP(KV$2,职业列表!$B$1:$G$370,6,0))),"★","")</f>
        <v/>
      </c>
      <c r="KW20" s="929" t="str">
        <f>IF(ISNUMBER(SEARCH($A20,VLOOKUP(KW$2,职业列表!$B$1:$G$370,6,0))),"★","")</f>
        <v/>
      </c>
      <c r="KX20" s="929" t="str">
        <f>IF(ISNUMBER(SEARCH($A20,VLOOKUP(KX$2,职业列表!$B$1:$G$370,6,0))),"★","")</f>
        <v/>
      </c>
      <c r="KY20" s="929" t="str">
        <f>IF(ISNUMBER(SEARCH($A20,VLOOKUP(KY$2,职业列表!$B$1:$G$370,6,0))),"★","")</f>
        <v/>
      </c>
      <c r="KZ20" s="929" t="str">
        <f>IF(ISNUMBER(SEARCH($A20,VLOOKUP(KZ$2,职业列表!$B$1:$G$370,6,0))),"★","")</f>
        <v/>
      </c>
      <c r="LA20" s="929" t="str">
        <f>IF(ISNUMBER(SEARCH($A20,VLOOKUP(LA$2,职业列表!$B$1:$G$370,6,0))),"★","")</f>
        <v/>
      </c>
      <c r="LB20" s="929" t="str">
        <f>IF(ISNUMBER(SEARCH($A20,VLOOKUP(LB$2,职业列表!$B$1:$G$370,6,0))),"★","")</f>
        <v/>
      </c>
      <c r="LC20" s="929" t="str">
        <f>IF(ISNUMBER(SEARCH($A20,VLOOKUP(LC$2,职业列表!$B$1:$G$370,6,0))),"★","")</f>
        <v>★</v>
      </c>
      <c r="LD20" s="929" t="str">
        <f>IF(ISNUMBER(SEARCH($A20,VLOOKUP(LD$2,职业列表!$B$1:$G$370,6,0))),"★","")</f>
        <v>★</v>
      </c>
      <c r="LE20" s="929" t="str">
        <f>IF(ISNUMBER(SEARCH($A20,VLOOKUP(LE$2,职业列表!$B$1:$G$370,6,0))),"★","")</f>
        <v>★</v>
      </c>
      <c r="LF20" s="929" t="str">
        <f>IF(ISNUMBER(SEARCH($A20,VLOOKUP(LF$2,职业列表!$B$1:$G$370,6,0))),"★","")</f>
        <v/>
      </c>
      <c r="LG20" s="929" t="str">
        <f>IF(ISNUMBER(SEARCH($A20,VLOOKUP(LG$2,职业列表!$B$1:$G$370,6,0))),"★","")</f>
        <v>★</v>
      </c>
      <c r="LH20" s="929" t="str">
        <f>IF(ISNUMBER(SEARCH($A20,VLOOKUP(LH$2,职业列表!$B$1:$G$370,6,0))),"★","")</f>
        <v/>
      </c>
      <c r="LI20" s="929" t="str">
        <f>IF(ISNUMBER(SEARCH($A20,VLOOKUP(LI$2,职业列表!$B$1:$G$370,6,0))),"★","")</f>
        <v/>
      </c>
      <c r="LJ20" s="929" t="str">
        <f>IF(ISNUMBER(SEARCH($A20,VLOOKUP(LJ$2,职业列表!$B$1:$G$370,6,0))),"★","")</f>
        <v/>
      </c>
      <c r="LK20" s="929" t="str">
        <f>IF(ISNUMBER(SEARCH($A20,VLOOKUP(LK$2,职业列表!$B$1:$G$370,6,0))),"★","")</f>
        <v/>
      </c>
      <c r="LL20" s="929" t="str">
        <f>IF(ISNUMBER(SEARCH($A20,VLOOKUP(LL$2,职业列表!$B$1:$G$370,6,0))),"★","")</f>
        <v/>
      </c>
      <c r="LM20" s="929" t="str">
        <f>IF(ISNUMBER(SEARCH($A20,VLOOKUP(LM$2,职业列表!$B$1:$G$370,6,0))),"★","")</f>
        <v>★</v>
      </c>
      <c r="LN20" s="929" t="str">
        <f>IF(ISNUMBER(SEARCH($A20,VLOOKUP(LN$2,职业列表!$B$1:$G$370,6,0))),"★","")</f>
        <v/>
      </c>
      <c r="LO20" s="929" t="str">
        <f>IF(ISNUMBER(SEARCH($A20,VLOOKUP(LO$2,职业列表!$B$1:$G$370,6,0))),"★","")</f>
        <v>★</v>
      </c>
      <c r="LP20" s="929" t="str">
        <f>IF(ISNUMBER(SEARCH($A20,VLOOKUP(LP$2,职业列表!$B$1:$G$370,6,0))),"★","")</f>
        <v/>
      </c>
      <c r="LQ20" s="929" t="str">
        <f>IF(ISNUMBER(SEARCH($A20,VLOOKUP(LQ$2,职业列表!$B$1:$G$370,6,0))),"★","")</f>
        <v>★</v>
      </c>
      <c r="LR20" s="929" t="str">
        <f>IF(ISNUMBER(SEARCH($A20,VLOOKUP(LR$2,职业列表!$B$1:$G$370,6,0))),"★","")</f>
        <v>★</v>
      </c>
      <c r="LS20" s="929" t="str">
        <f>IF(ISNUMBER(SEARCH($A20,VLOOKUP(LS$2,职业列表!$B$1:$G$370,6,0))),"★","")</f>
        <v/>
      </c>
      <c r="LT20" s="929" t="str">
        <f>IF(ISNUMBER(SEARCH($A20,VLOOKUP(LT$2,职业列表!$B$1:$G$370,6,0))),"★","")</f>
        <v/>
      </c>
      <c r="LU20" s="929" t="str">
        <f>IF(ISNUMBER(SEARCH($A20,VLOOKUP(LU$2,职业列表!$B$1:$G$370,6,0))),"★","")</f>
        <v/>
      </c>
      <c r="LV20" s="929" t="str">
        <f>IF(ISNUMBER(SEARCH($A20,VLOOKUP(LV$2,职业列表!$B$1:$G$370,6,0))),"★","")</f>
        <v/>
      </c>
      <c r="LW20" s="929" t="str">
        <f>IF(ISNUMBER(SEARCH($A20,VLOOKUP(LW$2,职业列表!$B$1:$G$370,6,0))),"★","")</f>
        <v/>
      </c>
      <c r="LX20" s="929" t="str">
        <f>IF(ISNUMBER(SEARCH($A20,VLOOKUP(LX$2,职业列表!$B$1:$G$370,6,0))),"★","")</f>
        <v/>
      </c>
      <c r="LY20" s="929" t="str">
        <f>IF(ISNUMBER(SEARCH($A20,VLOOKUP(LY$2,职业列表!$B$1:$G$370,6,0))),"★","")</f>
        <v>★</v>
      </c>
      <c r="LZ20" s="929" t="str">
        <f>IF(ISNUMBER(SEARCH($A20,VLOOKUP(LZ$2,职业列表!$B$1:$G$370,6,0))),"★","")</f>
        <v/>
      </c>
      <c r="MA20" s="929" t="str">
        <f>IF(ISNUMBER(SEARCH($A20,VLOOKUP(MA$2,职业列表!$B$1:$G$370,6,0))),"★","")</f>
        <v/>
      </c>
      <c r="MB20" s="929" t="str">
        <f>IF(ISNUMBER(SEARCH($A20,VLOOKUP(MB$2,职业列表!$B$1:$G$370,6,0))),"★","")</f>
        <v/>
      </c>
      <c r="MC20" s="929" t="str">
        <f>IF(ISNUMBER(SEARCH($A20,VLOOKUP(MC$2,职业列表!$B$1:$G$370,6,0))),"★","")</f>
        <v/>
      </c>
      <c r="MD20" s="929" t="str">
        <f>IF(ISNUMBER(SEARCH($A20,VLOOKUP(MD$2,职业列表!$B$1:$G$370,6,0))),"★","")</f>
        <v/>
      </c>
      <c r="ME20" s="929" t="str">
        <f>IF(ISNUMBER(SEARCH($A20,VLOOKUP(ME$2,职业列表!$B$1:$G$370,6,0))),"★","")</f>
        <v/>
      </c>
      <c r="MF20" s="929" t="str">
        <f>IF(ISNUMBER(SEARCH($A20,VLOOKUP(MF$2,职业列表!$B$1:$G$370,6,0))),"★","")</f>
        <v>★</v>
      </c>
      <c r="MG20" s="929" t="str">
        <f>IF(ISNUMBER(SEARCH($A20,VLOOKUP(MG$2,职业列表!$B$1:$G$370,6,0))),"★","")</f>
        <v/>
      </c>
      <c r="MH20" s="929" t="str">
        <f>IF(ISNUMBER(SEARCH($A20,VLOOKUP(MH$2,职业列表!$B$1:$G$370,6,0))),"★","")</f>
        <v/>
      </c>
      <c r="MI20" s="929" t="str">
        <f>IF(ISNUMBER(SEARCH($A20,VLOOKUP(MI$2,职业列表!$B$1:$G$370,6,0))),"★","")</f>
        <v/>
      </c>
      <c r="MJ20" s="929" t="str">
        <f>IF(ISNUMBER(SEARCH($A20,VLOOKUP(MJ$2,职业列表!$B$1:$G$370,6,0))),"★","")</f>
        <v/>
      </c>
      <c r="MK20" s="929" t="str">
        <f>IF(ISNUMBER(SEARCH($A20,VLOOKUP(MK$2,职业列表!$B$1:$G$370,6,0))),"★","")</f>
        <v/>
      </c>
      <c r="ML20" s="929" t="str">
        <f>IF(ISNUMBER(SEARCH($A20,VLOOKUP(ML$2,职业列表!$B$1:$G$370,6,0))),"★","")</f>
        <v/>
      </c>
      <c r="MM20" s="929" t="str">
        <f>IF(ISNUMBER(SEARCH($A20,VLOOKUP(MM$2,职业列表!$B$1:$G$370,6,0))),"★","")</f>
        <v/>
      </c>
      <c r="MN20" s="929" t="str">
        <f>IF(ISNUMBER(SEARCH($A20,VLOOKUP(MN$2,职业列表!$B$1:$G$370,6,0))),"★","")</f>
        <v/>
      </c>
      <c r="MO20" s="929" t="str">
        <f>IF(ISNUMBER(SEARCH($A20,VLOOKUP(MO$2,职业列表!$B$1:$G$370,6,0))),"★","")</f>
        <v/>
      </c>
      <c r="MP20" s="929" t="str">
        <f>IF(ISNUMBER(SEARCH($A20,VLOOKUP(MP$2,职业列表!$B$1:$G$370,6,0))),"★","")</f>
        <v/>
      </c>
      <c r="MQ20" s="929" t="str">
        <f>IF(ISNUMBER(SEARCH($A20,VLOOKUP(MQ$2,职业列表!$B$1:$G$370,6,0))),"★","")</f>
        <v>★</v>
      </c>
      <c r="MR20" s="929" t="str">
        <f>IF(ISNUMBER(SEARCH($A20,VLOOKUP(MR$2,职业列表!$B$1:$G$370,6,0))),"★","")</f>
        <v/>
      </c>
      <c r="MS20" s="929" t="str">
        <f>IF(ISNUMBER(SEARCH($A20,VLOOKUP(MS$2,职业列表!$B$1:$G$370,6,0))),"★","")</f>
        <v/>
      </c>
      <c r="MT20" s="929" t="str">
        <f>IF(ISNUMBER(SEARCH($A20,VLOOKUP(MT$2,职业列表!$B$1:$G$370,6,0))),"★","")</f>
        <v/>
      </c>
      <c r="MU20" s="929" t="str">
        <f>IF(ISNUMBER(SEARCH($A20,VLOOKUP(MU$2,职业列表!$B$1:$G$370,6,0))),"★","")</f>
        <v>★</v>
      </c>
      <c r="MV20" s="929" t="str">
        <f>IF(ISNUMBER(SEARCH($A20,VLOOKUP(MV$2,职业列表!$B$1:$G$370,6,0))),"★","")</f>
        <v/>
      </c>
      <c r="MW20" s="929" t="str">
        <f>IF(ISNUMBER(SEARCH($A20,VLOOKUP(MW$2,职业列表!$B$1:$G$370,6,0))),"★","")</f>
        <v/>
      </c>
      <c r="MX20" s="929" t="str">
        <f>IF(ISNUMBER(SEARCH($A20,VLOOKUP(MX$2,职业列表!$B$1:$G$370,6,0))),"★","")</f>
        <v/>
      </c>
      <c r="MY20" s="929" t="str">
        <f>IF(ISNUMBER(SEARCH($A20,VLOOKUP(MY$2,职业列表!$B$1:$G$370,6,0))),"★","")</f>
        <v/>
      </c>
      <c r="MZ20" s="929" t="str">
        <f>IF(ISNUMBER(SEARCH($A20,VLOOKUP(MZ$2,职业列表!$B$1:$G$370,6,0))),"★","")</f>
        <v/>
      </c>
      <c r="NA20" s="929" t="str">
        <f>IF(ISNUMBER(SEARCH($A20,VLOOKUP(NA$2,职业列表!$B$1:$G$370,6,0))),"★","")</f>
        <v/>
      </c>
      <c r="NB20" s="929" t="str">
        <f>IF(ISNUMBER(SEARCH($A20,VLOOKUP(NB$2,职业列表!$B$1:$G$370,6,0))),"★","")</f>
        <v/>
      </c>
      <c r="NC20" s="929" t="str">
        <f>IF(ISNUMBER(SEARCH($A20,VLOOKUP(NC$2,职业列表!$B$1:$G$370,6,0))),"★","")</f>
        <v/>
      </c>
      <c r="ND20" s="929" t="str">
        <f>IF(ISNUMBER(SEARCH($A20,VLOOKUP(ND$2,职业列表!$B$1:$G$370,6,0))),"★","")</f>
        <v/>
      </c>
      <c r="NE20" s="929" t="str">
        <f>IF(ISNUMBER(SEARCH($A20,VLOOKUP(NE$2,职业列表!$B$1:$G$370,6,0))),"★","")</f>
        <v/>
      </c>
    </row>
    <row r="21" customFormat="1" spans="1:369">
      <c r="A21" s="932" t="s">
        <v>109</v>
      </c>
      <c r="B21" s="939" t="str">
        <f>IF(OR(A21="说服",A21="话术",A21="取悦",A21="恐吓"),"☯",IF(ISNUMBER(SEARCH(A21,VLOOKUP(IX$2,职业列表!$B$1:$G$370,6,0))),"★",""))</f>
        <v/>
      </c>
      <c r="C21" s="939" t="str">
        <f>IF(ISTEXT(IFERROR(VLOOKUP(A21,职业列表!I3:J10,1,FALSE),0)),"★","")</f>
        <v/>
      </c>
      <c r="D21" s="939"/>
      <c r="E21" s="939"/>
      <c r="F21" s="939"/>
      <c r="G21" s="939" t="s">
        <v>74</v>
      </c>
      <c r="H21" s="939"/>
      <c r="I21" s="939"/>
      <c r="J21" s="939"/>
      <c r="K21" s="939"/>
      <c r="L21" s="939" t="s">
        <v>74</v>
      </c>
      <c r="M21" s="939"/>
      <c r="N21" s="939"/>
      <c r="O21" s="939"/>
      <c r="P21" s="939"/>
      <c r="Q21" s="939"/>
      <c r="R21" s="939"/>
      <c r="S21" s="939"/>
      <c r="T21" s="939"/>
      <c r="U21" s="939" t="s">
        <v>74</v>
      </c>
      <c r="V21" s="939" t="s">
        <v>74</v>
      </c>
      <c r="W21" s="939"/>
      <c r="X21" s="939"/>
      <c r="Y21" s="939"/>
      <c r="Z21" s="939"/>
      <c r="AA21" s="939"/>
      <c r="AB21" s="939"/>
      <c r="AC21" s="939"/>
      <c r="AD21" s="939"/>
      <c r="AE21" s="939" t="s">
        <v>74</v>
      </c>
      <c r="AF21" s="939" t="s">
        <v>74</v>
      </c>
      <c r="AG21" s="939"/>
      <c r="AH21" s="939"/>
      <c r="AI21" s="939"/>
      <c r="AJ21" s="939" t="s">
        <v>74</v>
      </c>
      <c r="AK21" s="939"/>
      <c r="AL21" s="939"/>
      <c r="AM21" s="939" t="s">
        <v>2716</v>
      </c>
      <c r="AN21" s="939"/>
      <c r="AO21" s="939"/>
      <c r="AP21" s="939" t="s">
        <v>74</v>
      </c>
      <c r="AQ21" s="939"/>
      <c r="AR21" s="939"/>
      <c r="AS21" s="939"/>
      <c r="AT21" s="939"/>
      <c r="AU21" s="939"/>
      <c r="AV21" s="939" t="s">
        <v>74</v>
      </c>
      <c r="AW21" s="939" t="s">
        <v>74</v>
      </c>
      <c r="AX21" s="939" t="s">
        <v>74</v>
      </c>
      <c r="AY21" s="939"/>
      <c r="AZ21" s="939"/>
      <c r="BA21" s="939"/>
      <c r="BB21" s="939"/>
      <c r="BC21" s="939"/>
      <c r="BD21" s="939" t="s">
        <v>74</v>
      </c>
      <c r="BE21" s="939" t="s">
        <v>74</v>
      </c>
      <c r="BF21" s="939" t="s">
        <v>74</v>
      </c>
      <c r="BG21" s="939"/>
      <c r="BH21" s="939"/>
      <c r="BI21" s="939"/>
      <c r="BJ21" s="939"/>
      <c r="BK21" s="939" t="s">
        <v>74</v>
      </c>
      <c r="BL21" s="939"/>
      <c r="BM21" s="939"/>
      <c r="BN21" s="939"/>
      <c r="BO21" s="939"/>
      <c r="BP21" s="939"/>
      <c r="BQ21" s="939"/>
      <c r="BR21" s="939"/>
      <c r="BS21" s="939" t="s">
        <v>74</v>
      </c>
      <c r="BT21" s="939"/>
      <c r="BU21" s="939"/>
      <c r="BV21" s="939"/>
      <c r="BW21" s="939"/>
      <c r="BX21" s="939" t="s">
        <v>74</v>
      </c>
      <c r="BY21" s="939"/>
      <c r="BZ21" s="939"/>
      <c r="CA21" s="939"/>
      <c r="CB21" s="939"/>
      <c r="CC21" s="939"/>
      <c r="CD21" s="939"/>
      <c r="CE21" s="939"/>
      <c r="CF21" s="939"/>
      <c r="CG21" s="939"/>
      <c r="CH21" s="939"/>
      <c r="CI21" s="939"/>
      <c r="CJ21" s="939"/>
      <c r="CK21" s="939"/>
      <c r="CL21" s="939"/>
      <c r="CM21" s="939"/>
      <c r="CN21" s="940" t="s">
        <v>2716</v>
      </c>
      <c r="CO21" s="939"/>
      <c r="CP21" s="939"/>
      <c r="CQ21" s="939"/>
      <c r="CR21" s="939"/>
      <c r="CS21" s="939"/>
      <c r="CT21" s="939"/>
      <c r="CU21" s="939"/>
      <c r="CV21" s="939"/>
      <c r="CW21" s="939"/>
      <c r="CX21" s="939" t="s">
        <v>74</v>
      </c>
      <c r="CY21" s="939"/>
      <c r="CZ21" s="939"/>
      <c r="DA21" s="939"/>
      <c r="DB21" s="939"/>
      <c r="DC21" s="939"/>
      <c r="DD21" s="939"/>
      <c r="DE21" s="939" t="s">
        <v>2719</v>
      </c>
      <c r="DF21" s="939"/>
      <c r="DG21" s="939" t="s">
        <v>74</v>
      </c>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t="s">
        <v>74</v>
      </c>
      <c r="EJ21" s="939"/>
      <c r="EK21" s="939" t="s">
        <v>74</v>
      </c>
      <c r="EL21" s="939"/>
      <c r="EM21" s="939"/>
      <c r="EN21" s="939"/>
      <c r="EO21" s="939"/>
      <c r="EP21" s="939" t="s">
        <v>74</v>
      </c>
      <c r="EQ21" s="939"/>
      <c r="ER21" s="939" t="s">
        <v>74</v>
      </c>
      <c r="ES21" s="939" t="s">
        <v>74</v>
      </c>
      <c r="ET21" s="939"/>
      <c r="EU21" s="939"/>
      <c r="EV21" s="939"/>
      <c r="EW21" s="939"/>
      <c r="EX21" s="939"/>
      <c r="EY21" s="939"/>
      <c r="EZ21" s="939"/>
      <c r="FA21" s="939"/>
      <c r="FB21" s="939" t="s">
        <v>74</v>
      </c>
      <c r="FC21" s="939" t="s">
        <v>74</v>
      </c>
      <c r="FD21" s="939" t="s">
        <v>74</v>
      </c>
      <c r="FE21" s="939"/>
      <c r="FF21" s="939"/>
      <c r="FG21" s="939"/>
      <c r="FH21" s="939"/>
      <c r="FI21" s="939"/>
      <c r="FJ21" s="939"/>
      <c r="FK21" s="939"/>
      <c r="FL21" s="939"/>
      <c r="FM21" s="939"/>
      <c r="FN21" s="939"/>
      <c r="FO21" s="939"/>
      <c r="FP21" s="939"/>
      <c r="FQ21" s="939"/>
      <c r="FR21" s="939"/>
      <c r="FS21" s="939"/>
      <c r="FT21" s="939"/>
      <c r="FU21" s="939"/>
      <c r="FV21" s="939"/>
      <c r="FW21" s="939"/>
      <c r="FX21" s="939"/>
      <c r="FY21" s="939"/>
      <c r="FZ21" s="939"/>
      <c r="GA21" s="939"/>
      <c r="GB21" s="939"/>
      <c r="GC21" s="939"/>
      <c r="GD21" s="939"/>
      <c r="GE21" s="939"/>
      <c r="GF21" s="939"/>
      <c r="GG21" s="939"/>
      <c r="GH21" s="939"/>
      <c r="GI21" s="939"/>
      <c r="GJ21" s="939"/>
      <c r="GK21" s="939"/>
      <c r="GL21" s="939"/>
      <c r="GM21" s="939"/>
      <c r="GN21" s="939"/>
      <c r="GO21" s="939" t="s">
        <v>74</v>
      </c>
      <c r="GP21" s="939"/>
      <c r="GQ21" s="939"/>
      <c r="GR21" s="939" t="s">
        <v>74</v>
      </c>
      <c r="GS21" s="939"/>
      <c r="GT21" s="939"/>
      <c r="GU21" s="939"/>
      <c r="GV21" s="939"/>
      <c r="GW21" s="939" t="s">
        <v>2716</v>
      </c>
      <c r="GX21" s="939"/>
      <c r="GY21" s="939"/>
      <c r="GZ21" s="939"/>
      <c r="HA21" s="939"/>
      <c r="HB21" s="939"/>
      <c r="HC21" s="939"/>
      <c r="HD21" s="940" t="s">
        <v>74</v>
      </c>
      <c r="HE21" s="939"/>
      <c r="HF21" s="939"/>
      <c r="HG21" s="939"/>
      <c r="HH21" s="939"/>
      <c r="HI21" s="939"/>
      <c r="HJ21" s="939"/>
      <c r="HK21" s="939"/>
      <c r="HL21" s="939"/>
      <c r="HM21" s="939"/>
      <c r="HN21" s="939"/>
      <c r="HO21" s="940" t="s">
        <v>2719</v>
      </c>
      <c r="HP21" s="939"/>
      <c r="HQ21" s="939"/>
      <c r="HR21" s="939"/>
      <c r="HS21" s="939"/>
      <c r="HT21" s="939"/>
      <c r="HU21" s="939" t="s">
        <v>2719</v>
      </c>
      <c r="HV21" s="939"/>
      <c r="HW21" s="939"/>
      <c r="HX21" s="990"/>
      <c r="HY21" s="1012"/>
      <c r="HZ21" s="1012"/>
      <c r="IA21" s="1012"/>
      <c r="IB21" s="1012"/>
      <c r="IC21" s="990" t="s">
        <v>74</v>
      </c>
      <c r="ID21" s="1013"/>
      <c r="IE21" s="1012"/>
      <c r="IF21" s="1012"/>
      <c r="IG21" s="1012"/>
      <c r="IH21" s="1012"/>
      <c r="II21" s="1012"/>
      <c r="IJ21" s="939" t="s">
        <v>74</v>
      </c>
      <c r="IK21" s="1012"/>
      <c r="IL21" s="1012"/>
      <c r="IM21" s="1012"/>
      <c r="IN21" s="939" t="s">
        <v>74</v>
      </c>
      <c r="IO21" s="1012"/>
      <c r="IP21" s="1013"/>
      <c r="IQ21" s="1013"/>
      <c r="IR21" s="1012"/>
      <c r="IS21" s="1012"/>
      <c r="IT21" s="1012"/>
      <c r="IU21" s="1012"/>
      <c r="IV21" s="1012"/>
      <c r="IW21" s="929"/>
      <c r="IX21" s="929" t="str">
        <f>IF(ISNUMBER(SEARCH($A21,VLOOKUP(IX$2,职业列表!$B$1:$G$370,6,0))),"★","")</f>
        <v/>
      </c>
      <c r="IY21" s="929" t="str">
        <f>IF(ISNUMBER(SEARCH($A21,VLOOKUP(IY$2,职业列表!$B$1:$G$370,6,0))),"★","")</f>
        <v/>
      </c>
      <c r="IZ21" s="929" t="str">
        <f>IF(ISNUMBER(SEARCH($A21,VLOOKUP(IZ$2,职业列表!$B$1:$G$370,6,0))),"★","")</f>
        <v/>
      </c>
      <c r="JA21" s="929" t="str">
        <f>IF(ISNUMBER(SEARCH($A21,VLOOKUP(JA$2,职业列表!$B$1:$G$370,6,0))),"★","")</f>
        <v/>
      </c>
      <c r="JB21" s="929" t="str">
        <f>IF(ISNUMBER(SEARCH($A21,VLOOKUP(JB$2,职业列表!$B$1:$G$370,6,0))),"★","")</f>
        <v/>
      </c>
      <c r="JC21" s="929" t="str">
        <f>IF(ISNUMBER(SEARCH($A21,VLOOKUP(JC$2,职业列表!$B$1:$G$370,6,0))),"★","")</f>
        <v/>
      </c>
      <c r="JD21" s="929" t="str">
        <f>IF(ISNUMBER(SEARCH($A21,VLOOKUP(JD$2,职业列表!$B$1:$G$370,6,0))),"★","")</f>
        <v/>
      </c>
      <c r="JE21" s="929" t="str">
        <f>IF(ISNUMBER(SEARCH($A21,VLOOKUP(JE$2,职业列表!$B$1:$G$370,6,0))),"★","")</f>
        <v/>
      </c>
      <c r="JF21" s="929" t="str">
        <f>IF(ISNUMBER(SEARCH($A21,VLOOKUP(JF$2,职业列表!$B$1:$G$370,6,0))),"★","")</f>
        <v/>
      </c>
      <c r="JG21" s="929" t="str">
        <f>IF(ISNUMBER(SEARCH($A21,VLOOKUP(JG$2,职业列表!$B$1:$G$370,6,0))),"★","")</f>
        <v/>
      </c>
      <c r="JH21" s="929" t="str">
        <f>IF(ISNUMBER(SEARCH($A21,VLOOKUP(JH$2,职业列表!$B$1:$G$370,6,0))),"★","")</f>
        <v/>
      </c>
      <c r="JI21" s="929" t="str">
        <f>IF(ISNUMBER(SEARCH($A21,VLOOKUP(JI$2,职业列表!$B$1:$G$370,6,0))),"★","")</f>
        <v/>
      </c>
      <c r="JJ21" s="929" t="str">
        <f>IF(ISNUMBER(SEARCH($A21,VLOOKUP(JJ$2,职业列表!$B$1:$G$370,6,0))),"★","")</f>
        <v>★</v>
      </c>
      <c r="JK21" s="929" t="str">
        <f>IF(ISNUMBER(SEARCH($A21,VLOOKUP(JK$2,职业列表!$B$1:$G$370,6,0))),"★","")</f>
        <v/>
      </c>
      <c r="JL21" s="929" t="str">
        <f>IF(ISNUMBER(SEARCH($A21,VLOOKUP(JL$2,职业列表!$B$1:$G$370,6,0))),"★","")</f>
        <v/>
      </c>
      <c r="JM21" s="929" t="str">
        <f>IF(ISNUMBER(SEARCH($A21,VLOOKUP(JM$2,职业列表!$B$1:$G$370,6,0))),"★","")</f>
        <v/>
      </c>
      <c r="JN21" s="929" t="str">
        <f>IF(ISNUMBER(SEARCH($A21,VLOOKUP(JN$2,职业列表!$B$1:$G$370,6,0))),"★","")</f>
        <v/>
      </c>
      <c r="JO21" s="929" t="str">
        <f>IF(ISNUMBER(SEARCH($A21,VLOOKUP(JO$2,职业列表!$B$1:$G$370,6,0))),"★","")</f>
        <v/>
      </c>
      <c r="JP21" s="929" t="str">
        <f>IF(ISNUMBER(SEARCH($A21,VLOOKUP(JP$2,职业列表!$B$1:$G$370,6,0))),"★","")</f>
        <v/>
      </c>
      <c r="JQ21" s="929" t="str">
        <f>IF(ISNUMBER(SEARCH($A21,VLOOKUP(JQ$2,职业列表!$B$1:$G$370,6,0))),"★","")</f>
        <v/>
      </c>
      <c r="JR21" s="929" t="str">
        <f>IF(ISNUMBER(SEARCH($A21,VLOOKUP(JR$2,职业列表!$B$1:$G$370,6,0))),"★","")</f>
        <v/>
      </c>
      <c r="JS21" s="929" t="str">
        <f>IF(ISNUMBER(SEARCH($A21,VLOOKUP(JS$2,职业列表!$B$1:$G$370,6,0))),"★","")</f>
        <v/>
      </c>
      <c r="JT21" s="929" t="str">
        <f>IF(ISNUMBER(SEARCH($A21,VLOOKUP(JT$2,职业列表!$B$1:$G$370,6,0))),"★","")</f>
        <v/>
      </c>
      <c r="JU21" s="929" t="str">
        <f>IF(ISNUMBER(SEARCH($A21,VLOOKUP(JU$2,职业列表!$B$1:$G$370,6,0))),"★","")</f>
        <v/>
      </c>
      <c r="JV21" s="929" t="str">
        <f>IF(ISNUMBER(SEARCH($A21,VLOOKUP(JV$2,职业列表!$B$1:$G$370,6,0))),"★","")</f>
        <v/>
      </c>
      <c r="JW21" s="929" t="str">
        <f>IF(ISNUMBER(SEARCH($A21,VLOOKUP(JW$2,职业列表!$B$1:$G$370,6,0))),"★","")</f>
        <v/>
      </c>
      <c r="JX21" s="929" t="str">
        <f>IF(ISNUMBER(SEARCH($A21,VLOOKUP(JX$2,职业列表!$B$1:$G$370,6,0))),"★","")</f>
        <v/>
      </c>
      <c r="JY21" s="929" t="str">
        <f>IF(ISNUMBER(SEARCH($A21,VLOOKUP(JY$2,职业列表!$B$1:$G$370,6,0))),"★","")</f>
        <v/>
      </c>
      <c r="JZ21" s="929" t="str">
        <f>IF(ISNUMBER(SEARCH($A21,VLOOKUP(JZ$2,职业列表!$B$1:$G$370,6,0))),"★","")</f>
        <v/>
      </c>
      <c r="KA21" s="929" t="str">
        <f>IF(ISNUMBER(SEARCH($A21,VLOOKUP(KA$2,职业列表!$B$1:$G$370,6,0))),"★","")</f>
        <v/>
      </c>
      <c r="KB21" s="929" t="str">
        <f>IF(ISNUMBER(SEARCH($A21,VLOOKUP(KB$2,职业列表!$B$1:$G$370,6,0))),"★","")</f>
        <v/>
      </c>
      <c r="KC21" s="929" t="str">
        <f>IF(ISNUMBER(SEARCH($A21,VLOOKUP(KC$2,职业列表!$B$1:$G$370,6,0))),"★","")</f>
        <v/>
      </c>
      <c r="KD21" s="929" t="str">
        <f>IF(ISNUMBER(SEARCH($A21,VLOOKUP(KD$2,职业列表!$B$1:$G$370,6,0))),"★","")</f>
        <v/>
      </c>
      <c r="KE21" s="929" t="str">
        <f>IF(ISNUMBER(SEARCH($A21,VLOOKUP(KE$2,职业列表!$B$1:$G$370,6,0))),"★","")</f>
        <v/>
      </c>
      <c r="KF21" s="929" t="str">
        <f>IF(ISNUMBER(SEARCH($A21,VLOOKUP(KF$2,职业列表!$B$1:$G$370,6,0))),"★","")</f>
        <v/>
      </c>
      <c r="KG21" s="929" t="str">
        <f>IF(ISNUMBER(SEARCH($A21,VLOOKUP(KG$2,职业列表!$B$1:$G$370,6,0))),"★","")</f>
        <v/>
      </c>
      <c r="KH21" s="929" t="str">
        <f>IF(ISNUMBER(SEARCH($A21,VLOOKUP(KH$2,职业列表!$B$1:$G$370,6,0))),"★","")</f>
        <v/>
      </c>
      <c r="KI21" s="929" t="str">
        <f>IF(ISNUMBER(SEARCH($A21,VLOOKUP(KI$2,职业列表!$B$1:$G$370,6,0))),"★","")</f>
        <v/>
      </c>
      <c r="KJ21" s="929" t="str">
        <f>IF(ISNUMBER(SEARCH($A21,VLOOKUP(KJ$2,职业列表!$B$1:$G$370,6,0))),"★","")</f>
        <v/>
      </c>
      <c r="KK21" s="929" t="str">
        <f>IF(ISNUMBER(SEARCH($A21,VLOOKUP(KK$2,职业列表!$B$1:$G$370,6,0))),"★","")</f>
        <v/>
      </c>
      <c r="KL21" s="929" t="str">
        <f>IF(ISNUMBER(SEARCH($A21,VLOOKUP(KL$2,职业列表!$B$1:$G$370,6,0))),"★","")</f>
        <v/>
      </c>
      <c r="KM21" s="929" t="str">
        <f>IF(ISNUMBER(SEARCH($A21,VLOOKUP(KM$2,职业列表!$B$1:$G$370,6,0))),"★","")</f>
        <v>★</v>
      </c>
      <c r="KN21" s="929" t="str">
        <f>IF(ISNUMBER(SEARCH($A21,VLOOKUP(KN$2,职业列表!$B$1:$G$370,6,0))),"★","")</f>
        <v/>
      </c>
      <c r="KO21" s="929" t="str">
        <f>IF(ISNUMBER(SEARCH($A21,VLOOKUP(KO$2,职业列表!$B$1:$G$370,6,0))),"★","")</f>
        <v/>
      </c>
      <c r="KP21" s="929" t="str">
        <f>IF(ISNUMBER(SEARCH($A21,VLOOKUP(KP$2,职业列表!$B$1:$G$370,6,0))),"★","")</f>
        <v/>
      </c>
      <c r="KQ21" s="929" t="str">
        <f>IF(ISNUMBER(SEARCH($A21,VLOOKUP(KQ$2,职业列表!$B$1:$G$370,6,0))),"★","")</f>
        <v/>
      </c>
      <c r="KR21" s="929" t="str">
        <f>IF(ISNUMBER(SEARCH($A21,VLOOKUP(KR$2,职业列表!$B$1:$G$370,6,0))),"★","")</f>
        <v/>
      </c>
      <c r="KS21" s="929" t="str">
        <f>IF(ISNUMBER(SEARCH($A21,VLOOKUP(KS$2,职业列表!$B$1:$G$370,6,0))),"★","")</f>
        <v/>
      </c>
      <c r="KT21" s="929" t="str">
        <f>IF(ISNUMBER(SEARCH($A21,VLOOKUP(KT$2,职业列表!$B$1:$G$370,6,0))),"★","")</f>
        <v/>
      </c>
      <c r="KU21" s="929" t="str">
        <f>IF(ISNUMBER(SEARCH($A21,VLOOKUP(KU$2,职业列表!$B$1:$G$370,6,0))),"★","")</f>
        <v/>
      </c>
      <c r="KV21" s="929" t="str">
        <f>IF(ISNUMBER(SEARCH($A21,VLOOKUP(KV$2,职业列表!$B$1:$G$370,6,0))),"★","")</f>
        <v/>
      </c>
      <c r="KW21" s="929" t="str">
        <f>IF(ISNUMBER(SEARCH($A21,VLOOKUP(KW$2,职业列表!$B$1:$G$370,6,0))),"★","")</f>
        <v/>
      </c>
      <c r="KX21" s="929" t="str">
        <f>IF(ISNUMBER(SEARCH($A21,VLOOKUP(KX$2,职业列表!$B$1:$G$370,6,0))),"★","")</f>
        <v/>
      </c>
      <c r="KY21" s="929" t="str">
        <f>IF(ISNUMBER(SEARCH($A21,VLOOKUP(KY$2,职业列表!$B$1:$G$370,6,0))),"★","")</f>
        <v/>
      </c>
      <c r="KZ21" s="929" t="str">
        <f>IF(ISNUMBER(SEARCH($A21,VLOOKUP(KZ$2,职业列表!$B$1:$G$370,6,0))),"★","")</f>
        <v/>
      </c>
      <c r="LA21" s="929" t="str">
        <f>IF(ISNUMBER(SEARCH($A21,VLOOKUP(LA$2,职业列表!$B$1:$G$370,6,0))),"★","")</f>
        <v>★</v>
      </c>
      <c r="LB21" s="929" t="str">
        <f>IF(ISNUMBER(SEARCH($A21,VLOOKUP(LB$2,职业列表!$B$1:$G$370,6,0))),"★","")</f>
        <v/>
      </c>
      <c r="LC21" s="929" t="str">
        <f>IF(ISNUMBER(SEARCH($A21,VLOOKUP(LC$2,职业列表!$B$1:$G$370,6,0))),"★","")</f>
        <v>★</v>
      </c>
      <c r="LD21" s="929" t="str">
        <f>IF(ISNUMBER(SEARCH($A21,VLOOKUP(LD$2,职业列表!$B$1:$G$370,6,0))),"★","")</f>
        <v/>
      </c>
      <c r="LE21" s="929" t="str">
        <f>IF(ISNUMBER(SEARCH($A21,VLOOKUP(LE$2,职业列表!$B$1:$G$370,6,0))),"★","")</f>
        <v/>
      </c>
      <c r="LF21" s="929" t="str">
        <f>IF(ISNUMBER(SEARCH($A21,VLOOKUP(LF$2,职业列表!$B$1:$G$370,6,0))),"★","")</f>
        <v/>
      </c>
      <c r="LG21" s="929" t="str">
        <f>IF(ISNUMBER(SEARCH($A21,VLOOKUP(LG$2,职业列表!$B$1:$G$370,6,0))),"★","")</f>
        <v/>
      </c>
      <c r="LH21" s="929" t="str">
        <f>IF(ISNUMBER(SEARCH($A21,VLOOKUP(LH$2,职业列表!$B$1:$G$370,6,0))),"★","")</f>
        <v/>
      </c>
      <c r="LI21" s="929" t="str">
        <f>IF(ISNUMBER(SEARCH($A21,VLOOKUP(LI$2,职业列表!$B$1:$G$370,6,0))),"★","")</f>
        <v/>
      </c>
      <c r="LJ21" s="929" t="str">
        <f>IF(ISNUMBER(SEARCH($A21,VLOOKUP(LJ$2,职业列表!$B$1:$G$370,6,0))),"★","")</f>
        <v/>
      </c>
      <c r="LK21" s="929" t="str">
        <f>IF(ISNUMBER(SEARCH($A21,VLOOKUP(LK$2,职业列表!$B$1:$G$370,6,0))),"★","")</f>
        <v/>
      </c>
      <c r="LL21" s="929" t="str">
        <f>IF(ISNUMBER(SEARCH($A21,VLOOKUP(LL$2,职业列表!$B$1:$G$370,6,0))),"★","")</f>
        <v/>
      </c>
      <c r="LM21" s="929" t="str">
        <f>IF(ISNUMBER(SEARCH($A21,VLOOKUP(LM$2,职业列表!$B$1:$G$370,6,0))),"★","")</f>
        <v/>
      </c>
      <c r="LN21" s="929" t="str">
        <f>IF(ISNUMBER(SEARCH($A21,VLOOKUP(LN$2,职业列表!$B$1:$G$370,6,0))),"★","")</f>
        <v>★</v>
      </c>
      <c r="LO21" s="929" t="str">
        <f>IF(ISNUMBER(SEARCH($A21,VLOOKUP(LO$2,职业列表!$B$1:$G$370,6,0))),"★","")</f>
        <v>★</v>
      </c>
      <c r="LP21" s="929" t="str">
        <f>IF(ISNUMBER(SEARCH($A21,VLOOKUP(LP$2,职业列表!$B$1:$G$370,6,0))),"★","")</f>
        <v>★</v>
      </c>
      <c r="LQ21" s="929" t="str">
        <f>IF(ISNUMBER(SEARCH($A21,VLOOKUP(LQ$2,职业列表!$B$1:$G$370,6,0))),"★","")</f>
        <v/>
      </c>
      <c r="LR21" s="929" t="str">
        <f>IF(ISNUMBER(SEARCH($A21,VLOOKUP(LR$2,职业列表!$B$1:$G$370,6,0))),"★","")</f>
        <v>★</v>
      </c>
      <c r="LS21" s="929" t="str">
        <f>IF(ISNUMBER(SEARCH($A21,VLOOKUP(LS$2,职业列表!$B$1:$G$370,6,0))),"★","")</f>
        <v/>
      </c>
      <c r="LT21" s="929" t="str">
        <f>IF(ISNUMBER(SEARCH($A21,VLOOKUP(LT$2,职业列表!$B$1:$G$370,6,0))),"★","")</f>
        <v/>
      </c>
      <c r="LU21" s="929" t="str">
        <f>IF(ISNUMBER(SEARCH($A21,VLOOKUP(LU$2,职业列表!$B$1:$G$370,6,0))),"★","")</f>
        <v/>
      </c>
      <c r="LV21" s="929" t="str">
        <f>IF(ISNUMBER(SEARCH($A21,VLOOKUP(LV$2,职业列表!$B$1:$G$370,6,0))),"★","")</f>
        <v/>
      </c>
      <c r="LW21" s="929" t="str">
        <f>IF(ISNUMBER(SEARCH($A21,VLOOKUP(LW$2,职业列表!$B$1:$G$370,6,0))),"★","")</f>
        <v/>
      </c>
      <c r="LX21" s="929" t="str">
        <f>IF(ISNUMBER(SEARCH($A21,VLOOKUP(LX$2,职业列表!$B$1:$G$370,6,0))),"★","")</f>
        <v/>
      </c>
      <c r="LY21" s="929" t="str">
        <f>IF(ISNUMBER(SEARCH($A21,VLOOKUP(LY$2,职业列表!$B$1:$G$370,6,0))),"★","")</f>
        <v>★</v>
      </c>
      <c r="LZ21" s="929" t="str">
        <f>IF(ISNUMBER(SEARCH($A21,VLOOKUP(LZ$2,职业列表!$B$1:$G$370,6,0))),"★","")</f>
        <v/>
      </c>
      <c r="MA21" s="929" t="str">
        <f>IF(ISNUMBER(SEARCH($A21,VLOOKUP(MA$2,职业列表!$B$1:$G$370,6,0))),"★","")</f>
        <v>★</v>
      </c>
      <c r="MB21" s="929" t="str">
        <f>IF(ISNUMBER(SEARCH($A21,VLOOKUP(MB$2,职业列表!$B$1:$G$370,6,0))),"★","")</f>
        <v/>
      </c>
      <c r="MC21" s="929" t="str">
        <f>IF(ISNUMBER(SEARCH($A21,VLOOKUP(MC$2,职业列表!$B$1:$G$370,6,0))),"★","")</f>
        <v/>
      </c>
      <c r="MD21" s="929" t="str">
        <f>IF(ISNUMBER(SEARCH($A21,VLOOKUP(MD$2,职业列表!$B$1:$G$370,6,0))),"★","")</f>
        <v/>
      </c>
      <c r="ME21" s="929" t="str">
        <f>IF(ISNUMBER(SEARCH($A21,VLOOKUP(ME$2,职业列表!$B$1:$G$370,6,0))),"★","")</f>
        <v/>
      </c>
      <c r="MF21" s="929" t="str">
        <f>IF(ISNUMBER(SEARCH($A21,VLOOKUP(MF$2,职业列表!$B$1:$G$370,6,0))),"★","")</f>
        <v/>
      </c>
      <c r="MG21" s="929" t="str">
        <f>IF(ISNUMBER(SEARCH($A21,VLOOKUP(MG$2,职业列表!$B$1:$G$370,6,0))),"★","")</f>
        <v/>
      </c>
      <c r="MH21" s="929" t="str">
        <f>IF(ISNUMBER(SEARCH($A21,VLOOKUP(MH$2,职业列表!$B$1:$G$370,6,0))),"★","")</f>
        <v/>
      </c>
      <c r="MI21" s="929" t="str">
        <f>IF(ISNUMBER(SEARCH($A21,VLOOKUP(MI$2,职业列表!$B$1:$G$370,6,0))),"★","")</f>
        <v/>
      </c>
      <c r="MJ21" s="929" t="str">
        <f>IF(ISNUMBER(SEARCH($A21,VLOOKUP(MJ$2,职业列表!$B$1:$G$370,6,0))),"★","")</f>
        <v/>
      </c>
      <c r="MK21" s="929" t="str">
        <f>IF(ISNUMBER(SEARCH($A21,VLOOKUP(MK$2,职业列表!$B$1:$G$370,6,0))),"★","")</f>
        <v/>
      </c>
      <c r="ML21" s="929" t="str">
        <f>IF(ISNUMBER(SEARCH($A21,VLOOKUP(ML$2,职业列表!$B$1:$G$370,6,0))),"★","")</f>
        <v/>
      </c>
      <c r="MM21" s="929" t="str">
        <f>IF(ISNUMBER(SEARCH($A21,VLOOKUP(MM$2,职业列表!$B$1:$G$370,6,0))),"★","")</f>
        <v/>
      </c>
      <c r="MN21" s="929" t="str">
        <f>IF(ISNUMBER(SEARCH($A21,VLOOKUP(MN$2,职业列表!$B$1:$G$370,6,0))),"★","")</f>
        <v/>
      </c>
      <c r="MO21" s="929" t="str">
        <f>IF(ISNUMBER(SEARCH($A21,VLOOKUP(MO$2,职业列表!$B$1:$G$370,6,0))),"★","")</f>
        <v/>
      </c>
      <c r="MP21" s="929" t="str">
        <f>IF(ISNUMBER(SEARCH($A21,VLOOKUP(MP$2,职业列表!$B$1:$G$370,6,0))),"★","")</f>
        <v/>
      </c>
      <c r="MQ21" s="929" t="str">
        <f>IF(ISNUMBER(SEARCH($A21,VLOOKUP(MQ$2,职业列表!$B$1:$G$370,6,0))),"★","")</f>
        <v/>
      </c>
      <c r="MR21" s="929" t="str">
        <f>IF(ISNUMBER(SEARCH($A21,VLOOKUP(MR$2,职业列表!$B$1:$G$370,6,0))),"★","")</f>
        <v/>
      </c>
      <c r="MS21" s="929" t="str">
        <f>IF(ISNUMBER(SEARCH($A21,VLOOKUP(MS$2,职业列表!$B$1:$G$370,6,0))),"★","")</f>
        <v/>
      </c>
      <c r="MT21" s="929" t="str">
        <f>IF(ISNUMBER(SEARCH($A21,VLOOKUP(MT$2,职业列表!$B$1:$G$370,6,0))),"★","")</f>
        <v/>
      </c>
      <c r="MU21" s="929" t="str">
        <f>IF(ISNUMBER(SEARCH($A21,VLOOKUP(MU$2,职业列表!$B$1:$G$370,6,0))),"★","")</f>
        <v/>
      </c>
      <c r="MV21" s="929" t="str">
        <f>IF(ISNUMBER(SEARCH($A21,VLOOKUP(MV$2,职业列表!$B$1:$G$370,6,0))),"★","")</f>
        <v>★</v>
      </c>
      <c r="MW21" s="929" t="str">
        <f>IF(ISNUMBER(SEARCH($A21,VLOOKUP(MW$2,职业列表!$B$1:$G$370,6,0))),"★","")</f>
        <v/>
      </c>
      <c r="MX21" s="929" t="str">
        <f>IF(ISNUMBER(SEARCH($A21,VLOOKUP(MX$2,职业列表!$B$1:$G$370,6,0))),"★","")</f>
        <v/>
      </c>
      <c r="MY21" s="929" t="str">
        <f>IF(ISNUMBER(SEARCH($A21,VLOOKUP(MY$2,职业列表!$B$1:$G$370,6,0))),"★","")</f>
        <v/>
      </c>
      <c r="MZ21" s="929" t="str">
        <f>IF(ISNUMBER(SEARCH($A21,VLOOKUP(MZ$2,职业列表!$B$1:$G$370,6,0))),"★","")</f>
        <v>★</v>
      </c>
      <c r="NA21" s="929" t="str">
        <f>IF(ISNUMBER(SEARCH($A21,VLOOKUP(NA$2,职业列表!$B$1:$G$370,6,0))),"★","")</f>
        <v/>
      </c>
      <c r="NB21" s="929" t="str">
        <f>IF(ISNUMBER(SEARCH($A21,VLOOKUP(NB$2,职业列表!$B$1:$G$370,6,0))),"★","")</f>
        <v/>
      </c>
      <c r="NC21" s="929" t="str">
        <f>IF(ISNUMBER(SEARCH($A21,VLOOKUP(NC$2,职业列表!$B$1:$G$370,6,0))),"★","")</f>
        <v/>
      </c>
      <c r="ND21" s="929" t="str">
        <f>IF(ISNUMBER(SEARCH($A21,VLOOKUP(ND$2,职业列表!$B$1:$G$370,6,0))),"★","")</f>
        <v>★</v>
      </c>
      <c r="NE21" s="929" t="str">
        <f>IF(ISNUMBER(SEARCH($A21,VLOOKUP(NE$2,职业列表!$B$1:$G$370,6,0))),"★","")</f>
        <v>★</v>
      </c>
    </row>
    <row r="22" customFormat="1" spans="1:369">
      <c r="A22" s="932" t="s">
        <v>111</v>
      </c>
      <c r="B22" s="939" t="str">
        <f>IF(OR(A22="说服",A22="话术",A22="取悦",A22="恐吓"),"☯",IF(ISNUMBER(SEARCH(A22,VLOOKUP(IX$2,职业列表!$B$1:$G$370,6,0))),"★",""))</f>
        <v/>
      </c>
      <c r="C22" s="939" t="str">
        <f>IF(ISTEXT(IFERROR(VLOOKUP(A22,职业列表!I3:J10,1,FALSE),0)),"★","")</f>
        <v/>
      </c>
      <c r="D22" s="939"/>
      <c r="E22" s="939"/>
      <c r="F22" s="939"/>
      <c r="G22" s="939"/>
      <c r="H22" s="939"/>
      <c r="I22" s="939"/>
      <c r="J22" s="939"/>
      <c r="K22" s="939"/>
      <c r="L22" s="939"/>
      <c r="M22" s="939"/>
      <c r="N22" s="939"/>
      <c r="O22" s="939"/>
      <c r="P22" s="939"/>
      <c r="Q22" s="939"/>
      <c r="R22" s="939"/>
      <c r="S22" s="939"/>
      <c r="T22" s="939"/>
      <c r="U22" s="939"/>
      <c r="V22" s="939" t="s">
        <v>2716</v>
      </c>
      <c r="W22" s="939"/>
      <c r="X22" s="939"/>
      <c r="Y22" s="939"/>
      <c r="Z22" s="939" t="s">
        <v>74</v>
      </c>
      <c r="AA22" s="939" t="s">
        <v>74</v>
      </c>
      <c r="AB22" s="939"/>
      <c r="AC22" s="939"/>
      <c r="AD22" s="939" t="s">
        <v>74</v>
      </c>
      <c r="AE22" s="939" t="s">
        <v>2716</v>
      </c>
      <c r="AF22" s="939"/>
      <c r="AG22" s="939" t="s">
        <v>2716</v>
      </c>
      <c r="AH22" s="939"/>
      <c r="AI22" s="939"/>
      <c r="AJ22" s="939"/>
      <c r="AK22" s="939"/>
      <c r="AL22" s="939"/>
      <c r="AM22" s="939"/>
      <c r="AN22" s="939"/>
      <c r="AO22" s="939"/>
      <c r="AP22" s="939"/>
      <c r="AQ22" s="939"/>
      <c r="AR22" s="939"/>
      <c r="AS22" s="939"/>
      <c r="AT22" s="939"/>
      <c r="AU22" s="939"/>
      <c r="AV22" s="939"/>
      <c r="AW22" s="939"/>
      <c r="AX22" s="939" t="s">
        <v>74</v>
      </c>
      <c r="AY22" s="939"/>
      <c r="AZ22" s="939"/>
      <c r="BA22" s="939" t="s">
        <v>74</v>
      </c>
      <c r="BB22" s="939"/>
      <c r="BC22" s="939"/>
      <c r="BD22" s="939"/>
      <c r="BE22" s="939"/>
      <c r="BF22" s="939"/>
      <c r="BG22" s="939"/>
      <c r="BH22" s="939"/>
      <c r="BI22" s="939"/>
      <c r="BJ22" s="939"/>
      <c r="BK22" s="939"/>
      <c r="BL22" s="939"/>
      <c r="BM22" s="939"/>
      <c r="BN22" s="939" t="s">
        <v>74</v>
      </c>
      <c r="BO22" s="939"/>
      <c r="BP22" s="939"/>
      <c r="BQ22" s="939"/>
      <c r="BR22" s="939" t="s">
        <v>74</v>
      </c>
      <c r="BS22" s="939" t="s">
        <v>74</v>
      </c>
      <c r="BT22" s="939"/>
      <c r="BU22" s="939"/>
      <c r="BV22" s="939"/>
      <c r="BW22" s="939"/>
      <c r="BX22" s="939" t="s">
        <v>74</v>
      </c>
      <c r="BY22" s="939"/>
      <c r="BZ22" s="939"/>
      <c r="CA22" s="939"/>
      <c r="CB22" s="939"/>
      <c r="CC22" s="939"/>
      <c r="CD22" s="939"/>
      <c r="CE22" s="939"/>
      <c r="CF22" s="939"/>
      <c r="CG22" s="939"/>
      <c r="CH22" s="939"/>
      <c r="CI22" s="939"/>
      <c r="CJ22" s="939"/>
      <c r="CK22" s="939" t="s">
        <v>74</v>
      </c>
      <c r="CL22" s="972" t="s">
        <v>74</v>
      </c>
      <c r="CM22" s="939"/>
      <c r="CN22" s="939"/>
      <c r="CO22" s="939"/>
      <c r="CP22" s="939"/>
      <c r="CQ22" s="939"/>
      <c r="CR22" s="939"/>
      <c r="CS22" s="939"/>
      <c r="CT22" s="939"/>
      <c r="CU22" s="939"/>
      <c r="CV22" s="939" t="s">
        <v>2716</v>
      </c>
      <c r="CW22" s="939"/>
      <c r="CX22" s="939"/>
      <c r="CY22" s="939"/>
      <c r="CZ22" s="939"/>
      <c r="DA22" s="939" t="s">
        <v>74</v>
      </c>
      <c r="DB22" s="939"/>
      <c r="DC22" s="939"/>
      <c r="DD22" s="939"/>
      <c r="DE22" s="939" t="s">
        <v>2716</v>
      </c>
      <c r="DF22" s="939"/>
      <c r="DG22" s="939"/>
      <c r="DH22" s="939"/>
      <c r="DI22" s="939"/>
      <c r="DJ22" s="939"/>
      <c r="DK22" s="939"/>
      <c r="DL22" s="939"/>
      <c r="DM22" s="939"/>
      <c r="DN22" s="939"/>
      <c r="DO22" s="939"/>
      <c r="DP22" s="939"/>
      <c r="DQ22" s="939"/>
      <c r="DR22" s="939"/>
      <c r="DS22" s="939"/>
      <c r="DT22" s="939"/>
      <c r="DU22" s="939"/>
      <c r="DV22" s="939"/>
      <c r="DW22" s="939"/>
      <c r="DX22" s="939"/>
      <c r="DY22" s="939"/>
      <c r="DZ22" s="939"/>
      <c r="EA22" s="939"/>
      <c r="EB22" s="939"/>
      <c r="EC22" s="939"/>
      <c r="ED22" s="939"/>
      <c r="EE22" s="939"/>
      <c r="EF22" s="939"/>
      <c r="EG22" s="939"/>
      <c r="EH22" s="939"/>
      <c r="EI22" s="939" t="s">
        <v>74</v>
      </c>
      <c r="EJ22" s="939"/>
      <c r="EK22" s="939" t="s">
        <v>74</v>
      </c>
      <c r="EL22" s="939"/>
      <c r="EM22" s="939"/>
      <c r="EN22" s="939" t="s">
        <v>2716</v>
      </c>
      <c r="EO22" s="939"/>
      <c r="EP22" s="939" t="s">
        <v>74</v>
      </c>
      <c r="EQ22" s="939"/>
      <c r="ER22" s="939"/>
      <c r="ES22" s="939"/>
      <c r="ET22" s="939"/>
      <c r="EU22" s="939"/>
      <c r="EV22" s="939"/>
      <c r="EW22" s="939"/>
      <c r="EX22" s="939"/>
      <c r="EY22" s="939"/>
      <c r="EZ22" s="939" t="s">
        <v>74</v>
      </c>
      <c r="FA22" s="939"/>
      <c r="FB22" s="939" t="s">
        <v>2716</v>
      </c>
      <c r="FC22" s="939"/>
      <c r="FD22" s="939"/>
      <c r="FE22" s="939"/>
      <c r="FF22" s="939"/>
      <c r="FG22" s="939"/>
      <c r="FH22" s="939"/>
      <c r="FI22" s="939"/>
      <c r="FJ22" s="939"/>
      <c r="FK22" s="939"/>
      <c r="FL22" s="939"/>
      <c r="FM22" s="939"/>
      <c r="FN22" s="939"/>
      <c r="FO22" s="939"/>
      <c r="FP22" s="939"/>
      <c r="FQ22" s="939"/>
      <c r="FR22" s="939"/>
      <c r="FS22" s="939"/>
      <c r="FT22" s="939"/>
      <c r="FU22" s="939" t="s">
        <v>74</v>
      </c>
      <c r="FV22" s="939"/>
      <c r="FW22" s="939"/>
      <c r="FX22" s="939"/>
      <c r="FY22" s="939"/>
      <c r="FZ22" s="939"/>
      <c r="GA22" s="939" t="s">
        <v>74</v>
      </c>
      <c r="GB22" s="939"/>
      <c r="GC22" s="939"/>
      <c r="GD22" s="939"/>
      <c r="GE22" s="939"/>
      <c r="GF22" s="939"/>
      <c r="GG22" s="939"/>
      <c r="GH22" s="939"/>
      <c r="GI22" s="939"/>
      <c r="GJ22" s="939"/>
      <c r="GK22" s="939"/>
      <c r="GL22" s="939"/>
      <c r="GM22" s="939"/>
      <c r="GN22" s="939" t="s">
        <v>74</v>
      </c>
      <c r="GO22" s="939"/>
      <c r="GP22" s="939" t="s">
        <v>74</v>
      </c>
      <c r="GQ22" s="939"/>
      <c r="GR22" s="939" t="s">
        <v>74</v>
      </c>
      <c r="GS22" s="939"/>
      <c r="GT22" s="939" t="s">
        <v>74</v>
      </c>
      <c r="GU22" s="939"/>
      <c r="GV22" s="939"/>
      <c r="GW22" s="939"/>
      <c r="GX22" s="939" t="s">
        <v>74</v>
      </c>
      <c r="GY22" s="939"/>
      <c r="GZ22" s="939"/>
      <c r="HA22" s="939"/>
      <c r="HB22" s="939"/>
      <c r="HC22" s="939"/>
      <c r="HD22" s="939"/>
      <c r="HE22" s="939"/>
      <c r="HF22" s="939"/>
      <c r="HG22" s="939"/>
      <c r="HH22" s="939"/>
      <c r="HI22" s="939"/>
      <c r="HJ22" s="939"/>
      <c r="HK22" s="939"/>
      <c r="HL22" s="939"/>
      <c r="HM22" s="939"/>
      <c r="HN22" s="939"/>
      <c r="HO22" s="939"/>
      <c r="HP22" s="939"/>
      <c r="HQ22" s="939"/>
      <c r="HR22" s="939"/>
      <c r="HS22" s="939"/>
      <c r="HT22" s="939"/>
      <c r="HU22" s="939"/>
      <c r="HV22" s="939"/>
      <c r="HW22" s="939"/>
      <c r="HX22" s="990"/>
      <c r="HY22" s="1012"/>
      <c r="HZ22" s="1012"/>
      <c r="IA22" s="1012"/>
      <c r="IB22" s="939" t="s">
        <v>74</v>
      </c>
      <c r="IC22" s="1013"/>
      <c r="ID22" s="1013"/>
      <c r="IE22" s="1012"/>
      <c r="IF22" s="1012"/>
      <c r="IG22" s="1012"/>
      <c r="IH22" s="939" t="s">
        <v>74</v>
      </c>
      <c r="II22" s="1012"/>
      <c r="IJ22" s="1012"/>
      <c r="IK22" s="939" t="s">
        <v>74</v>
      </c>
      <c r="IL22" s="1012"/>
      <c r="IM22" s="1012"/>
      <c r="IN22" s="1012"/>
      <c r="IO22" s="939" t="s">
        <v>74</v>
      </c>
      <c r="IP22" s="1013"/>
      <c r="IQ22" s="1013"/>
      <c r="IR22" s="1012"/>
      <c r="IS22" s="1012"/>
      <c r="IT22" s="1012"/>
      <c r="IU22" s="1012"/>
      <c r="IV22" s="1012"/>
      <c r="IW22" s="972" t="s">
        <v>74</v>
      </c>
      <c r="IX22" s="929" t="str">
        <f>IF(ISNUMBER(SEARCH($A22,VLOOKUP(IX$2,职业列表!$B$1:$G$370,6,0))),"★","")</f>
        <v/>
      </c>
      <c r="IY22" s="929" t="str">
        <f>IF(ISNUMBER(SEARCH($A22,VLOOKUP(IY$2,职业列表!$B$1:$G$370,6,0))),"★","")</f>
        <v/>
      </c>
      <c r="IZ22" s="929" t="str">
        <f>IF(ISNUMBER(SEARCH($A22,VLOOKUP(IZ$2,职业列表!$B$1:$G$370,6,0))),"★","")</f>
        <v>★</v>
      </c>
      <c r="JA22" s="929" t="str">
        <f>IF(ISNUMBER(SEARCH($A22,VLOOKUP(JA$2,职业列表!$B$1:$G$370,6,0))),"★","")</f>
        <v>★</v>
      </c>
      <c r="JB22" s="929" t="str">
        <f>IF(ISNUMBER(SEARCH($A22,VLOOKUP(JB$2,职业列表!$B$1:$G$370,6,0))),"★","")</f>
        <v>★</v>
      </c>
      <c r="JC22" s="929" t="str">
        <f>IF(ISNUMBER(SEARCH($A22,VLOOKUP(JC$2,职业列表!$B$1:$G$370,6,0))),"★","")</f>
        <v>★</v>
      </c>
      <c r="JD22" s="929" t="str">
        <f>IF(ISNUMBER(SEARCH($A22,VLOOKUP(JD$2,职业列表!$B$1:$G$370,6,0))),"★","")</f>
        <v/>
      </c>
      <c r="JE22" s="929" t="str">
        <f>IF(ISNUMBER(SEARCH($A22,VLOOKUP(JE$2,职业列表!$B$1:$G$370,6,0))),"★","")</f>
        <v/>
      </c>
      <c r="JF22" s="929" t="str">
        <f>IF(ISNUMBER(SEARCH($A22,VLOOKUP(JF$2,职业列表!$B$1:$G$370,6,0))),"★","")</f>
        <v>★</v>
      </c>
      <c r="JG22" s="929" t="str">
        <f>IF(ISNUMBER(SEARCH($A22,VLOOKUP(JG$2,职业列表!$B$1:$G$370,6,0))),"★","")</f>
        <v/>
      </c>
      <c r="JH22" s="929" t="str">
        <f>IF(ISNUMBER(SEARCH($A22,VLOOKUP(JH$2,职业列表!$B$1:$G$370,6,0))),"★","")</f>
        <v>★</v>
      </c>
      <c r="JI22" s="929" t="str">
        <f>IF(ISNUMBER(SEARCH($A22,VLOOKUP(JI$2,职业列表!$B$1:$G$370,6,0))),"★","")</f>
        <v>★</v>
      </c>
      <c r="JJ22" s="929" t="str">
        <f>IF(ISNUMBER(SEARCH($A22,VLOOKUP(JJ$2,职业列表!$B$1:$G$370,6,0))),"★","")</f>
        <v/>
      </c>
      <c r="JK22" s="929" t="str">
        <f>IF(ISNUMBER(SEARCH($A22,VLOOKUP(JK$2,职业列表!$B$1:$G$370,6,0))),"★","")</f>
        <v/>
      </c>
      <c r="JL22" s="929" t="str">
        <f>IF(ISNUMBER(SEARCH($A22,VLOOKUP(JL$2,职业列表!$B$1:$G$370,6,0))),"★","")</f>
        <v>★</v>
      </c>
      <c r="JM22" s="929" t="str">
        <f>IF(ISNUMBER(SEARCH($A22,VLOOKUP(JM$2,职业列表!$B$1:$G$370,6,0))),"★","")</f>
        <v/>
      </c>
      <c r="JN22" s="929" t="str">
        <f>IF(ISNUMBER(SEARCH($A22,VLOOKUP(JN$2,职业列表!$B$1:$G$370,6,0))),"★","")</f>
        <v>★</v>
      </c>
      <c r="JO22" s="929" t="str">
        <f>IF(ISNUMBER(SEARCH($A22,VLOOKUP(JO$2,职业列表!$B$1:$G$370,6,0))),"★","")</f>
        <v>★</v>
      </c>
      <c r="JP22" s="929" t="str">
        <f>IF(ISNUMBER(SEARCH($A22,VLOOKUP(JP$2,职业列表!$B$1:$G$370,6,0))),"★","")</f>
        <v/>
      </c>
      <c r="JQ22" s="929" t="str">
        <f>IF(ISNUMBER(SEARCH($A22,VLOOKUP(JQ$2,职业列表!$B$1:$G$370,6,0))),"★","")</f>
        <v/>
      </c>
      <c r="JR22" s="929" t="str">
        <f>IF(ISNUMBER(SEARCH($A22,VLOOKUP(JR$2,职业列表!$B$1:$G$370,6,0))),"★","")</f>
        <v/>
      </c>
      <c r="JS22" s="929" t="str">
        <f>IF(ISNUMBER(SEARCH($A22,VLOOKUP(JS$2,职业列表!$B$1:$G$370,6,0))),"★","")</f>
        <v/>
      </c>
      <c r="JT22" s="929" t="str">
        <f>IF(ISNUMBER(SEARCH($A22,VLOOKUP(JT$2,职业列表!$B$1:$G$370,6,0))),"★","")</f>
        <v>★</v>
      </c>
      <c r="JU22" s="929" t="str">
        <f>IF(ISNUMBER(SEARCH($A22,VLOOKUP(JU$2,职业列表!$B$1:$G$370,6,0))),"★","")</f>
        <v>★</v>
      </c>
      <c r="JV22" s="929" t="str">
        <f>IF(ISNUMBER(SEARCH($A22,VLOOKUP(JV$2,职业列表!$B$1:$G$370,6,0))),"★","")</f>
        <v/>
      </c>
      <c r="JW22" s="929" t="str">
        <f>IF(ISNUMBER(SEARCH($A22,VLOOKUP(JW$2,职业列表!$B$1:$G$370,6,0))),"★","")</f>
        <v/>
      </c>
      <c r="JX22" s="929" t="str">
        <f>IF(ISNUMBER(SEARCH($A22,VLOOKUP(JX$2,职业列表!$B$1:$G$370,6,0))),"★","")</f>
        <v>★</v>
      </c>
      <c r="JY22" s="929" t="str">
        <f>IF(ISNUMBER(SEARCH($A22,VLOOKUP(JY$2,职业列表!$B$1:$G$370,6,0))),"★","")</f>
        <v/>
      </c>
      <c r="JZ22" s="929" t="str">
        <f>IF(ISNUMBER(SEARCH($A22,VLOOKUP(JZ$2,职业列表!$B$1:$G$370,6,0))),"★","")</f>
        <v/>
      </c>
      <c r="KA22" s="929" t="str">
        <f>IF(ISNUMBER(SEARCH($A22,VLOOKUP(KA$2,职业列表!$B$1:$G$370,6,0))),"★","")</f>
        <v/>
      </c>
      <c r="KB22" s="929" t="str">
        <f>IF(ISNUMBER(SEARCH($A22,VLOOKUP(KB$2,职业列表!$B$1:$G$370,6,0))),"★","")</f>
        <v/>
      </c>
      <c r="KC22" s="929" t="str">
        <f>IF(ISNUMBER(SEARCH($A22,VLOOKUP(KC$2,职业列表!$B$1:$G$370,6,0))),"★","")</f>
        <v>★</v>
      </c>
      <c r="KD22" s="929" t="str">
        <f>IF(ISNUMBER(SEARCH($A22,VLOOKUP(KD$2,职业列表!$B$1:$G$370,6,0))),"★","")</f>
        <v>★</v>
      </c>
      <c r="KE22" s="929" t="str">
        <f>IF(ISNUMBER(SEARCH($A22,VLOOKUP(KE$2,职业列表!$B$1:$G$370,6,0))),"★","")</f>
        <v/>
      </c>
      <c r="KF22" s="929" t="str">
        <f>IF(ISNUMBER(SEARCH($A22,VLOOKUP(KF$2,职业列表!$B$1:$G$370,6,0))),"★","")</f>
        <v/>
      </c>
      <c r="KG22" s="929" t="str">
        <f>IF(ISNUMBER(SEARCH($A22,VLOOKUP(KG$2,职业列表!$B$1:$G$370,6,0))),"★","")</f>
        <v/>
      </c>
      <c r="KH22" s="929" t="str">
        <f>IF(ISNUMBER(SEARCH($A22,VLOOKUP(KH$2,职业列表!$B$1:$G$370,6,0))),"★","")</f>
        <v>★</v>
      </c>
      <c r="KI22" s="929" t="str">
        <f>IF(ISNUMBER(SEARCH($A22,VLOOKUP(KI$2,职业列表!$B$1:$G$370,6,0))),"★","")</f>
        <v/>
      </c>
      <c r="KJ22" s="929" t="str">
        <f>IF(ISNUMBER(SEARCH($A22,VLOOKUP(KJ$2,职业列表!$B$1:$G$370,6,0))),"★","")</f>
        <v/>
      </c>
      <c r="KK22" s="929" t="str">
        <f>IF(ISNUMBER(SEARCH($A22,VLOOKUP(KK$2,职业列表!$B$1:$G$370,6,0))),"★","")</f>
        <v/>
      </c>
      <c r="KL22" s="929" t="str">
        <f>IF(ISNUMBER(SEARCH($A22,VLOOKUP(KL$2,职业列表!$B$1:$G$370,6,0))),"★","")</f>
        <v/>
      </c>
      <c r="KM22" s="929" t="str">
        <f>IF(ISNUMBER(SEARCH($A22,VLOOKUP(KM$2,职业列表!$B$1:$G$370,6,0))),"★","")</f>
        <v/>
      </c>
      <c r="KN22" s="929" t="str">
        <f>IF(ISNUMBER(SEARCH($A22,VLOOKUP(KN$2,职业列表!$B$1:$G$370,6,0))),"★","")</f>
        <v/>
      </c>
      <c r="KO22" s="929" t="str">
        <f>IF(ISNUMBER(SEARCH($A22,VLOOKUP(KO$2,职业列表!$B$1:$G$370,6,0))),"★","")</f>
        <v/>
      </c>
      <c r="KP22" s="929" t="str">
        <f>IF(ISNUMBER(SEARCH($A22,VLOOKUP(KP$2,职业列表!$B$1:$G$370,6,0))),"★","")</f>
        <v/>
      </c>
      <c r="KQ22" s="929" t="str">
        <f>IF(ISNUMBER(SEARCH($A22,VLOOKUP(KQ$2,职业列表!$B$1:$G$370,6,0))),"★","")</f>
        <v/>
      </c>
      <c r="KR22" s="929" t="str">
        <f>IF(ISNUMBER(SEARCH($A22,VLOOKUP(KR$2,职业列表!$B$1:$G$370,6,0))),"★","")</f>
        <v/>
      </c>
      <c r="KS22" s="929" t="str">
        <f>IF(ISNUMBER(SEARCH($A22,VLOOKUP(KS$2,职业列表!$B$1:$G$370,6,0))),"★","")</f>
        <v/>
      </c>
      <c r="KT22" s="929" t="str">
        <f>IF(ISNUMBER(SEARCH($A22,VLOOKUP(KT$2,职业列表!$B$1:$G$370,6,0))),"★","")</f>
        <v/>
      </c>
      <c r="KU22" s="929" t="str">
        <f>IF(ISNUMBER(SEARCH($A22,VLOOKUP(KU$2,职业列表!$B$1:$G$370,6,0))),"★","")</f>
        <v/>
      </c>
      <c r="KV22" s="929" t="str">
        <f>IF(ISNUMBER(SEARCH($A22,VLOOKUP(KV$2,职业列表!$B$1:$G$370,6,0))),"★","")</f>
        <v>★</v>
      </c>
      <c r="KW22" s="929" t="str">
        <f>IF(ISNUMBER(SEARCH($A22,VLOOKUP(KW$2,职业列表!$B$1:$G$370,6,0))),"★","")</f>
        <v/>
      </c>
      <c r="KX22" s="929" t="str">
        <f>IF(ISNUMBER(SEARCH($A22,VLOOKUP(KX$2,职业列表!$B$1:$G$370,6,0))),"★","")</f>
        <v/>
      </c>
      <c r="KY22" s="929" t="str">
        <f>IF(ISNUMBER(SEARCH($A22,VLOOKUP(KY$2,职业列表!$B$1:$G$370,6,0))),"★","")</f>
        <v/>
      </c>
      <c r="KZ22" s="929" t="str">
        <f>IF(ISNUMBER(SEARCH($A22,VLOOKUP(KZ$2,职业列表!$B$1:$G$370,6,0))),"★","")</f>
        <v/>
      </c>
      <c r="LA22" s="929" t="str">
        <f>IF(ISNUMBER(SEARCH($A22,VLOOKUP(LA$2,职业列表!$B$1:$G$370,6,0))),"★","")</f>
        <v/>
      </c>
      <c r="LB22" s="929" t="str">
        <f>IF(ISNUMBER(SEARCH($A22,VLOOKUP(LB$2,职业列表!$B$1:$G$370,6,0))),"★","")</f>
        <v>★</v>
      </c>
      <c r="LC22" s="929" t="str">
        <f>IF(ISNUMBER(SEARCH($A22,VLOOKUP(LC$2,职业列表!$B$1:$G$370,6,0))),"★","")</f>
        <v/>
      </c>
      <c r="LD22" s="929" t="str">
        <f>IF(ISNUMBER(SEARCH($A22,VLOOKUP(LD$2,职业列表!$B$1:$G$370,6,0))),"★","")</f>
        <v/>
      </c>
      <c r="LE22" s="929" t="str">
        <f>IF(ISNUMBER(SEARCH($A22,VLOOKUP(LE$2,职业列表!$B$1:$G$370,6,0))),"★","")</f>
        <v/>
      </c>
      <c r="LF22" s="929" t="str">
        <f>IF(ISNUMBER(SEARCH($A22,VLOOKUP(LF$2,职业列表!$B$1:$G$370,6,0))),"★","")</f>
        <v/>
      </c>
      <c r="LG22" s="929" t="str">
        <f>IF(ISNUMBER(SEARCH($A22,VLOOKUP(LG$2,职业列表!$B$1:$G$370,6,0))),"★","")</f>
        <v/>
      </c>
      <c r="LH22" s="929" t="str">
        <f>IF(ISNUMBER(SEARCH($A22,VLOOKUP(LH$2,职业列表!$B$1:$G$370,6,0))),"★","")</f>
        <v/>
      </c>
      <c r="LI22" s="929" t="str">
        <f>IF(ISNUMBER(SEARCH($A22,VLOOKUP(LI$2,职业列表!$B$1:$G$370,6,0))),"★","")</f>
        <v/>
      </c>
      <c r="LJ22" s="929" t="str">
        <f>IF(ISNUMBER(SEARCH($A22,VLOOKUP(LJ$2,职业列表!$B$1:$G$370,6,0))),"★","")</f>
        <v>★</v>
      </c>
      <c r="LK22" s="929" t="str">
        <f>IF(ISNUMBER(SEARCH($A22,VLOOKUP(LK$2,职业列表!$B$1:$G$370,6,0))),"★","")</f>
        <v/>
      </c>
      <c r="LL22" s="929" t="str">
        <f>IF(ISNUMBER(SEARCH($A22,VLOOKUP(LL$2,职业列表!$B$1:$G$370,6,0))),"★","")</f>
        <v/>
      </c>
      <c r="LM22" s="929" t="str">
        <f>IF(ISNUMBER(SEARCH($A22,VLOOKUP(LM$2,职业列表!$B$1:$G$370,6,0))),"★","")</f>
        <v/>
      </c>
      <c r="LN22" s="929" t="str">
        <f>IF(ISNUMBER(SEARCH($A22,VLOOKUP(LN$2,职业列表!$B$1:$G$370,6,0))),"★","")</f>
        <v/>
      </c>
      <c r="LO22" s="929" t="str">
        <f>IF(ISNUMBER(SEARCH($A22,VLOOKUP(LO$2,职业列表!$B$1:$G$370,6,0))),"★","")</f>
        <v>★</v>
      </c>
      <c r="LP22" s="929" t="str">
        <f>IF(ISNUMBER(SEARCH($A22,VLOOKUP(LP$2,职业列表!$B$1:$G$370,6,0))),"★","")</f>
        <v/>
      </c>
      <c r="LQ22" s="929" t="str">
        <f>IF(ISNUMBER(SEARCH($A22,VLOOKUP(LQ$2,职业列表!$B$1:$G$370,6,0))),"★","")</f>
        <v/>
      </c>
      <c r="LR22" s="929" t="str">
        <f>IF(ISNUMBER(SEARCH($A22,VLOOKUP(LR$2,职业列表!$B$1:$G$370,6,0))),"★","")</f>
        <v/>
      </c>
      <c r="LS22" s="929" t="str">
        <f>IF(ISNUMBER(SEARCH($A22,VLOOKUP(LS$2,职业列表!$B$1:$G$370,6,0))),"★","")</f>
        <v>★</v>
      </c>
      <c r="LT22" s="929" t="str">
        <f>IF(ISNUMBER(SEARCH($A22,VLOOKUP(LT$2,职业列表!$B$1:$G$370,6,0))),"★","")</f>
        <v/>
      </c>
      <c r="LU22" s="929" t="str">
        <f>IF(ISNUMBER(SEARCH($A22,VLOOKUP(LU$2,职业列表!$B$1:$G$370,6,0))),"★","")</f>
        <v>★</v>
      </c>
      <c r="LV22" s="929" t="str">
        <f>IF(ISNUMBER(SEARCH($A22,VLOOKUP(LV$2,职业列表!$B$1:$G$370,6,0))),"★","")</f>
        <v/>
      </c>
      <c r="LW22" s="929" t="str">
        <f>IF(ISNUMBER(SEARCH($A22,VLOOKUP(LW$2,职业列表!$B$1:$G$370,6,0))),"★","")</f>
        <v/>
      </c>
      <c r="LX22" s="929" t="str">
        <f>IF(ISNUMBER(SEARCH($A22,VLOOKUP(LX$2,职业列表!$B$1:$G$370,6,0))),"★","")</f>
        <v/>
      </c>
      <c r="LY22" s="929" t="str">
        <f>IF(ISNUMBER(SEARCH($A22,VLOOKUP(LY$2,职业列表!$B$1:$G$370,6,0))),"★","")</f>
        <v/>
      </c>
      <c r="LZ22" s="929" t="str">
        <f>IF(ISNUMBER(SEARCH($A22,VLOOKUP(LZ$2,职业列表!$B$1:$G$370,6,0))),"★","")</f>
        <v/>
      </c>
      <c r="MA22" s="929" t="str">
        <f>IF(ISNUMBER(SEARCH($A22,VLOOKUP(MA$2,职业列表!$B$1:$G$370,6,0))),"★","")</f>
        <v/>
      </c>
      <c r="MB22" s="929" t="str">
        <f>IF(ISNUMBER(SEARCH($A22,VLOOKUP(MB$2,职业列表!$B$1:$G$370,6,0))),"★","")</f>
        <v/>
      </c>
      <c r="MC22" s="929" t="str">
        <f>IF(ISNUMBER(SEARCH($A22,VLOOKUP(MC$2,职业列表!$B$1:$G$370,6,0))),"★","")</f>
        <v/>
      </c>
      <c r="MD22" s="929" t="str">
        <f>IF(ISNUMBER(SEARCH($A22,VLOOKUP(MD$2,职业列表!$B$1:$G$370,6,0))),"★","")</f>
        <v/>
      </c>
      <c r="ME22" s="929" t="str">
        <f>IF(ISNUMBER(SEARCH($A22,VLOOKUP(ME$2,职业列表!$B$1:$G$370,6,0))),"★","")</f>
        <v/>
      </c>
      <c r="MF22" s="929" t="str">
        <f>IF(ISNUMBER(SEARCH($A22,VLOOKUP(MF$2,职业列表!$B$1:$G$370,6,0))),"★","")</f>
        <v/>
      </c>
      <c r="MG22" s="929" t="str">
        <f>IF(ISNUMBER(SEARCH($A22,VLOOKUP(MG$2,职业列表!$B$1:$G$370,6,0))),"★","")</f>
        <v/>
      </c>
      <c r="MH22" s="929" t="str">
        <f>IF(ISNUMBER(SEARCH($A22,VLOOKUP(MH$2,职业列表!$B$1:$G$370,6,0))),"★","")</f>
        <v/>
      </c>
      <c r="MI22" s="929" t="str">
        <f>IF(ISNUMBER(SEARCH($A22,VLOOKUP(MI$2,职业列表!$B$1:$G$370,6,0))),"★","")</f>
        <v/>
      </c>
      <c r="MJ22" s="929" t="str">
        <f>IF(ISNUMBER(SEARCH($A22,VLOOKUP(MJ$2,职业列表!$B$1:$G$370,6,0))),"★","")</f>
        <v/>
      </c>
      <c r="MK22" s="929" t="str">
        <f>IF(ISNUMBER(SEARCH($A22,VLOOKUP(MK$2,职业列表!$B$1:$G$370,6,0))),"★","")</f>
        <v>★</v>
      </c>
      <c r="ML22" s="929" t="str">
        <f>IF(ISNUMBER(SEARCH($A22,VLOOKUP(ML$2,职业列表!$B$1:$G$370,6,0))),"★","")</f>
        <v/>
      </c>
      <c r="MM22" s="929" t="str">
        <f>IF(ISNUMBER(SEARCH($A22,VLOOKUP(MM$2,职业列表!$B$1:$G$370,6,0))),"★","")</f>
        <v/>
      </c>
      <c r="MN22" s="929" t="str">
        <f>IF(ISNUMBER(SEARCH($A22,VLOOKUP(MN$2,职业列表!$B$1:$G$370,6,0))),"★","")</f>
        <v/>
      </c>
      <c r="MO22" s="929" t="str">
        <f>IF(ISNUMBER(SEARCH($A22,VLOOKUP(MO$2,职业列表!$B$1:$G$370,6,0))),"★","")</f>
        <v/>
      </c>
      <c r="MP22" s="929" t="str">
        <f>IF(ISNUMBER(SEARCH($A22,VLOOKUP(MP$2,职业列表!$B$1:$G$370,6,0))),"★","")</f>
        <v/>
      </c>
      <c r="MQ22" s="929" t="str">
        <f>IF(ISNUMBER(SEARCH($A22,VLOOKUP(MQ$2,职业列表!$B$1:$G$370,6,0))),"★","")</f>
        <v/>
      </c>
      <c r="MR22" s="929" t="str">
        <f>IF(ISNUMBER(SEARCH($A22,VLOOKUP(MR$2,职业列表!$B$1:$G$370,6,0))),"★","")</f>
        <v/>
      </c>
      <c r="MS22" s="929" t="str">
        <f>IF(ISNUMBER(SEARCH($A22,VLOOKUP(MS$2,职业列表!$B$1:$G$370,6,0))),"★","")</f>
        <v/>
      </c>
      <c r="MT22" s="929" t="str">
        <f>IF(ISNUMBER(SEARCH($A22,VLOOKUP(MT$2,职业列表!$B$1:$G$370,6,0))),"★","")</f>
        <v/>
      </c>
      <c r="MU22" s="929" t="str">
        <f>IF(ISNUMBER(SEARCH($A22,VLOOKUP(MU$2,职业列表!$B$1:$G$370,6,0))),"★","")</f>
        <v/>
      </c>
      <c r="MV22" s="929" t="str">
        <f>IF(ISNUMBER(SEARCH($A22,VLOOKUP(MV$2,职业列表!$B$1:$G$370,6,0))),"★","")</f>
        <v/>
      </c>
      <c r="MW22" s="929" t="str">
        <f>IF(ISNUMBER(SEARCH($A22,VLOOKUP(MW$2,职业列表!$B$1:$G$370,6,0))),"★","")</f>
        <v/>
      </c>
      <c r="MX22" s="929" t="str">
        <f>IF(ISNUMBER(SEARCH($A22,VLOOKUP(MX$2,职业列表!$B$1:$G$370,6,0))),"★","")</f>
        <v/>
      </c>
      <c r="MY22" s="929" t="str">
        <f>IF(ISNUMBER(SEARCH($A22,VLOOKUP(MY$2,职业列表!$B$1:$G$370,6,0))),"★","")</f>
        <v/>
      </c>
      <c r="MZ22" s="929" t="str">
        <f>IF(ISNUMBER(SEARCH($A22,VLOOKUP(MZ$2,职业列表!$B$1:$G$370,6,0))),"★","")</f>
        <v/>
      </c>
      <c r="NA22" s="929" t="str">
        <f>IF(ISNUMBER(SEARCH($A22,VLOOKUP(NA$2,职业列表!$B$1:$G$370,6,0))),"★","")</f>
        <v/>
      </c>
      <c r="NB22" s="929" t="str">
        <f>IF(ISNUMBER(SEARCH($A22,VLOOKUP(NB$2,职业列表!$B$1:$G$370,6,0))),"★","")</f>
        <v/>
      </c>
      <c r="NC22" s="929" t="str">
        <f>IF(ISNUMBER(SEARCH($A22,VLOOKUP(NC$2,职业列表!$B$1:$G$370,6,0))),"★","")</f>
        <v>★</v>
      </c>
      <c r="ND22" s="929" t="str">
        <f>IF(ISNUMBER(SEARCH($A22,VLOOKUP(ND$2,职业列表!$B$1:$G$370,6,0))),"★","")</f>
        <v/>
      </c>
      <c r="NE22" s="929" t="str">
        <f>IF(ISNUMBER(SEARCH($A22,VLOOKUP(NE$2,职业列表!$B$1:$G$370,6,0))),"★","")</f>
        <v/>
      </c>
    </row>
    <row r="23" customFormat="1" spans="1:369">
      <c r="A23" s="932" t="s">
        <v>114</v>
      </c>
      <c r="B23" s="939" t="str">
        <f>IF(OR(A23="说服",A23="话术",A23="取悦",A23="恐吓"),"☯",IF(ISNUMBER(SEARCH(A23,VLOOKUP(IX$2,职业列表!$B$1:$G$370,6,0))),"★",""))</f>
        <v/>
      </c>
      <c r="C23" s="940" t="str">
        <f>IF(ISTEXT(IFERROR(VLOOKUP(A23,职业列表!I3:J10,1,FALSE),0)),"★","")</f>
        <v/>
      </c>
      <c r="D23" s="939"/>
      <c r="E23" s="939"/>
      <c r="F23" s="939"/>
      <c r="G23" s="939"/>
      <c r="H23" s="939"/>
      <c r="I23" s="939"/>
      <c r="J23" s="939"/>
      <c r="K23" s="939"/>
      <c r="L23" s="939"/>
      <c r="M23" s="939"/>
      <c r="N23" s="939"/>
      <c r="O23" s="939"/>
      <c r="P23" s="939"/>
      <c r="Q23" s="939"/>
      <c r="R23" s="939"/>
      <c r="S23" s="939"/>
      <c r="T23" s="939"/>
      <c r="U23" s="939"/>
      <c r="V23" s="939" t="s">
        <v>2716</v>
      </c>
      <c r="W23" s="939"/>
      <c r="X23" s="939"/>
      <c r="Y23" s="939"/>
      <c r="Z23" s="939" t="s">
        <v>74</v>
      </c>
      <c r="AA23" s="939" t="s">
        <v>74</v>
      </c>
      <c r="AB23" s="939"/>
      <c r="AC23" s="939"/>
      <c r="AD23" s="939"/>
      <c r="AE23" s="939"/>
      <c r="AF23" s="939"/>
      <c r="AG23" s="939"/>
      <c r="AH23" s="939"/>
      <c r="AI23" s="939"/>
      <c r="AJ23" s="939"/>
      <c r="AK23" s="939"/>
      <c r="AL23" s="939"/>
      <c r="AM23" s="939"/>
      <c r="AN23" s="939"/>
      <c r="AO23" s="939"/>
      <c r="AP23" s="939"/>
      <c r="AQ23" s="939"/>
      <c r="AR23" s="939"/>
      <c r="AS23" s="939"/>
      <c r="AT23" s="939"/>
      <c r="AU23" s="939"/>
      <c r="AV23" s="939"/>
      <c r="AW23" s="939"/>
      <c r="AX23" s="939"/>
      <c r="AY23" s="939"/>
      <c r="AZ23" s="939"/>
      <c r="BA23" s="939"/>
      <c r="BB23" s="939"/>
      <c r="BC23" s="939"/>
      <c r="BD23" s="939"/>
      <c r="BE23" s="939"/>
      <c r="BF23" s="939"/>
      <c r="BG23" s="939"/>
      <c r="BH23" s="939"/>
      <c r="BI23" s="939"/>
      <c r="BJ23" s="939"/>
      <c r="BK23" s="939"/>
      <c r="BL23" s="939"/>
      <c r="BM23" s="939"/>
      <c r="BN23" s="939"/>
      <c r="BO23" s="939"/>
      <c r="BP23" s="939"/>
      <c r="BQ23" s="939"/>
      <c r="BR23" s="939"/>
      <c r="BS23" s="939"/>
      <c r="BT23" s="939"/>
      <c r="BU23" s="939"/>
      <c r="BV23" s="939"/>
      <c r="BW23" s="939"/>
      <c r="BX23" s="939"/>
      <c r="BY23" s="939"/>
      <c r="BZ23" s="939"/>
      <c r="CA23" s="939"/>
      <c r="CB23" s="939"/>
      <c r="CC23" s="939"/>
      <c r="CD23" s="939"/>
      <c r="CE23" s="939"/>
      <c r="CF23" s="939"/>
      <c r="CG23" s="939"/>
      <c r="CH23" s="939"/>
      <c r="CI23" s="939"/>
      <c r="CJ23" s="939"/>
      <c r="CK23" s="939"/>
      <c r="CL23" s="939"/>
      <c r="CM23" s="939"/>
      <c r="CN23" s="939"/>
      <c r="CO23" s="939"/>
      <c r="CP23" s="939"/>
      <c r="CQ23" s="939"/>
      <c r="CR23" s="939"/>
      <c r="CS23" s="939"/>
      <c r="CT23" s="939"/>
      <c r="CU23" s="939"/>
      <c r="CV23" s="939"/>
      <c r="CW23" s="939"/>
      <c r="CX23" s="939"/>
      <c r="CY23" s="939"/>
      <c r="CZ23" s="939"/>
      <c r="DA23" s="939"/>
      <c r="DB23" s="939"/>
      <c r="DC23" s="939"/>
      <c r="DD23" s="939"/>
      <c r="DE23" s="939"/>
      <c r="DF23" s="939"/>
      <c r="DG23" s="939"/>
      <c r="DH23" s="939"/>
      <c r="DI23" s="939"/>
      <c r="DJ23" s="939"/>
      <c r="DK23" s="939"/>
      <c r="DL23" s="939"/>
      <c r="DM23" s="939"/>
      <c r="DN23" s="939"/>
      <c r="DO23" s="939"/>
      <c r="DP23" s="939"/>
      <c r="DQ23" s="939"/>
      <c r="DR23" s="939"/>
      <c r="DS23" s="939"/>
      <c r="DT23" s="939"/>
      <c r="DU23" s="939"/>
      <c r="DV23" s="939"/>
      <c r="DW23" s="939"/>
      <c r="DX23" s="939"/>
      <c r="DY23" s="939"/>
      <c r="DZ23" s="939"/>
      <c r="EA23" s="939"/>
      <c r="EB23" s="939"/>
      <c r="EC23" s="939"/>
      <c r="ED23" s="939"/>
      <c r="EE23" s="939"/>
      <c r="EF23" s="939"/>
      <c r="EG23" s="939"/>
      <c r="EH23" s="939"/>
      <c r="EI23" s="939"/>
      <c r="EJ23" s="939"/>
      <c r="EK23" s="939"/>
      <c r="EL23" s="939"/>
      <c r="EM23" s="939"/>
      <c r="EN23" s="939"/>
      <c r="EO23" s="939"/>
      <c r="EP23" s="939"/>
      <c r="EQ23" s="939"/>
      <c r="ER23" s="939"/>
      <c r="ES23" s="939"/>
      <c r="ET23" s="939"/>
      <c r="EU23" s="939"/>
      <c r="EV23" s="939"/>
      <c r="EW23" s="939"/>
      <c r="EX23" s="939"/>
      <c r="EY23" s="939"/>
      <c r="EZ23" s="939"/>
      <c r="FA23" s="939"/>
      <c r="FB23" s="939"/>
      <c r="FC23" s="939"/>
      <c r="FD23" s="939"/>
      <c r="FE23" s="939"/>
      <c r="FF23" s="939"/>
      <c r="FG23" s="939"/>
      <c r="FH23" s="939"/>
      <c r="FI23" s="939"/>
      <c r="FJ23" s="939"/>
      <c r="FK23" s="939"/>
      <c r="FL23" s="939"/>
      <c r="FM23" s="939"/>
      <c r="FN23" s="939"/>
      <c r="FO23" s="939"/>
      <c r="FP23" s="939"/>
      <c r="FQ23" s="939"/>
      <c r="FR23" s="939"/>
      <c r="FS23" s="939"/>
      <c r="FT23" s="939"/>
      <c r="FU23" s="939"/>
      <c r="FV23" s="939"/>
      <c r="FW23" s="939"/>
      <c r="FX23" s="939"/>
      <c r="FY23" s="939"/>
      <c r="FZ23" s="939"/>
      <c r="GA23" s="939"/>
      <c r="GB23" s="939"/>
      <c r="GC23" s="939"/>
      <c r="GD23" s="939"/>
      <c r="GE23" s="939"/>
      <c r="GF23" s="939"/>
      <c r="GG23" s="939"/>
      <c r="GH23" s="939"/>
      <c r="GI23" s="939"/>
      <c r="GJ23" s="939"/>
      <c r="GK23" s="939"/>
      <c r="GL23" s="939"/>
      <c r="GM23" s="939"/>
      <c r="GN23" s="939"/>
      <c r="GO23" s="939"/>
      <c r="GP23" s="939"/>
      <c r="GQ23" s="939"/>
      <c r="GR23" s="939"/>
      <c r="GS23" s="939"/>
      <c r="GT23" s="939" t="s">
        <v>74</v>
      </c>
      <c r="GU23" s="939"/>
      <c r="GV23" s="939"/>
      <c r="GW23" s="939"/>
      <c r="GX23" s="939" t="s">
        <v>74</v>
      </c>
      <c r="GY23" s="939"/>
      <c r="GZ23" s="939"/>
      <c r="HA23" s="939"/>
      <c r="HB23" s="939"/>
      <c r="HC23" s="939"/>
      <c r="HD23" s="939"/>
      <c r="HE23" s="939"/>
      <c r="HF23" s="939"/>
      <c r="HG23" s="939"/>
      <c r="HH23" s="939"/>
      <c r="HI23" s="939"/>
      <c r="HJ23" s="939"/>
      <c r="HK23" s="939"/>
      <c r="HL23" s="939"/>
      <c r="HM23" s="939"/>
      <c r="HN23" s="939"/>
      <c r="HO23" s="939"/>
      <c r="HP23" s="939"/>
      <c r="HQ23" s="939"/>
      <c r="HR23" s="939"/>
      <c r="HS23" s="939"/>
      <c r="HT23" s="939"/>
      <c r="HU23" s="939"/>
      <c r="HV23" s="939"/>
      <c r="HW23" s="939"/>
      <c r="HX23" s="990"/>
      <c r="HY23" s="1012"/>
      <c r="HZ23" s="1012"/>
      <c r="IA23" s="1012"/>
      <c r="IB23" s="939" t="s">
        <v>74</v>
      </c>
      <c r="IC23" s="1013"/>
      <c r="ID23" s="1013"/>
      <c r="IE23" s="1012"/>
      <c r="IF23" s="1012"/>
      <c r="IG23" s="1012"/>
      <c r="IH23" s="939" t="s">
        <v>74</v>
      </c>
      <c r="II23" s="1012"/>
      <c r="IJ23" s="1012"/>
      <c r="IK23" s="939" t="s">
        <v>74</v>
      </c>
      <c r="IL23" s="1012"/>
      <c r="IM23" s="1012"/>
      <c r="IN23" s="1012"/>
      <c r="IO23" s="1012"/>
      <c r="IP23" s="990" t="s">
        <v>74</v>
      </c>
      <c r="IQ23" s="1013"/>
      <c r="IR23" s="1012"/>
      <c r="IS23" s="1012"/>
      <c r="IT23" s="1012"/>
      <c r="IU23" s="1012"/>
      <c r="IV23" s="1012"/>
      <c r="IW23" s="972" t="s">
        <v>74</v>
      </c>
      <c r="IX23" s="929" t="str">
        <f>IF(ISNUMBER(SEARCH($A23,VLOOKUP(IX$2,职业列表!$B$1:$G$370,6,0))),"★","")</f>
        <v/>
      </c>
      <c r="IY23" s="929" t="str">
        <f>IF(ISNUMBER(SEARCH($A23,VLOOKUP(IY$2,职业列表!$B$1:$G$370,6,0))),"★","")</f>
        <v/>
      </c>
      <c r="IZ23" s="929" t="str">
        <f>IF(ISNUMBER(SEARCH($A23,VLOOKUP(IZ$2,职业列表!$B$1:$G$370,6,0))),"★","")</f>
        <v/>
      </c>
      <c r="JA23" s="929" t="str">
        <f>IF(ISNUMBER(SEARCH($A23,VLOOKUP(JA$2,职业列表!$B$1:$G$370,6,0))),"★","")</f>
        <v/>
      </c>
      <c r="JB23" s="929" t="str">
        <f>IF(ISNUMBER(SEARCH($A23,VLOOKUP(JB$2,职业列表!$B$1:$G$370,6,0))),"★","")</f>
        <v>★</v>
      </c>
      <c r="JC23" s="929" t="str">
        <f>IF(ISNUMBER(SEARCH($A23,VLOOKUP(JC$2,职业列表!$B$1:$G$370,6,0))),"★","")</f>
        <v/>
      </c>
      <c r="JD23" s="929" t="str">
        <f>IF(ISNUMBER(SEARCH($A23,VLOOKUP(JD$2,职业列表!$B$1:$G$370,6,0))),"★","")</f>
        <v/>
      </c>
      <c r="JE23" s="929" t="str">
        <f>IF(ISNUMBER(SEARCH($A23,VLOOKUP(JE$2,职业列表!$B$1:$G$370,6,0))),"★","")</f>
        <v/>
      </c>
      <c r="JF23" s="929" t="str">
        <f>IF(ISNUMBER(SEARCH($A23,VLOOKUP(JF$2,职业列表!$B$1:$G$370,6,0))),"★","")</f>
        <v>★</v>
      </c>
      <c r="JG23" s="929" t="str">
        <f>IF(ISNUMBER(SEARCH($A23,VLOOKUP(JG$2,职业列表!$B$1:$G$370,6,0))),"★","")</f>
        <v/>
      </c>
      <c r="JH23" s="929" t="str">
        <f>IF(ISNUMBER(SEARCH($A23,VLOOKUP(JH$2,职业列表!$B$1:$G$370,6,0))),"★","")</f>
        <v/>
      </c>
      <c r="JI23" s="929" t="str">
        <f>IF(ISNUMBER(SEARCH($A23,VLOOKUP(JI$2,职业列表!$B$1:$G$370,6,0))),"★","")</f>
        <v>★</v>
      </c>
      <c r="JJ23" s="929" t="str">
        <f>IF(ISNUMBER(SEARCH($A23,VLOOKUP(JJ$2,职业列表!$B$1:$G$370,6,0))),"★","")</f>
        <v/>
      </c>
      <c r="JK23" s="929" t="str">
        <f>IF(ISNUMBER(SEARCH($A23,VLOOKUP(JK$2,职业列表!$B$1:$G$370,6,0))),"★","")</f>
        <v/>
      </c>
      <c r="JL23" s="929" t="str">
        <f>IF(ISNUMBER(SEARCH($A23,VLOOKUP(JL$2,职业列表!$B$1:$G$370,6,0))),"★","")</f>
        <v>★</v>
      </c>
      <c r="JM23" s="929" t="str">
        <f>IF(ISNUMBER(SEARCH($A23,VLOOKUP(JM$2,职业列表!$B$1:$G$370,6,0))),"★","")</f>
        <v/>
      </c>
      <c r="JN23" s="929" t="str">
        <f>IF(ISNUMBER(SEARCH($A23,VLOOKUP(JN$2,职业列表!$B$1:$G$370,6,0))),"★","")</f>
        <v>★</v>
      </c>
      <c r="JO23" s="929" t="str">
        <f>IF(ISNUMBER(SEARCH($A23,VLOOKUP(JO$2,职业列表!$B$1:$G$370,6,0))),"★","")</f>
        <v>★</v>
      </c>
      <c r="JP23" s="929" t="str">
        <f>IF(ISNUMBER(SEARCH($A23,VLOOKUP(JP$2,职业列表!$B$1:$G$370,6,0))),"★","")</f>
        <v/>
      </c>
      <c r="JQ23" s="929" t="str">
        <f>IF(ISNUMBER(SEARCH($A23,VLOOKUP(JQ$2,职业列表!$B$1:$G$370,6,0))),"★","")</f>
        <v/>
      </c>
      <c r="JR23" s="929" t="str">
        <f>IF(ISNUMBER(SEARCH($A23,VLOOKUP(JR$2,职业列表!$B$1:$G$370,6,0))),"★","")</f>
        <v/>
      </c>
      <c r="JS23" s="929" t="str">
        <f>IF(ISNUMBER(SEARCH($A23,VLOOKUP(JS$2,职业列表!$B$1:$G$370,6,0))),"★","")</f>
        <v/>
      </c>
      <c r="JT23" s="929" t="str">
        <f>IF(ISNUMBER(SEARCH($A23,VLOOKUP(JT$2,职业列表!$B$1:$G$370,6,0))),"★","")</f>
        <v/>
      </c>
      <c r="JU23" s="929" t="str">
        <f>IF(ISNUMBER(SEARCH($A23,VLOOKUP(JU$2,职业列表!$B$1:$G$370,6,0))),"★","")</f>
        <v/>
      </c>
      <c r="JV23" s="929" t="str">
        <f>IF(ISNUMBER(SEARCH($A23,VLOOKUP(JV$2,职业列表!$B$1:$G$370,6,0))),"★","")</f>
        <v/>
      </c>
      <c r="JW23" s="929" t="str">
        <f>IF(ISNUMBER(SEARCH($A23,VLOOKUP(JW$2,职业列表!$B$1:$G$370,6,0))),"★","")</f>
        <v/>
      </c>
      <c r="JX23" s="929" t="str">
        <f>IF(ISNUMBER(SEARCH($A23,VLOOKUP(JX$2,职业列表!$B$1:$G$370,6,0))),"★","")</f>
        <v/>
      </c>
      <c r="JY23" s="929" t="str">
        <f>IF(ISNUMBER(SEARCH($A23,VLOOKUP(JY$2,职业列表!$B$1:$G$370,6,0))),"★","")</f>
        <v/>
      </c>
      <c r="JZ23" s="929" t="str">
        <f>IF(ISNUMBER(SEARCH($A23,VLOOKUP(JZ$2,职业列表!$B$1:$G$370,6,0))),"★","")</f>
        <v/>
      </c>
      <c r="KA23" s="929" t="str">
        <f>IF(ISNUMBER(SEARCH($A23,VLOOKUP(KA$2,职业列表!$B$1:$G$370,6,0))),"★","")</f>
        <v/>
      </c>
      <c r="KB23" s="929" t="str">
        <f>IF(ISNUMBER(SEARCH($A23,VLOOKUP(KB$2,职业列表!$B$1:$G$370,6,0))),"★","")</f>
        <v/>
      </c>
      <c r="KC23" s="929" t="str">
        <f>IF(ISNUMBER(SEARCH($A23,VLOOKUP(KC$2,职业列表!$B$1:$G$370,6,0))),"★","")</f>
        <v>★</v>
      </c>
      <c r="KD23" s="929" t="str">
        <f>IF(ISNUMBER(SEARCH($A23,VLOOKUP(KD$2,职业列表!$B$1:$G$370,6,0))),"★","")</f>
        <v>★</v>
      </c>
      <c r="KE23" s="929" t="str">
        <f>IF(ISNUMBER(SEARCH($A23,VLOOKUP(KE$2,职业列表!$B$1:$G$370,6,0))),"★","")</f>
        <v/>
      </c>
      <c r="KF23" s="929" t="str">
        <f>IF(ISNUMBER(SEARCH($A23,VLOOKUP(KF$2,职业列表!$B$1:$G$370,6,0))),"★","")</f>
        <v/>
      </c>
      <c r="KG23" s="929" t="str">
        <f>IF(ISNUMBER(SEARCH($A23,VLOOKUP(KG$2,职业列表!$B$1:$G$370,6,0))),"★","")</f>
        <v/>
      </c>
      <c r="KH23" s="929" t="str">
        <f>IF(ISNUMBER(SEARCH($A23,VLOOKUP(KH$2,职业列表!$B$1:$G$370,6,0))),"★","")</f>
        <v>★</v>
      </c>
      <c r="KI23" s="929" t="str">
        <f>IF(ISNUMBER(SEARCH($A23,VLOOKUP(KI$2,职业列表!$B$1:$G$370,6,0))),"★","")</f>
        <v/>
      </c>
      <c r="KJ23" s="929" t="str">
        <f>IF(ISNUMBER(SEARCH($A23,VLOOKUP(KJ$2,职业列表!$B$1:$G$370,6,0))),"★","")</f>
        <v/>
      </c>
      <c r="KK23" s="929" t="str">
        <f>IF(ISNUMBER(SEARCH($A23,VLOOKUP(KK$2,职业列表!$B$1:$G$370,6,0))),"★","")</f>
        <v/>
      </c>
      <c r="KL23" s="929" t="str">
        <f>IF(ISNUMBER(SEARCH($A23,VLOOKUP(KL$2,职业列表!$B$1:$G$370,6,0))),"★","")</f>
        <v/>
      </c>
      <c r="KM23" s="929" t="str">
        <f>IF(ISNUMBER(SEARCH($A23,VLOOKUP(KM$2,职业列表!$B$1:$G$370,6,0))),"★","")</f>
        <v/>
      </c>
      <c r="KN23" s="929" t="str">
        <f>IF(ISNUMBER(SEARCH($A23,VLOOKUP(KN$2,职业列表!$B$1:$G$370,6,0))),"★","")</f>
        <v/>
      </c>
      <c r="KO23" s="929" t="str">
        <f>IF(ISNUMBER(SEARCH($A23,VLOOKUP(KO$2,职业列表!$B$1:$G$370,6,0))),"★","")</f>
        <v/>
      </c>
      <c r="KP23" s="929" t="str">
        <f>IF(ISNUMBER(SEARCH($A23,VLOOKUP(KP$2,职业列表!$B$1:$G$370,6,0))),"★","")</f>
        <v/>
      </c>
      <c r="KQ23" s="929" t="str">
        <f>IF(ISNUMBER(SEARCH($A23,VLOOKUP(KQ$2,职业列表!$B$1:$G$370,6,0))),"★","")</f>
        <v/>
      </c>
      <c r="KR23" s="929" t="str">
        <f>IF(ISNUMBER(SEARCH($A23,VLOOKUP(KR$2,职业列表!$B$1:$G$370,6,0))),"★","")</f>
        <v/>
      </c>
      <c r="KS23" s="929" t="str">
        <f>IF(ISNUMBER(SEARCH($A23,VLOOKUP(KS$2,职业列表!$B$1:$G$370,6,0))),"★","")</f>
        <v/>
      </c>
      <c r="KT23" s="929" t="str">
        <f>IF(ISNUMBER(SEARCH($A23,VLOOKUP(KT$2,职业列表!$B$1:$G$370,6,0))),"★","")</f>
        <v/>
      </c>
      <c r="KU23" s="929" t="str">
        <f>IF(ISNUMBER(SEARCH($A23,VLOOKUP(KU$2,职业列表!$B$1:$G$370,6,0))),"★","")</f>
        <v/>
      </c>
      <c r="KV23" s="929" t="str">
        <f>IF(ISNUMBER(SEARCH($A23,VLOOKUP(KV$2,职业列表!$B$1:$G$370,6,0))),"★","")</f>
        <v/>
      </c>
      <c r="KW23" s="929" t="str">
        <f>IF(ISNUMBER(SEARCH($A23,VLOOKUP(KW$2,职业列表!$B$1:$G$370,6,0))),"★","")</f>
        <v/>
      </c>
      <c r="KX23" s="929" t="str">
        <f>IF(ISNUMBER(SEARCH($A23,VLOOKUP(KX$2,职业列表!$B$1:$G$370,6,0))),"★","")</f>
        <v/>
      </c>
      <c r="KY23" s="929" t="str">
        <f>IF(ISNUMBER(SEARCH($A23,VLOOKUP(KY$2,职业列表!$B$1:$G$370,6,0))),"★","")</f>
        <v/>
      </c>
      <c r="KZ23" s="929" t="str">
        <f>IF(ISNUMBER(SEARCH($A23,VLOOKUP(KZ$2,职业列表!$B$1:$G$370,6,0))),"★","")</f>
        <v/>
      </c>
      <c r="LA23" s="929" t="str">
        <f>IF(ISNUMBER(SEARCH($A23,VLOOKUP(LA$2,职业列表!$B$1:$G$370,6,0))),"★","")</f>
        <v/>
      </c>
      <c r="LB23" s="929" t="str">
        <f>IF(ISNUMBER(SEARCH($A23,VLOOKUP(LB$2,职业列表!$B$1:$G$370,6,0))),"★","")</f>
        <v/>
      </c>
      <c r="LC23" s="929" t="str">
        <f>IF(ISNUMBER(SEARCH($A23,VLOOKUP(LC$2,职业列表!$B$1:$G$370,6,0))),"★","")</f>
        <v/>
      </c>
      <c r="LD23" s="929" t="str">
        <f>IF(ISNUMBER(SEARCH($A23,VLOOKUP(LD$2,职业列表!$B$1:$G$370,6,0))),"★","")</f>
        <v/>
      </c>
      <c r="LE23" s="929" t="str">
        <f>IF(ISNUMBER(SEARCH($A23,VLOOKUP(LE$2,职业列表!$B$1:$G$370,6,0))),"★","")</f>
        <v/>
      </c>
      <c r="LF23" s="929" t="str">
        <f>IF(ISNUMBER(SEARCH($A23,VLOOKUP(LF$2,职业列表!$B$1:$G$370,6,0))),"★","")</f>
        <v/>
      </c>
      <c r="LG23" s="929" t="str">
        <f>IF(ISNUMBER(SEARCH($A23,VLOOKUP(LG$2,职业列表!$B$1:$G$370,6,0))),"★","")</f>
        <v/>
      </c>
      <c r="LH23" s="929" t="str">
        <f>IF(ISNUMBER(SEARCH($A23,VLOOKUP(LH$2,职业列表!$B$1:$G$370,6,0))),"★","")</f>
        <v/>
      </c>
      <c r="LI23" s="929" t="str">
        <f>IF(ISNUMBER(SEARCH($A23,VLOOKUP(LI$2,职业列表!$B$1:$G$370,6,0))),"★","")</f>
        <v/>
      </c>
      <c r="LJ23" s="929" t="str">
        <f>IF(ISNUMBER(SEARCH($A23,VLOOKUP(LJ$2,职业列表!$B$1:$G$370,6,0))),"★","")</f>
        <v>★</v>
      </c>
      <c r="LK23" s="929" t="str">
        <f>IF(ISNUMBER(SEARCH($A23,VLOOKUP(LK$2,职业列表!$B$1:$G$370,6,0))),"★","")</f>
        <v/>
      </c>
      <c r="LL23" s="929" t="str">
        <f>IF(ISNUMBER(SEARCH($A23,VLOOKUP(LL$2,职业列表!$B$1:$G$370,6,0))),"★","")</f>
        <v/>
      </c>
      <c r="LM23" s="929" t="str">
        <f>IF(ISNUMBER(SEARCH($A23,VLOOKUP(LM$2,职业列表!$B$1:$G$370,6,0))),"★","")</f>
        <v/>
      </c>
      <c r="LN23" s="929" t="str">
        <f>IF(ISNUMBER(SEARCH($A23,VLOOKUP(LN$2,职业列表!$B$1:$G$370,6,0))),"★","")</f>
        <v/>
      </c>
      <c r="LO23" s="929" t="str">
        <f>IF(ISNUMBER(SEARCH($A23,VLOOKUP(LO$2,职业列表!$B$1:$G$370,6,0))),"★","")</f>
        <v>★</v>
      </c>
      <c r="LP23" s="929" t="str">
        <f>IF(ISNUMBER(SEARCH($A23,VLOOKUP(LP$2,职业列表!$B$1:$G$370,6,0))),"★","")</f>
        <v/>
      </c>
      <c r="LQ23" s="929" t="str">
        <f>IF(ISNUMBER(SEARCH($A23,VLOOKUP(LQ$2,职业列表!$B$1:$G$370,6,0))),"★","")</f>
        <v/>
      </c>
      <c r="LR23" s="929" t="str">
        <f>IF(ISNUMBER(SEARCH($A23,VLOOKUP(LR$2,职业列表!$B$1:$G$370,6,0))),"★","")</f>
        <v/>
      </c>
      <c r="LS23" s="929" t="str">
        <f>IF(ISNUMBER(SEARCH($A23,VLOOKUP(LS$2,职业列表!$B$1:$G$370,6,0))),"★","")</f>
        <v>★</v>
      </c>
      <c r="LT23" s="929" t="str">
        <f>IF(ISNUMBER(SEARCH($A23,VLOOKUP(LT$2,职业列表!$B$1:$G$370,6,0))),"★","")</f>
        <v/>
      </c>
      <c r="LU23" s="929" t="str">
        <f>IF(ISNUMBER(SEARCH($A23,VLOOKUP(LU$2,职业列表!$B$1:$G$370,6,0))),"★","")</f>
        <v>★</v>
      </c>
      <c r="LV23" s="929" t="str">
        <f>IF(ISNUMBER(SEARCH($A23,VLOOKUP(LV$2,职业列表!$B$1:$G$370,6,0))),"★","")</f>
        <v/>
      </c>
      <c r="LW23" s="929" t="str">
        <f>IF(ISNUMBER(SEARCH($A23,VLOOKUP(LW$2,职业列表!$B$1:$G$370,6,0))),"★","")</f>
        <v/>
      </c>
      <c r="LX23" s="929" t="str">
        <f>IF(ISNUMBER(SEARCH($A23,VLOOKUP(LX$2,职业列表!$B$1:$G$370,6,0))),"★","")</f>
        <v/>
      </c>
      <c r="LY23" s="929" t="str">
        <f>IF(ISNUMBER(SEARCH($A23,VLOOKUP(LY$2,职业列表!$B$1:$G$370,6,0))),"★","")</f>
        <v/>
      </c>
      <c r="LZ23" s="929" t="str">
        <f>IF(ISNUMBER(SEARCH($A23,VLOOKUP(LZ$2,职业列表!$B$1:$G$370,6,0))),"★","")</f>
        <v/>
      </c>
      <c r="MA23" s="929" t="str">
        <f>IF(ISNUMBER(SEARCH($A23,VLOOKUP(MA$2,职业列表!$B$1:$G$370,6,0))),"★","")</f>
        <v/>
      </c>
      <c r="MB23" s="929" t="str">
        <f>IF(ISNUMBER(SEARCH($A23,VLOOKUP(MB$2,职业列表!$B$1:$G$370,6,0))),"★","")</f>
        <v/>
      </c>
      <c r="MC23" s="929" t="str">
        <f>IF(ISNUMBER(SEARCH($A23,VLOOKUP(MC$2,职业列表!$B$1:$G$370,6,0))),"★","")</f>
        <v/>
      </c>
      <c r="MD23" s="929" t="str">
        <f>IF(ISNUMBER(SEARCH($A23,VLOOKUP(MD$2,职业列表!$B$1:$G$370,6,0))),"★","")</f>
        <v/>
      </c>
      <c r="ME23" s="929" t="str">
        <f>IF(ISNUMBER(SEARCH($A23,VLOOKUP(ME$2,职业列表!$B$1:$G$370,6,0))),"★","")</f>
        <v/>
      </c>
      <c r="MF23" s="929" t="str">
        <f>IF(ISNUMBER(SEARCH($A23,VLOOKUP(MF$2,职业列表!$B$1:$G$370,6,0))),"★","")</f>
        <v/>
      </c>
      <c r="MG23" s="929" t="str">
        <f>IF(ISNUMBER(SEARCH($A23,VLOOKUP(MG$2,职业列表!$B$1:$G$370,6,0))),"★","")</f>
        <v/>
      </c>
      <c r="MH23" s="929" t="str">
        <f>IF(ISNUMBER(SEARCH($A23,VLOOKUP(MH$2,职业列表!$B$1:$G$370,6,0))),"★","")</f>
        <v/>
      </c>
      <c r="MI23" s="929" t="str">
        <f>IF(ISNUMBER(SEARCH($A23,VLOOKUP(MI$2,职业列表!$B$1:$G$370,6,0))),"★","")</f>
        <v/>
      </c>
      <c r="MJ23" s="929" t="str">
        <f>IF(ISNUMBER(SEARCH($A23,VLOOKUP(MJ$2,职业列表!$B$1:$G$370,6,0))),"★","")</f>
        <v/>
      </c>
      <c r="MK23" s="929" t="str">
        <f>IF(ISNUMBER(SEARCH($A23,VLOOKUP(MK$2,职业列表!$B$1:$G$370,6,0))),"★","")</f>
        <v/>
      </c>
      <c r="ML23" s="929" t="str">
        <f>IF(ISNUMBER(SEARCH($A23,VLOOKUP(ML$2,职业列表!$B$1:$G$370,6,0))),"★","")</f>
        <v/>
      </c>
      <c r="MM23" s="929" t="str">
        <f>IF(ISNUMBER(SEARCH($A23,VLOOKUP(MM$2,职业列表!$B$1:$G$370,6,0))),"★","")</f>
        <v/>
      </c>
      <c r="MN23" s="929" t="str">
        <f>IF(ISNUMBER(SEARCH($A23,VLOOKUP(MN$2,职业列表!$B$1:$G$370,6,0))),"★","")</f>
        <v/>
      </c>
      <c r="MO23" s="929" t="str">
        <f>IF(ISNUMBER(SEARCH($A23,VLOOKUP(MO$2,职业列表!$B$1:$G$370,6,0))),"★","")</f>
        <v/>
      </c>
      <c r="MP23" s="929" t="str">
        <f>IF(ISNUMBER(SEARCH($A23,VLOOKUP(MP$2,职业列表!$B$1:$G$370,6,0))),"★","")</f>
        <v/>
      </c>
      <c r="MQ23" s="929" t="str">
        <f>IF(ISNUMBER(SEARCH($A23,VLOOKUP(MQ$2,职业列表!$B$1:$G$370,6,0))),"★","")</f>
        <v/>
      </c>
      <c r="MR23" s="929" t="str">
        <f>IF(ISNUMBER(SEARCH($A23,VLOOKUP(MR$2,职业列表!$B$1:$G$370,6,0))),"★","")</f>
        <v/>
      </c>
      <c r="MS23" s="929" t="str">
        <f>IF(ISNUMBER(SEARCH($A23,VLOOKUP(MS$2,职业列表!$B$1:$G$370,6,0))),"★","")</f>
        <v/>
      </c>
      <c r="MT23" s="929" t="str">
        <f>IF(ISNUMBER(SEARCH($A23,VLOOKUP(MT$2,职业列表!$B$1:$G$370,6,0))),"★","")</f>
        <v/>
      </c>
      <c r="MU23" s="929" t="str">
        <f>IF(ISNUMBER(SEARCH($A23,VLOOKUP(MU$2,职业列表!$B$1:$G$370,6,0))),"★","")</f>
        <v/>
      </c>
      <c r="MV23" s="929" t="str">
        <f>IF(ISNUMBER(SEARCH($A23,VLOOKUP(MV$2,职业列表!$B$1:$G$370,6,0))),"★","")</f>
        <v/>
      </c>
      <c r="MW23" s="929" t="str">
        <f>IF(ISNUMBER(SEARCH($A23,VLOOKUP(MW$2,职业列表!$B$1:$G$370,6,0))),"★","")</f>
        <v/>
      </c>
      <c r="MX23" s="929" t="str">
        <f>IF(ISNUMBER(SEARCH($A23,VLOOKUP(MX$2,职业列表!$B$1:$G$370,6,0))),"★","")</f>
        <v/>
      </c>
      <c r="MY23" s="929" t="str">
        <f>IF(ISNUMBER(SEARCH($A23,VLOOKUP(MY$2,职业列表!$B$1:$G$370,6,0))),"★","")</f>
        <v/>
      </c>
      <c r="MZ23" s="929" t="str">
        <f>IF(ISNUMBER(SEARCH($A23,VLOOKUP(MZ$2,职业列表!$B$1:$G$370,6,0))),"★","")</f>
        <v/>
      </c>
      <c r="NA23" s="929" t="str">
        <f>IF(ISNUMBER(SEARCH($A23,VLOOKUP(NA$2,职业列表!$B$1:$G$370,6,0))),"★","")</f>
        <v/>
      </c>
      <c r="NB23" s="929" t="str">
        <f>IF(ISNUMBER(SEARCH($A23,VLOOKUP(NB$2,职业列表!$B$1:$G$370,6,0))),"★","")</f>
        <v/>
      </c>
      <c r="NC23" s="929" t="str">
        <f>IF(ISNUMBER(SEARCH($A23,VLOOKUP(NC$2,职业列表!$B$1:$G$370,6,0))),"★","")</f>
        <v/>
      </c>
      <c r="ND23" s="929" t="str">
        <f>IF(ISNUMBER(SEARCH($A23,VLOOKUP(ND$2,职业列表!$B$1:$G$370,6,0))),"★","")</f>
        <v/>
      </c>
      <c r="NE23" s="929" t="str">
        <f>IF(ISNUMBER(SEARCH($A23,VLOOKUP(NE$2,职业列表!$B$1:$G$370,6,0))),"★","")</f>
        <v/>
      </c>
    </row>
    <row r="24" customFormat="1" spans="1:369">
      <c r="A24" s="944" t="s">
        <v>116</v>
      </c>
      <c r="B24" s="945" t="str">
        <f>IF(OR(A24="说服",A24="话术",A24="取悦",A24="恐吓"),"☯",IF(ISNUMBER(SEARCH(A24,VLOOKUP(IX$2,职业列表!$B$1:$G$370,6,0))),"★",""))</f>
        <v>☯</v>
      </c>
      <c r="C24" s="945" t="str">
        <f>IF(ISTEXT(IFERROR(VLOOKUP(A24,职业列表!I3:J10,1,FALSE),0)),"★","")</f>
        <v/>
      </c>
      <c r="D24" s="945"/>
      <c r="E24" s="945"/>
      <c r="F24" s="945" t="s">
        <v>2718</v>
      </c>
      <c r="G24" s="945" t="s">
        <v>2718</v>
      </c>
      <c r="H24" s="945" t="s">
        <v>2718</v>
      </c>
      <c r="I24" s="945"/>
      <c r="J24" s="945"/>
      <c r="K24" s="945" t="s">
        <v>2718</v>
      </c>
      <c r="L24" s="945" t="s">
        <v>2718</v>
      </c>
      <c r="M24" s="945"/>
      <c r="N24" s="945"/>
      <c r="O24" s="945" t="s">
        <v>2718</v>
      </c>
      <c r="P24" s="945" t="s">
        <v>2718</v>
      </c>
      <c r="Q24" s="945" t="s">
        <v>2718</v>
      </c>
      <c r="R24" s="945"/>
      <c r="S24" s="945" t="s">
        <v>2718</v>
      </c>
      <c r="T24" s="945"/>
      <c r="U24" s="945" t="s">
        <v>2718</v>
      </c>
      <c r="V24" s="945" t="s">
        <v>2718</v>
      </c>
      <c r="W24" s="945"/>
      <c r="X24" s="945"/>
      <c r="Y24" s="945" t="s">
        <v>2718</v>
      </c>
      <c r="Z24" s="945"/>
      <c r="AA24" s="945" t="s">
        <v>2718</v>
      </c>
      <c r="AB24" s="945"/>
      <c r="AC24" s="945"/>
      <c r="AD24" s="945"/>
      <c r="AE24" s="945"/>
      <c r="AF24" s="945" t="s">
        <v>2718</v>
      </c>
      <c r="AG24" s="945"/>
      <c r="AH24" s="945" t="s">
        <v>2718</v>
      </c>
      <c r="AI24" s="945" t="s">
        <v>2718</v>
      </c>
      <c r="AJ24" s="945" t="s">
        <v>2718</v>
      </c>
      <c r="AK24" s="945" t="s">
        <v>2718</v>
      </c>
      <c r="AL24" s="945"/>
      <c r="AM24" s="945" t="s">
        <v>2718</v>
      </c>
      <c r="AN24" s="945" t="s">
        <v>2718</v>
      </c>
      <c r="AO24" s="945" t="s">
        <v>2718</v>
      </c>
      <c r="AP24" s="945" t="s">
        <v>2718</v>
      </c>
      <c r="AQ24" s="964"/>
      <c r="AR24" s="945" t="s">
        <v>2718</v>
      </c>
      <c r="AS24" s="945"/>
      <c r="AT24" s="945"/>
      <c r="AU24" s="945" t="s">
        <v>2718</v>
      </c>
      <c r="AV24" s="945" t="s">
        <v>2718</v>
      </c>
      <c r="AW24" s="945" t="s">
        <v>2718</v>
      </c>
      <c r="AX24" s="945" t="s">
        <v>74</v>
      </c>
      <c r="AY24" s="945" t="s">
        <v>2718</v>
      </c>
      <c r="AZ24" s="945" t="s">
        <v>74</v>
      </c>
      <c r="BA24" s="945"/>
      <c r="BB24" s="945" t="s">
        <v>2718</v>
      </c>
      <c r="BC24" s="945"/>
      <c r="BD24" s="945" t="s">
        <v>2718</v>
      </c>
      <c r="BE24" s="945"/>
      <c r="BF24" s="945"/>
      <c r="BG24" s="945" t="s">
        <v>2718</v>
      </c>
      <c r="BH24" s="945"/>
      <c r="BI24" s="945" t="s">
        <v>2718</v>
      </c>
      <c r="BJ24" s="945" t="s">
        <v>2718</v>
      </c>
      <c r="BK24" s="945" t="s">
        <v>2718</v>
      </c>
      <c r="BL24" s="945" t="s">
        <v>2718</v>
      </c>
      <c r="BM24" s="945"/>
      <c r="BN24" s="945" t="s">
        <v>2718</v>
      </c>
      <c r="BO24" s="945" t="s">
        <v>2718</v>
      </c>
      <c r="BP24" s="945" t="s">
        <v>2718</v>
      </c>
      <c r="BQ24" s="945"/>
      <c r="BR24" s="945"/>
      <c r="BS24" s="945"/>
      <c r="BT24" s="945"/>
      <c r="BU24" s="964"/>
      <c r="BV24" s="945" t="s">
        <v>2718</v>
      </c>
      <c r="BW24" s="945"/>
      <c r="BX24" s="945"/>
      <c r="BY24" s="945" t="s">
        <v>2718</v>
      </c>
      <c r="BZ24" s="945" t="s">
        <v>2718</v>
      </c>
      <c r="CA24" s="945"/>
      <c r="CB24" s="945"/>
      <c r="CC24" s="945" t="s">
        <v>2718</v>
      </c>
      <c r="CD24" s="945" t="s">
        <v>2718</v>
      </c>
      <c r="CE24" s="945" t="s">
        <v>2718</v>
      </c>
      <c r="CF24" s="945"/>
      <c r="CG24" s="945"/>
      <c r="CH24" s="945" t="s">
        <v>2718</v>
      </c>
      <c r="CI24" s="945" t="s">
        <v>2718</v>
      </c>
      <c r="CJ24" s="945" t="s">
        <v>2718</v>
      </c>
      <c r="CK24" s="945"/>
      <c r="CL24" s="945"/>
      <c r="CM24" s="945" t="s">
        <v>2718</v>
      </c>
      <c r="CN24" s="945" t="s">
        <v>2718</v>
      </c>
      <c r="CO24" s="945" t="s">
        <v>2718</v>
      </c>
      <c r="CP24" s="945"/>
      <c r="CQ24" s="945"/>
      <c r="CR24" s="945" t="s">
        <v>2718</v>
      </c>
      <c r="CS24" s="945"/>
      <c r="CT24" s="945"/>
      <c r="CU24" s="945" t="s">
        <v>2718</v>
      </c>
      <c r="CV24" s="945"/>
      <c r="CW24" s="945" t="s">
        <v>2718</v>
      </c>
      <c r="CX24" s="945" t="s">
        <v>2718</v>
      </c>
      <c r="CY24" s="945" t="s">
        <v>2718</v>
      </c>
      <c r="CZ24" s="945" t="s">
        <v>2718</v>
      </c>
      <c r="DA24" s="945" t="s">
        <v>2718</v>
      </c>
      <c r="DB24" s="945"/>
      <c r="DC24" s="945" t="s">
        <v>2718</v>
      </c>
      <c r="DD24" s="945"/>
      <c r="DE24" s="945"/>
      <c r="DF24" s="945"/>
      <c r="DG24" s="945" t="s">
        <v>2718</v>
      </c>
      <c r="DH24" s="945" t="s">
        <v>2718</v>
      </c>
      <c r="DI24" s="945" t="s">
        <v>2718</v>
      </c>
      <c r="DJ24" s="945" t="s">
        <v>2718</v>
      </c>
      <c r="DK24" s="945" t="s">
        <v>2718</v>
      </c>
      <c r="DL24" s="945" t="s">
        <v>2718</v>
      </c>
      <c r="DM24" s="945"/>
      <c r="DN24" s="945" t="s">
        <v>74</v>
      </c>
      <c r="DO24" s="945" t="s">
        <v>2718</v>
      </c>
      <c r="DP24" s="945" t="s">
        <v>2718</v>
      </c>
      <c r="DQ24" s="945" t="s">
        <v>2718</v>
      </c>
      <c r="DR24" s="945" t="s">
        <v>2718</v>
      </c>
      <c r="DS24" s="945" t="s">
        <v>2718</v>
      </c>
      <c r="DT24" s="945" t="s">
        <v>2718</v>
      </c>
      <c r="DU24" s="945" t="s">
        <v>2718</v>
      </c>
      <c r="DV24" s="945" t="s">
        <v>2718</v>
      </c>
      <c r="DW24" s="945" t="s">
        <v>2718</v>
      </c>
      <c r="DX24" s="945" t="s">
        <v>2718</v>
      </c>
      <c r="DY24" s="945" t="s">
        <v>2718</v>
      </c>
      <c r="DZ24" s="945" t="s">
        <v>2718</v>
      </c>
      <c r="EA24" s="945" t="s">
        <v>2718</v>
      </c>
      <c r="EB24" s="945" t="s">
        <v>2718</v>
      </c>
      <c r="EC24" s="945" t="s">
        <v>2718</v>
      </c>
      <c r="ED24" s="945"/>
      <c r="EE24" s="945" t="s">
        <v>2718</v>
      </c>
      <c r="EF24" s="945"/>
      <c r="EG24" s="945"/>
      <c r="EH24" s="945"/>
      <c r="EI24" s="945" t="s">
        <v>2718</v>
      </c>
      <c r="EJ24" s="945" t="s">
        <v>2718</v>
      </c>
      <c r="EK24" s="945" t="s">
        <v>2718</v>
      </c>
      <c r="EL24" s="945"/>
      <c r="EM24" s="945" t="s">
        <v>2718</v>
      </c>
      <c r="EN24" s="945"/>
      <c r="EO24" s="945" t="s">
        <v>2718</v>
      </c>
      <c r="EP24" s="945"/>
      <c r="EQ24" s="945" t="s">
        <v>74</v>
      </c>
      <c r="ER24" s="945" t="s">
        <v>2718</v>
      </c>
      <c r="ES24" s="945" t="s">
        <v>2718</v>
      </c>
      <c r="ET24" s="945" t="s">
        <v>2718</v>
      </c>
      <c r="EU24" s="945" t="s">
        <v>2718</v>
      </c>
      <c r="EV24" s="945" t="s">
        <v>2718</v>
      </c>
      <c r="EW24" s="945"/>
      <c r="EX24" s="945" t="s">
        <v>2718</v>
      </c>
      <c r="EY24" s="945" t="s">
        <v>2718</v>
      </c>
      <c r="EZ24" s="945"/>
      <c r="FA24" s="945" t="s">
        <v>2718</v>
      </c>
      <c r="FB24" s="945" t="s">
        <v>2718</v>
      </c>
      <c r="FC24" s="945"/>
      <c r="FD24" s="945" t="s">
        <v>74</v>
      </c>
      <c r="FE24" s="945" t="s">
        <v>2718</v>
      </c>
      <c r="FF24" s="945" t="s">
        <v>2718</v>
      </c>
      <c r="FG24" s="945" t="s">
        <v>2718</v>
      </c>
      <c r="FH24" s="945"/>
      <c r="FI24" s="945"/>
      <c r="FJ24" s="945" t="s">
        <v>2716</v>
      </c>
      <c r="FK24" s="945"/>
      <c r="FL24" s="945"/>
      <c r="FM24" s="945" t="s">
        <v>2718</v>
      </c>
      <c r="FN24" s="945" t="s">
        <v>74</v>
      </c>
      <c r="FO24" s="945"/>
      <c r="FP24" s="945"/>
      <c r="FQ24" s="945" t="s">
        <v>2718</v>
      </c>
      <c r="FR24" s="945" t="s">
        <v>2718</v>
      </c>
      <c r="FS24" s="945"/>
      <c r="FT24" s="945"/>
      <c r="FU24" s="945"/>
      <c r="FV24" s="945" t="s">
        <v>2718</v>
      </c>
      <c r="FW24" s="945"/>
      <c r="FX24" s="945"/>
      <c r="FY24" s="945" t="s">
        <v>2718</v>
      </c>
      <c r="FZ24" s="945"/>
      <c r="GA24" s="945"/>
      <c r="GB24" s="945" t="s">
        <v>2718</v>
      </c>
      <c r="GC24" s="945"/>
      <c r="GD24" s="945"/>
      <c r="GE24" s="945"/>
      <c r="GF24" s="945" t="s">
        <v>2718</v>
      </c>
      <c r="GG24" s="945" t="s">
        <v>2718</v>
      </c>
      <c r="GH24" s="945" t="s">
        <v>2718</v>
      </c>
      <c r="GI24" s="945" t="s">
        <v>2718</v>
      </c>
      <c r="GJ24" s="945"/>
      <c r="GK24" s="945" t="s">
        <v>74</v>
      </c>
      <c r="GL24" s="945" t="s">
        <v>74</v>
      </c>
      <c r="GM24" s="945" t="s">
        <v>74</v>
      </c>
      <c r="GN24" s="945" t="s">
        <v>2718</v>
      </c>
      <c r="GO24" s="945" t="s">
        <v>2718</v>
      </c>
      <c r="GP24" s="945" t="s">
        <v>2718</v>
      </c>
      <c r="GQ24" s="945" t="s">
        <v>2718</v>
      </c>
      <c r="GR24" s="945"/>
      <c r="GS24" s="945"/>
      <c r="GT24" s="945" t="s">
        <v>2718</v>
      </c>
      <c r="GU24" s="945"/>
      <c r="GV24" s="945"/>
      <c r="GW24" s="945" t="s">
        <v>2718</v>
      </c>
      <c r="GX24" s="945" t="s">
        <v>2718</v>
      </c>
      <c r="GY24" s="945" t="s">
        <v>2718</v>
      </c>
      <c r="GZ24" s="945" t="s">
        <v>2718</v>
      </c>
      <c r="HA24" s="945" t="s">
        <v>2718</v>
      </c>
      <c r="HB24" s="945"/>
      <c r="HC24" s="945" t="s">
        <v>2718</v>
      </c>
      <c r="HD24" s="945"/>
      <c r="HE24" s="945" t="s">
        <v>2718</v>
      </c>
      <c r="HF24" s="945"/>
      <c r="HG24" s="945" t="s">
        <v>2718</v>
      </c>
      <c r="HH24" s="946" t="s">
        <v>2718</v>
      </c>
      <c r="HI24" s="945"/>
      <c r="HJ24" s="946" t="s">
        <v>2718</v>
      </c>
      <c r="HK24" s="945" t="s">
        <v>2718</v>
      </c>
      <c r="HL24" s="945"/>
      <c r="HM24" s="946" t="s">
        <v>2718</v>
      </c>
      <c r="HN24" s="945" t="s">
        <v>2718</v>
      </c>
      <c r="HO24" s="945" t="s">
        <v>2718</v>
      </c>
      <c r="HP24" s="945" t="s">
        <v>2718</v>
      </c>
      <c r="HQ24" s="945"/>
      <c r="HR24" s="946" t="s">
        <v>2718</v>
      </c>
      <c r="HS24" s="946" t="s">
        <v>2718</v>
      </c>
      <c r="HT24" s="946" t="s">
        <v>2718</v>
      </c>
      <c r="HU24" s="945"/>
      <c r="HV24" s="945" t="s">
        <v>2718</v>
      </c>
      <c r="HW24" s="945"/>
      <c r="HX24" s="993" t="s">
        <v>2718</v>
      </c>
      <c r="HY24" s="945" t="s">
        <v>2718</v>
      </c>
      <c r="HZ24" s="945" t="s">
        <v>2718</v>
      </c>
      <c r="IA24" s="1016"/>
      <c r="IB24" s="1016"/>
      <c r="IC24" s="993" t="s">
        <v>2718</v>
      </c>
      <c r="ID24" s="993" t="s">
        <v>2718</v>
      </c>
      <c r="IE24" s="1016"/>
      <c r="IF24" s="993" t="s">
        <v>2718</v>
      </c>
      <c r="IG24" s="945" t="s">
        <v>2718</v>
      </c>
      <c r="IH24" s="1016"/>
      <c r="II24" s="1016"/>
      <c r="IJ24" s="1016"/>
      <c r="IK24" s="1016"/>
      <c r="IL24" s="1016"/>
      <c r="IM24" s="1016"/>
      <c r="IN24" s="1016"/>
      <c r="IO24" s="1016"/>
      <c r="IP24" s="993" t="s">
        <v>2718</v>
      </c>
      <c r="IQ24" s="993" t="s">
        <v>2718</v>
      </c>
      <c r="IR24" s="1016"/>
      <c r="IS24" s="945" t="s">
        <v>2718</v>
      </c>
      <c r="IT24" s="945" t="s">
        <v>2718</v>
      </c>
      <c r="IU24" s="945" t="s">
        <v>2718</v>
      </c>
      <c r="IV24" s="945" t="s">
        <v>2718</v>
      </c>
      <c r="IW24" s="1040"/>
      <c r="IX24" s="929" t="str">
        <f>IF(ISNUMBER(SEARCH($A24,VLOOKUP(IX$2,职业列表!$B$1:$G$370,6,0))),"★","")</f>
        <v>★</v>
      </c>
      <c r="IY24" s="929" t="str">
        <f>IF(ISNUMBER(SEARCH($A24,VLOOKUP(IY$2,职业列表!$B$1:$G$370,6,0))),"★","")</f>
        <v>★</v>
      </c>
      <c r="IZ24" s="929" t="str">
        <f>IF(ISNUMBER(SEARCH($A24,VLOOKUP(IZ$2,职业列表!$B$1:$G$370,6,0))),"★","")</f>
        <v/>
      </c>
      <c r="JA24" s="929" t="str">
        <f>IF(ISNUMBER(SEARCH($A24,VLOOKUP(JA$2,职业列表!$B$1:$G$370,6,0))),"★","")</f>
        <v/>
      </c>
      <c r="JB24" s="929" t="str">
        <f>IF(ISNUMBER(SEARCH($A24,VLOOKUP(JB$2,职业列表!$B$1:$G$370,6,0))),"★","")</f>
        <v/>
      </c>
      <c r="JC24" s="929" t="str">
        <f>IF(ISNUMBER(SEARCH($A24,VLOOKUP(JC$2,职业列表!$B$1:$G$370,6,0))),"★","")</f>
        <v/>
      </c>
      <c r="JD24" s="929" t="str">
        <f>IF(ISNUMBER(SEARCH($A24,VLOOKUP(JD$2,职业列表!$B$1:$G$370,6,0))),"★","")</f>
        <v>★</v>
      </c>
      <c r="JE24" s="929" t="str">
        <f>IF(ISNUMBER(SEARCH($A24,VLOOKUP(JE$2,职业列表!$B$1:$G$370,6,0))),"★","")</f>
        <v/>
      </c>
      <c r="JF24" s="929" t="str">
        <f>IF(ISNUMBER(SEARCH($A24,VLOOKUP(JF$2,职业列表!$B$1:$G$370,6,0))),"★","")</f>
        <v/>
      </c>
      <c r="JG24" s="929" t="str">
        <f>IF(ISNUMBER(SEARCH($A24,VLOOKUP(JG$2,职业列表!$B$1:$G$370,6,0))),"★","")</f>
        <v/>
      </c>
      <c r="JH24" s="929" t="str">
        <f>IF(ISNUMBER(SEARCH($A24,VLOOKUP(JH$2,职业列表!$B$1:$G$370,6,0))),"★","")</f>
        <v/>
      </c>
      <c r="JI24" s="929" t="str">
        <f>IF(ISNUMBER(SEARCH($A24,VLOOKUP(JI$2,职业列表!$B$1:$G$370,6,0))),"★","")</f>
        <v/>
      </c>
      <c r="JJ24" s="929" t="str">
        <f>IF(ISNUMBER(SEARCH($A24,VLOOKUP(JJ$2,职业列表!$B$1:$G$370,6,0))),"★","")</f>
        <v/>
      </c>
      <c r="JK24" s="929" t="str">
        <f>IF(ISNUMBER(SEARCH($A24,VLOOKUP(JK$2,职业列表!$B$1:$G$370,6,0))),"★","")</f>
        <v>★</v>
      </c>
      <c r="JL24" s="929" t="str">
        <f>IF(ISNUMBER(SEARCH($A24,VLOOKUP(JL$2,职业列表!$B$1:$G$370,6,0))),"★","")</f>
        <v/>
      </c>
      <c r="JM24" s="929" t="str">
        <f>IF(ISNUMBER(SEARCH($A24,VLOOKUP(JM$2,职业列表!$B$1:$G$370,6,0))),"★","")</f>
        <v>★</v>
      </c>
      <c r="JN24" s="929" t="str">
        <f>IF(ISNUMBER(SEARCH($A24,VLOOKUP(JN$2,职业列表!$B$1:$G$370,6,0))),"★","")</f>
        <v/>
      </c>
      <c r="JO24" s="929" t="str">
        <f>IF(ISNUMBER(SEARCH($A24,VLOOKUP(JO$2,职业列表!$B$1:$G$370,6,0))),"★","")</f>
        <v/>
      </c>
      <c r="JP24" s="929" t="str">
        <f>IF(ISNUMBER(SEARCH($A24,VLOOKUP(JP$2,职业列表!$B$1:$G$370,6,0))),"★","")</f>
        <v/>
      </c>
      <c r="JQ24" s="929" t="str">
        <f>IF(ISNUMBER(SEARCH($A24,VLOOKUP(JQ$2,职业列表!$B$1:$G$370,6,0))),"★","")</f>
        <v/>
      </c>
      <c r="JR24" s="929" t="str">
        <f>IF(ISNUMBER(SEARCH($A24,VLOOKUP(JR$2,职业列表!$B$1:$G$370,6,0))),"★","")</f>
        <v>★</v>
      </c>
      <c r="JS24" s="929" t="str">
        <f>IF(ISNUMBER(SEARCH($A24,VLOOKUP(JS$2,职业列表!$B$1:$G$370,6,0))),"★","")</f>
        <v/>
      </c>
      <c r="JT24" s="929" t="str">
        <f>IF(ISNUMBER(SEARCH($A24,VLOOKUP(JT$2,职业列表!$B$1:$G$370,6,0))),"★","")</f>
        <v/>
      </c>
      <c r="JU24" s="929" t="str">
        <f>IF(ISNUMBER(SEARCH($A24,VLOOKUP(JU$2,职业列表!$B$1:$G$370,6,0))),"★","")</f>
        <v/>
      </c>
      <c r="JV24" s="929" t="str">
        <f>IF(ISNUMBER(SEARCH($A24,VLOOKUP(JV$2,职业列表!$B$1:$G$370,6,0))),"★","")</f>
        <v/>
      </c>
      <c r="JW24" s="929" t="str">
        <f>IF(ISNUMBER(SEARCH($A24,VLOOKUP(JW$2,职业列表!$B$1:$G$370,6,0))),"★","")</f>
        <v/>
      </c>
      <c r="JX24" s="929" t="str">
        <f>IF(ISNUMBER(SEARCH($A24,VLOOKUP(JX$2,职业列表!$B$1:$G$370,6,0))),"★","")</f>
        <v/>
      </c>
      <c r="JY24" s="929" t="str">
        <f>IF(ISNUMBER(SEARCH($A24,VLOOKUP(JY$2,职业列表!$B$1:$G$370,6,0))),"★","")</f>
        <v/>
      </c>
      <c r="JZ24" s="929" t="str">
        <f>IF(ISNUMBER(SEARCH($A24,VLOOKUP(JZ$2,职业列表!$B$1:$G$370,6,0))),"★","")</f>
        <v/>
      </c>
      <c r="KA24" s="929" t="str">
        <f>IF(ISNUMBER(SEARCH($A24,VLOOKUP(KA$2,职业列表!$B$1:$G$370,6,0))),"★","")</f>
        <v/>
      </c>
      <c r="KB24" s="929" t="str">
        <f>IF(ISNUMBER(SEARCH($A24,VLOOKUP(KB$2,职业列表!$B$1:$G$370,6,0))),"★","")</f>
        <v/>
      </c>
      <c r="KC24" s="929" t="str">
        <f>IF(ISNUMBER(SEARCH($A24,VLOOKUP(KC$2,职业列表!$B$1:$G$370,6,0))),"★","")</f>
        <v/>
      </c>
      <c r="KD24" s="929" t="str">
        <f>IF(ISNUMBER(SEARCH($A24,VLOOKUP(KD$2,职业列表!$B$1:$G$370,6,0))),"★","")</f>
        <v/>
      </c>
      <c r="KE24" s="929" t="str">
        <f>IF(ISNUMBER(SEARCH($A24,VLOOKUP(KE$2,职业列表!$B$1:$G$370,6,0))),"★","")</f>
        <v>★</v>
      </c>
      <c r="KF24" s="929" t="str">
        <f>IF(ISNUMBER(SEARCH($A24,VLOOKUP(KF$2,职业列表!$B$1:$G$370,6,0))),"★","")</f>
        <v/>
      </c>
      <c r="KG24" s="929" t="str">
        <f>IF(ISNUMBER(SEARCH($A24,VLOOKUP(KG$2,职业列表!$B$1:$G$370,6,0))),"★","")</f>
        <v>★</v>
      </c>
      <c r="KH24" s="929" t="str">
        <f>IF(ISNUMBER(SEARCH($A24,VLOOKUP(KH$2,职业列表!$B$1:$G$370,6,0))),"★","")</f>
        <v/>
      </c>
      <c r="KI24" s="929" t="str">
        <f>IF(ISNUMBER(SEARCH($A24,VLOOKUP(KI$2,职业列表!$B$1:$G$370,6,0))),"★","")</f>
        <v/>
      </c>
      <c r="KJ24" s="929" t="str">
        <f>IF(ISNUMBER(SEARCH($A24,VLOOKUP(KJ$2,职业列表!$B$1:$G$370,6,0))),"★","")</f>
        <v>★</v>
      </c>
      <c r="KK24" s="929" t="str">
        <f>IF(ISNUMBER(SEARCH($A24,VLOOKUP(KK$2,职业列表!$B$1:$G$370,6,0))),"★","")</f>
        <v/>
      </c>
      <c r="KL24" s="929" t="str">
        <f>IF(ISNUMBER(SEARCH($A24,VLOOKUP(KL$2,职业列表!$B$1:$G$370,6,0))),"★","")</f>
        <v/>
      </c>
      <c r="KM24" s="929" t="str">
        <f>IF(ISNUMBER(SEARCH($A24,VLOOKUP(KM$2,职业列表!$B$1:$G$370,6,0))),"★","")</f>
        <v/>
      </c>
      <c r="KN24" s="929" t="str">
        <f>IF(ISNUMBER(SEARCH($A24,VLOOKUP(KN$2,职业列表!$B$1:$G$370,6,0))),"★","")</f>
        <v/>
      </c>
      <c r="KO24" s="929" t="str">
        <f>IF(ISNUMBER(SEARCH($A24,VLOOKUP(KO$2,职业列表!$B$1:$G$370,6,0))),"★","")</f>
        <v/>
      </c>
      <c r="KP24" s="929" t="str">
        <f>IF(ISNUMBER(SEARCH($A24,VLOOKUP(KP$2,职业列表!$B$1:$G$370,6,0))),"★","")</f>
        <v>★</v>
      </c>
      <c r="KQ24" s="929" t="str">
        <f>IF(ISNUMBER(SEARCH($A24,VLOOKUP(KQ$2,职业列表!$B$1:$G$370,6,0))),"★","")</f>
        <v/>
      </c>
      <c r="KR24" s="929" t="str">
        <f>IF(ISNUMBER(SEARCH($A24,VLOOKUP(KR$2,职业列表!$B$1:$G$370,6,0))),"★","")</f>
        <v/>
      </c>
      <c r="KS24" s="929" t="str">
        <f>IF(ISNUMBER(SEARCH($A24,VLOOKUP(KS$2,职业列表!$B$1:$G$370,6,0))),"★","")</f>
        <v/>
      </c>
      <c r="KT24" s="929" t="str">
        <f>IF(ISNUMBER(SEARCH($A24,VLOOKUP(KT$2,职业列表!$B$1:$G$370,6,0))),"★","")</f>
        <v>★</v>
      </c>
      <c r="KU24" s="929" t="str">
        <f>IF(ISNUMBER(SEARCH($A24,VLOOKUP(KU$2,职业列表!$B$1:$G$370,6,0))),"★","")</f>
        <v/>
      </c>
      <c r="KV24" s="929" t="str">
        <f>IF(ISNUMBER(SEARCH($A24,VLOOKUP(KV$2,职业列表!$B$1:$G$370,6,0))),"★","")</f>
        <v/>
      </c>
      <c r="KW24" s="929" t="str">
        <f>IF(ISNUMBER(SEARCH($A24,VLOOKUP(KW$2,职业列表!$B$1:$G$370,6,0))),"★","")</f>
        <v/>
      </c>
      <c r="KX24" s="929" t="str">
        <f>IF(ISNUMBER(SEARCH($A24,VLOOKUP(KX$2,职业列表!$B$1:$G$370,6,0))),"★","")</f>
        <v/>
      </c>
      <c r="KY24" s="929" t="str">
        <f>IF(ISNUMBER(SEARCH($A24,VLOOKUP(KY$2,职业列表!$B$1:$G$370,6,0))),"★","")</f>
        <v/>
      </c>
      <c r="KZ24" s="929" t="str">
        <f>IF(ISNUMBER(SEARCH($A24,VLOOKUP(KZ$2,职业列表!$B$1:$G$370,6,0))),"★","")</f>
        <v/>
      </c>
      <c r="LA24" s="929" t="str">
        <f>IF(ISNUMBER(SEARCH($A24,VLOOKUP(LA$2,职业列表!$B$1:$G$370,6,0))),"★","")</f>
        <v/>
      </c>
      <c r="LB24" s="929" t="str">
        <f>IF(ISNUMBER(SEARCH($A24,VLOOKUP(LB$2,职业列表!$B$1:$G$370,6,0))),"★","")</f>
        <v>★</v>
      </c>
      <c r="LC24" s="929" t="str">
        <f>IF(ISNUMBER(SEARCH($A24,VLOOKUP(LC$2,职业列表!$B$1:$G$370,6,0))),"★","")</f>
        <v/>
      </c>
      <c r="LD24" s="929" t="str">
        <f>IF(ISNUMBER(SEARCH($A24,VLOOKUP(LD$2,职业列表!$B$1:$G$370,6,0))),"★","")</f>
        <v>★</v>
      </c>
      <c r="LE24" s="929" t="str">
        <f>IF(ISNUMBER(SEARCH($A24,VLOOKUP(LE$2,职业列表!$B$1:$G$370,6,0))),"★","")</f>
        <v>★</v>
      </c>
      <c r="LF24" s="929" t="str">
        <f>IF(ISNUMBER(SEARCH($A24,VLOOKUP(LF$2,职业列表!$B$1:$G$370,6,0))),"★","")</f>
        <v>★</v>
      </c>
      <c r="LG24" s="929" t="str">
        <f>IF(ISNUMBER(SEARCH($A24,VLOOKUP(LG$2,职业列表!$B$1:$G$370,6,0))),"★","")</f>
        <v/>
      </c>
      <c r="LH24" s="929" t="str">
        <f>IF(ISNUMBER(SEARCH($A24,VLOOKUP(LH$2,职业列表!$B$1:$G$370,6,0))),"★","")</f>
        <v/>
      </c>
      <c r="LI24" s="929" t="str">
        <f>IF(ISNUMBER(SEARCH($A24,VLOOKUP(LI$2,职业列表!$B$1:$G$370,6,0))),"★","")</f>
        <v/>
      </c>
      <c r="LJ24" s="929" t="str">
        <f>IF(ISNUMBER(SEARCH($A24,VLOOKUP(LJ$2,职业列表!$B$1:$G$370,6,0))),"★","")</f>
        <v/>
      </c>
      <c r="LK24" s="929" t="str">
        <f>IF(ISNUMBER(SEARCH($A24,VLOOKUP(LK$2,职业列表!$B$1:$G$370,6,0))),"★","")</f>
        <v/>
      </c>
      <c r="LL24" s="929" t="str">
        <f>IF(ISNUMBER(SEARCH($A24,VLOOKUP(LL$2,职业列表!$B$1:$G$370,6,0))),"★","")</f>
        <v>★</v>
      </c>
      <c r="LM24" s="929" t="str">
        <f>IF(ISNUMBER(SEARCH($A24,VLOOKUP(LM$2,职业列表!$B$1:$G$370,6,0))),"★","")</f>
        <v/>
      </c>
      <c r="LN24" s="929" t="str">
        <f>IF(ISNUMBER(SEARCH($A24,VLOOKUP(LN$2,职业列表!$B$1:$G$370,6,0))),"★","")</f>
        <v/>
      </c>
      <c r="LO24" s="929" t="str">
        <f>IF(ISNUMBER(SEARCH($A24,VLOOKUP(LO$2,职业列表!$B$1:$G$370,6,0))),"★","")</f>
        <v/>
      </c>
      <c r="LP24" s="929" t="str">
        <f>IF(ISNUMBER(SEARCH($A24,VLOOKUP(LP$2,职业列表!$B$1:$G$370,6,0))),"★","")</f>
        <v/>
      </c>
      <c r="LQ24" s="929" t="str">
        <f>IF(ISNUMBER(SEARCH($A24,VLOOKUP(LQ$2,职业列表!$B$1:$G$370,6,0))),"★","")</f>
        <v/>
      </c>
      <c r="LR24" s="929" t="str">
        <f>IF(ISNUMBER(SEARCH($A24,VLOOKUP(LR$2,职业列表!$B$1:$G$370,6,0))),"★","")</f>
        <v/>
      </c>
      <c r="LS24" s="929" t="str">
        <f>IF(ISNUMBER(SEARCH($A24,VLOOKUP(LS$2,职业列表!$B$1:$G$370,6,0))),"★","")</f>
        <v/>
      </c>
      <c r="LT24" s="929" t="str">
        <f>IF(ISNUMBER(SEARCH($A24,VLOOKUP(LT$2,职业列表!$B$1:$G$370,6,0))),"★","")</f>
        <v/>
      </c>
      <c r="LU24" s="929" t="str">
        <f>IF(ISNUMBER(SEARCH($A24,VLOOKUP(LU$2,职业列表!$B$1:$G$370,6,0))),"★","")</f>
        <v/>
      </c>
      <c r="LV24" s="929" t="str">
        <f>IF(ISNUMBER(SEARCH($A24,VLOOKUP(LV$2,职业列表!$B$1:$G$370,6,0))),"★","")</f>
        <v>★</v>
      </c>
      <c r="LW24" s="929" t="str">
        <f>IF(ISNUMBER(SEARCH($A24,VLOOKUP(LW$2,职业列表!$B$1:$G$370,6,0))),"★","")</f>
        <v/>
      </c>
      <c r="LX24" s="929" t="str">
        <f>IF(ISNUMBER(SEARCH($A24,VLOOKUP(LX$2,职业列表!$B$1:$G$370,6,0))),"★","")</f>
        <v/>
      </c>
      <c r="LY24" s="929" t="str">
        <f>IF(ISNUMBER(SEARCH($A24,VLOOKUP(LY$2,职业列表!$B$1:$G$370,6,0))),"★","")</f>
        <v/>
      </c>
      <c r="LZ24" s="929" t="str">
        <f>IF(ISNUMBER(SEARCH($A24,VLOOKUP(LZ$2,职业列表!$B$1:$G$370,6,0))),"★","")</f>
        <v/>
      </c>
      <c r="MA24" s="929" t="str">
        <f>IF(ISNUMBER(SEARCH($A24,VLOOKUP(MA$2,职业列表!$B$1:$G$370,6,0))),"★","")</f>
        <v/>
      </c>
      <c r="MB24" s="929" t="str">
        <f>IF(ISNUMBER(SEARCH($A24,VLOOKUP(MB$2,职业列表!$B$1:$G$370,6,0))),"★","")</f>
        <v/>
      </c>
      <c r="MC24" s="929" t="str">
        <f>IF(ISNUMBER(SEARCH($A24,VLOOKUP(MC$2,职业列表!$B$1:$G$370,6,0))),"★","")</f>
        <v>★</v>
      </c>
      <c r="MD24" s="929" t="str">
        <f>IF(ISNUMBER(SEARCH($A24,VLOOKUP(MD$2,职业列表!$B$1:$G$370,6,0))),"★","")</f>
        <v/>
      </c>
      <c r="ME24" s="929" t="str">
        <f>IF(ISNUMBER(SEARCH($A24,VLOOKUP(ME$2,职业列表!$B$1:$G$370,6,0))),"★","")</f>
        <v>★</v>
      </c>
      <c r="MF24" s="929" t="str">
        <f>IF(ISNUMBER(SEARCH($A24,VLOOKUP(MF$2,职业列表!$B$1:$G$370,6,0))),"★","")</f>
        <v>★</v>
      </c>
      <c r="MG24" s="929" t="str">
        <f>IF(ISNUMBER(SEARCH($A24,VLOOKUP(MG$2,职业列表!$B$1:$G$370,6,0))),"★","")</f>
        <v/>
      </c>
      <c r="MH24" s="929" t="str">
        <f>IF(ISNUMBER(SEARCH($A24,VLOOKUP(MH$2,职业列表!$B$1:$G$370,6,0))),"★","")</f>
        <v/>
      </c>
      <c r="MI24" s="929" t="str">
        <f>IF(ISNUMBER(SEARCH($A24,VLOOKUP(MI$2,职业列表!$B$1:$G$370,6,0))),"★","")</f>
        <v/>
      </c>
      <c r="MJ24" s="929" t="str">
        <f>IF(ISNUMBER(SEARCH($A24,VLOOKUP(MJ$2,职业列表!$B$1:$G$370,6,0))),"★","")</f>
        <v/>
      </c>
      <c r="MK24" s="929" t="str">
        <f>IF(ISNUMBER(SEARCH($A24,VLOOKUP(MK$2,职业列表!$B$1:$G$370,6,0))),"★","")</f>
        <v/>
      </c>
      <c r="ML24" s="929" t="str">
        <f>IF(ISNUMBER(SEARCH($A24,VLOOKUP(ML$2,职业列表!$B$1:$G$370,6,0))),"★","")</f>
        <v/>
      </c>
      <c r="MM24" s="929" t="str">
        <f>IF(ISNUMBER(SEARCH($A24,VLOOKUP(MM$2,职业列表!$B$1:$G$370,6,0))),"★","")</f>
        <v>★</v>
      </c>
      <c r="MN24" s="929" t="str">
        <f>IF(ISNUMBER(SEARCH($A24,VLOOKUP(MN$2,职业列表!$B$1:$G$370,6,0))),"★","")</f>
        <v/>
      </c>
      <c r="MO24" s="929" t="str">
        <f>IF(ISNUMBER(SEARCH($A24,VLOOKUP(MO$2,职业列表!$B$1:$G$370,6,0))),"★","")</f>
        <v/>
      </c>
      <c r="MP24" s="929" t="str">
        <f>IF(ISNUMBER(SEARCH($A24,VLOOKUP(MP$2,职业列表!$B$1:$G$370,6,0))),"★","")</f>
        <v/>
      </c>
      <c r="MQ24" s="929" t="str">
        <f>IF(ISNUMBER(SEARCH($A24,VLOOKUP(MQ$2,职业列表!$B$1:$G$370,6,0))),"★","")</f>
        <v>★</v>
      </c>
      <c r="MR24" s="929" t="str">
        <f>IF(ISNUMBER(SEARCH($A24,VLOOKUP(MR$2,职业列表!$B$1:$G$370,6,0))),"★","")</f>
        <v>★</v>
      </c>
      <c r="MS24" s="929" t="str">
        <f>IF(ISNUMBER(SEARCH($A24,VLOOKUP(MS$2,职业列表!$B$1:$G$370,6,0))),"★","")</f>
        <v/>
      </c>
      <c r="MT24" s="929" t="str">
        <f>IF(ISNUMBER(SEARCH($A24,VLOOKUP(MT$2,职业列表!$B$1:$G$370,6,0))),"★","")</f>
        <v/>
      </c>
      <c r="MU24" s="929" t="str">
        <f>IF(ISNUMBER(SEARCH($A24,VLOOKUP(MU$2,职业列表!$B$1:$G$370,6,0))),"★","")</f>
        <v/>
      </c>
      <c r="MV24" s="929" t="str">
        <f>IF(ISNUMBER(SEARCH($A24,VLOOKUP(MV$2,职业列表!$B$1:$G$370,6,0))),"★","")</f>
        <v/>
      </c>
      <c r="MW24" s="929" t="str">
        <f>IF(ISNUMBER(SEARCH($A24,VLOOKUP(MW$2,职业列表!$B$1:$G$370,6,0))),"★","")</f>
        <v/>
      </c>
      <c r="MX24" s="929" t="str">
        <f>IF(ISNUMBER(SEARCH($A24,VLOOKUP(MX$2,职业列表!$B$1:$G$370,6,0))),"★","")</f>
        <v>★</v>
      </c>
      <c r="MY24" s="929" t="str">
        <f>IF(ISNUMBER(SEARCH($A24,VLOOKUP(MY$2,职业列表!$B$1:$G$370,6,0))),"★","")</f>
        <v/>
      </c>
      <c r="MZ24" s="929" t="str">
        <f>IF(ISNUMBER(SEARCH($A24,VLOOKUP(MZ$2,职业列表!$B$1:$G$370,6,0))),"★","")</f>
        <v/>
      </c>
      <c r="NA24" s="929" t="str">
        <f>IF(ISNUMBER(SEARCH($A24,VLOOKUP(NA$2,职业列表!$B$1:$G$370,6,0))),"★","")</f>
        <v/>
      </c>
      <c r="NB24" s="929" t="str">
        <f>IF(ISNUMBER(SEARCH($A24,VLOOKUP(NB$2,职业列表!$B$1:$G$370,6,0))),"★","")</f>
        <v>★</v>
      </c>
      <c r="NC24" s="929" t="str">
        <f>IF(ISNUMBER(SEARCH($A24,VLOOKUP(NC$2,职业列表!$B$1:$G$370,6,0))),"★","")</f>
        <v/>
      </c>
      <c r="ND24" s="929" t="str">
        <f>IF(ISNUMBER(SEARCH($A24,VLOOKUP(ND$2,职业列表!$B$1:$G$370,6,0))),"★","")</f>
        <v/>
      </c>
      <c r="NE24" s="929" t="str">
        <f>IF(ISNUMBER(SEARCH($A24,VLOOKUP(NE$2,职业列表!$B$1:$G$370,6,0))),"★","")</f>
        <v/>
      </c>
    </row>
    <row r="25" customFormat="1" spans="1:369">
      <c r="A25" s="932" t="s">
        <v>119</v>
      </c>
      <c r="B25" s="948" t="str">
        <f>IF(OR(A25="说服",A25="话术",A25="取悦",A25="恐吓"),"☯",IF(ISNUMBER(SEARCH(A25,VLOOKUP(IX$2,职业列表!$B$1:$G$370,6,0))),"★",""))</f>
        <v/>
      </c>
      <c r="C25" s="939" t="str">
        <f>IF(ISTEXT(IFERROR(VLOOKUP(A25,职业列表!I3:J10,1,FALSE),0)),"★","")</f>
        <v/>
      </c>
      <c r="D25" s="948"/>
      <c r="E25" s="948"/>
      <c r="F25" s="948" t="s">
        <v>74</v>
      </c>
      <c r="G25" s="948"/>
      <c r="H25" s="948" t="s">
        <v>74</v>
      </c>
      <c r="I25" s="948"/>
      <c r="J25" s="948"/>
      <c r="K25" s="948"/>
      <c r="L25" s="948"/>
      <c r="M25" s="948"/>
      <c r="N25" s="948"/>
      <c r="O25" s="948"/>
      <c r="P25" s="948" t="s">
        <v>74</v>
      </c>
      <c r="Q25" s="948" t="s">
        <v>74</v>
      </c>
      <c r="R25" s="948"/>
      <c r="S25" s="948" t="s">
        <v>74</v>
      </c>
      <c r="T25" s="948"/>
      <c r="U25" s="948"/>
      <c r="V25" s="961" t="s">
        <v>2717</v>
      </c>
      <c r="W25" s="948" t="s">
        <v>74</v>
      </c>
      <c r="X25" s="948"/>
      <c r="Y25" s="948"/>
      <c r="Z25" s="948"/>
      <c r="AA25" s="948"/>
      <c r="AB25" s="948" t="s">
        <v>2717</v>
      </c>
      <c r="AC25" s="948"/>
      <c r="AD25" s="948" t="s">
        <v>74</v>
      </c>
      <c r="AE25" s="948" t="s">
        <v>74</v>
      </c>
      <c r="AF25" s="948" t="s">
        <v>74</v>
      </c>
      <c r="AG25" s="948"/>
      <c r="AH25" s="948"/>
      <c r="AI25" s="948" t="s">
        <v>2717</v>
      </c>
      <c r="AJ25" s="948" t="s">
        <v>2716</v>
      </c>
      <c r="AK25" s="948"/>
      <c r="AL25" s="948"/>
      <c r="AM25" s="948"/>
      <c r="AN25" s="948" t="s">
        <v>74</v>
      </c>
      <c r="AO25" s="948"/>
      <c r="AP25" s="948" t="s">
        <v>2716</v>
      </c>
      <c r="AQ25" s="948"/>
      <c r="AR25" s="948"/>
      <c r="AS25" s="948"/>
      <c r="AT25" s="948"/>
      <c r="AU25" s="948"/>
      <c r="AV25" s="948"/>
      <c r="AW25" s="948"/>
      <c r="AX25" s="948"/>
      <c r="AY25" s="948"/>
      <c r="AZ25" s="948"/>
      <c r="BA25" s="948"/>
      <c r="BB25" s="948"/>
      <c r="BC25" s="948"/>
      <c r="BD25" s="948"/>
      <c r="BE25" s="948" t="s">
        <v>74</v>
      </c>
      <c r="BF25" s="948"/>
      <c r="BG25" s="948"/>
      <c r="BH25" s="948"/>
      <c r="BI25" s="948"/>
      <c r="BJ25" s="948" t="s">
        <v>74</v>
      </c>
      <c r="BK25" s="948" t="s">
        <v>74</v>
      </c>
      <c r="BL25" s="948"/>
      <c r="BM25" s="948"/>
      <c r="BN25" s="948" t="s">
        <v>74</v>
      </c>
      <c r="BO25" s="948"/>
      <c r="BP25" s="948"/>
      <c r="BQ25" s="948"/>
      <c r="BR25" s="948"/>
      <c r="BS25" s="948" t="s">
        <v>74</v>
      </c>
      <c r="BT25" s="948"/>
      <c r="BU25" s="948"/>
      <c r="BV25" s="948"/>
      <c r="BW25" s="948"/>
      <c r="BX25" s="948"/>
      <c r="BY25" s="948"/>
      <c r="BZ25" s="948"/>
      <c r="CA25" s="948"/>
      <c r="CB25" s="948"/>
      <c r="CC25" s="948"/>
      <c r="CD25" s="948"/>
      <c r="CE25" s="948"/>
      <c r="CF25" s="948"/>
      <c r="CG25" s="948"/>
      <c r="CH25" s="948"/>
      <c r="CI25" s="948"/>
      <c r="CJ25" s="948"/>
      <c r="CK25" s="948"/>
      <c r="CL25" s="948"/>
      <c r="CM25" s="948"/>
      <c r="CN25" s="961" t="s">
        <v>74</v>
      </c>
      <c r="CO25" s="948"/>
      <c r="CP25" s="948"/>
      <c r="CQ25" s="948"/>
      <c r="CR25" s="948"/>
      <c r="CS25" s="948"/>
      <c r="CT25" s="948"/>
      <c r="CU25" s="948"/>
      <c r="CV25" s="948" t="s">
        <v>74</v>
      </c>
      <c r="CW25" s="948"/>
      <c r="CX25" s="948"/>
      <c r="CY25" s="948"/>
      <c r="CZ25" s="948"/>
      <c r="DA25" s="948"/>
      <c r="DB25" s="948" t="s">
        <v>74</v>
      </c>
      <c r="DC25" s="948"/>
      <c r="DD25" s="948"/>
      <c r="DE25" s="948" t="s">
        <v>74</v>
      </c>
      <c r="DF25" s="948" t="s">
        <v>2716</v>
      </c>
      <c r="DG25" s="948"/>
      <c r="DH25" s="948" t="s">
        <v>74</v>
      </c>
      <c r="DI25" s="948"/>
      <c r="DJ25" s="948"/>
      <c r="DK25" s="948"/>
      <c r="DL25" s="948"/>
      <c r="DM25" s="948"/>
      <c r="DN25" s="948"/>
      <c r="DO25" s="948" t="s">
        <v>74</v>
      </c>
      <c r="DP25" s="948" t="s">
        <v>74</v>
      </c>
      <c r="DQ25" s="948" t="s">
        <v>74</v>
      </c>
      <c r="DR25" s="948" t="s">
        <v>74</v>
      </c>
      <c r="DS25" s="948"/>
      <c r="DT25" s="948"/>
      <c r="DU25" s="948"/>
      <c r="DV25" s="948"/>
      <c r="DW25" s="948"/>
      <c r="DX25" s="948"/>
      <c r="DY25" s="948" t="s">
        <v>74</v>
      </c>
      <c r="DZ25" s="948"/>
      <c r="EA25" s="948"/>
      <c r="EB25" s="948"/>
      <c r="EC25" s="948"/>
      <c r="ED25" s="948"/>
      <c r="EE25" s="948"/>
      <c r="EF25" s="948"/>
      <c r="EG25" s="948"/>
      <c r="EH25" s="948"/>
      <c r="EI25" s="948"/>
      <c r="EJ25" s="948"/>
      <c r="EK25" s="948"/>
      <c r="EL25" s="948"/>
      <c r="EM25" s="948" t="s">
        <v>74</v>
      </c>
      <c r="EN25" s="948"/>
      <c r="EO25" s="948"/>
      <c r="EP25" s="948"/>
      <c r="EQ25" s="948"/>
      <c r="ER25" s="948"/>
      <c r="ES25" s="948"/>
      <c r="ET25" s="948"/>
      <c r="EU25" s="948"/>
      <c r="EV25" s="948"/>
      <c r="EW25" s="948"/>
      <c r="EX25" s="948"/>
      <c r="EY25" s="948"/>
      <c r="EZ25" s="948"/>
      <c r="FA25" s="948"/>
      <c r="FB25" s="948"/>
      <c r="FC25" s="948" t="s">
        <v>74</v>
      </c>
      <c r="FD25" s="948" t="s">
        <v>74</v>
      </c>
      <c r="FE25" s="948"/>
      <c r="FF25" s="948"/>
      <c r="FG25" s="948"/>
      <c r="FH25" s="948" t="s">
        <v>74</v>
      </c>
      <c r="FI25" s="948" t="s">
        <v>74</v>
      </c>
      <c r="FJ25" s="948"/>
      <c r="FK25" s="948"/>
      <c r="FL25" s="948"/>
      <c r="FM25" s="948"/>
      <c r="FN25" s="948"/>
      <c r="FO25" s="948" t="s">
        <v>74</v>
      </c>
      <c r="FP25" s="948"/>
      <c r="FQ25" s="948"/>
      <c r="FR25" s="948"/>
      <c r="FS25" s="948"/>
      <c r="FT25" s="948"/>
      <c r="FU25" s="948"/>
      <c r="FV25" s="948"/>
      <c r="FW25" s="948"/>
      <c r="FX25" s="948"/>
      <c r="FY25" s="948"/>
      <c r="FZ25" s="948"/>
      <c r="GA25" s="948" t="s">
        <v>74</v>
      </c>
      <c r="GB25" s="948"/>
      <c r="GC25" s="948" t="s">
        <v>74</v>
      </c>
      <c r="GD25" s="948" t="s">
        <v>74</v>
      </c>
      <c r="GE25" s="948"/>
      <c r="GF25" s="948"/>
      <c r="GG25" s="948"/>
      <c r="GH25" s="948"/>
      <c r="GI25" s="948"/>
      <c r="GJ25" s="948"/>
      <c r="GK25" s="948"/>
      <c r="GL25" s="948"/>
      <c r="GM25" s="948"/>
      <c r="GN25" s="948"/>
      <c r="GO25" s="948"/>
      <c r="GP25" s="948"/>
      <c r="GQ25" s="948"/>
      <c r="GR25" s="948"/>
      <c r="GS25" s="948" t="s">
        <v>74</v>
      </c>
      <c r="GT25" s="948"/>
      <c r="GU25" s="948" t="s">
        <v>74</v>
      </c>
      <c r="GV25" s="948"/>
      <c r="GW25" s="948" t="s">
        <v>74</v>
      </c>
      <c r="GX25" s="948"/>
      <c r="GY25" s="948"/>
      <c r="GZ25" s="948"/>
      <c r="HA25" s="948"/>
      <c r="HB25" s="948"/>
      <c r="HC25" s="948"/>
      <c r="HD25" s="961" t="s">
        <v>1746</v>
      </c>
      <c r="HE25" s="948"/>
      <c r="HF25" s="948"/>
      <c r="HG25" s="948"/>
      <c r="HH25" s="948" t="s">
        <v>74</v>
      </c>
      <c r="HI25" s="948"/>
      <c r="HJ25" s="948"/>
      <c r="HK25" s="948"/>
      <c r="HL25" s="948" t="s">
        <v>74</v>
      </c>
      <c r="HM25" s="948"/>
      <c r="HN25" s="948"/>
      <c r="HO25" s="961" t="s">
        <v>2719</v>
      </c>
      <c r="HP25" s="948"/>
      <c r="HQ25" s="948"/>
      <c r="HR25" s="961" t="s">
        <v>74</v>
      </c>
      <c r="HS25" s="948"/>
      <c r="HT25" s="948"/>
      <c r="HU25" s="948"/>
      <c r="HV25" s="948"/>
      <c r="HW25" s="948"/>
      <c r="HX25" s="995" t="s">
        <v>74</v>
      </c>
      <c r="HY25" s="1019"/>
      <c r="HZ25" s="1019"/>
      <c r="IA25" s="1019"/>
      <c r="IB25" s="1019"/>
      <c r="IC25" s="1020"/>
      <c r="ID25" s="1020"/>
      <c r="IE25" s="939" t="s">
        <v>74</v>
      </c>
      <c r="IF25" s="1019"/>
      <c r="IG25" s="1019"/>
      <c r="IH25" s="1019"/>
      <c r="II25" s="1019"/>
      <c r="IJ25" s="1019"/>
      <c r="IK25" s="1019"/>
      <c r="IL25" s="1019"/>
      <c r="IM25" s="1019"/>
      <c r="IN25" s="939" t="s">
        <v>74</v>
      </c>
      <c r="IO25" s="1019"/>
      <c r="IP25" s="1020"/>
      <c r="IQ25" s="1020"/>
      <c r="IR25" s="1019"/>
      <c r="IS25" s="1019"/>
      <c r="IT25" s="1019"/>
      <c r="IU25" s="1019"/>
      <c r="IV25" s="1019"/>
      <c r="IW25" s="1051"/>
      <c r="IX25" s="929" t="str">
        <f>IF(ISNUMBER(SEARCH($A25,VLOOKUP(IX$2,职业列表!$B$1:$G$370,6,0))),"★","")</f>
        <v/>
      </c>
      <c r="IY25" s="929" t="str">
        <f>IF(ISNUMBER(SEARCH($A25,VLOOKUP(IY$2,职业列表!$B$1:$G$370,6,0))),"★","")</f>
        <v/>
      </c>
      <c r="IZ25" s="929" t="str">
        <f>IF(ISNUMBER(SEARCH($A25,VLOOKUP(IZ$2,职业列表!$B$1:$G$370,6,0))),"★","")</f>
        <v/>
      </c>
      <c r="JA25" s="929" t="str">
        <f>IF(ISNUMBER(SEARCH($A25,VLOOKUP(JA$2,职业列表!$B$1:$G$370,6,0))),"★","")</f>
        <v/>
      </c>
      <c r="JB25" s="929" t="str">
        <f>IF(ISNUMBER(SEARCH($A25,VLOOKUP(JB$2,职业列表!$B$1:$G$370,6,0))),"★","")</f>
        <v/>
      </c>
      <c r="JC25" s="929" t="str">
        <f>IF(ISNUMBER(SEARCH($A25,VLOOKUP(JC$2,职业列表!$B$1:$G$370,6,0))),"★","")</f>
        <v/>
      </c>
      <c r="JD25" s="929" t="str">
        <f>IF(ISNUMBER(SEARCH($A25,VLOOKUP(JD$2,职业列表!$B$1:$G$370,6,0))),"★","")</f>
        <v/>
      </c>
      <c r="JE25" s="929" t="str">
        <f>IF(ISNUMBER(SEARCH($A25,VLOOKUP(JE$2,职业列表!$B$1:$G$370,6,0))),"★","")</f>
        <v/>
      </c>
      <c r="JF25" s="929" t="str">
        <f>IF(ISNUMBER(SEARCH($A25,VLOOKUP(JF$2,职业列表!$B$1:$G$370,6,0))),"★","")</f>
        <v/>
      </c>
      <c r="JG25" s="929" t="str">
        <f>IF(ISNUMBER(SEARCH($A25,VLOOKUP(JG$2,职业列表!$B$1:$G$370,6,0))),"★","")</f>
        <v/>
      </c>
      <c r="JH25" s="929" t="str">
        <f>IF(ISNUMBER(SEARCH($A25,VLOOKUP(JH$2,职业列表!$B$1:$G$370,6,0))),"★","")</f>
        <v/>
      </c>
      <c r="JI25" s="929" t="str">
        <f>IF(ISNUMBER(SEARCH($A25,VLOOKUP(JI$2,职业列表!$B$1:$G$370,6,0))),"★","")</f>
        <v/>
      </c>
      <c r="JJ25" s="929" t="str">
        <f>IF(ISNUMBER(SEARCH($A25,VLOOKUP(JJ$2,职业列表!$B$1:$G$370,6,0))),"★","")</f>
        <v/>
      </c>
      <c r="JK25" s="929" t="str">
        <f>IF(ISNUMBER(SEARCH($A25,VLOOKUP(JK$2,职业列表!$B$1:$G$370,6,0))),"★","")</f>
        <v/>
      </c>
      <c r="JL25" s="929" t="str">
        <f>IF(ISNUMBER(SEARCH($A25,VLOOKUP(JL$2,职业列表!$B$1:$G$370,6,0))),"★","")</f>
        <v/>
      </c>
      <c r="JM25" s="929" t="str">
        <f>IF(ISNUMBER(SEARCH($A25,VLOOKUP(JM$2,职业列表!$B$1:$G$370,6,0))),"★","")</f>
        <v/>
      </c>
      <c r="JN25" s="929" t="str">
        <f>IF(ISNUMBER(SEARCH($A25,VLOOKUP(JN$2,职业列表!$B$1:$G$370,6,0))),"★","")</f>
        <v/>
      </c>
      <c r="JO25" s="929" t="str">
        <f>IF(ISNUMBER(SEARCH($A25,VLOOKUP(JO$2,职业列表!$B$1:$G$370,6,0))),"★","")</f>
        <v/>
      </c>
      <c r="JP25" s="929" t="str">
        <f>IF(ISNUMBER(SEARCH($A25,VLOOKUP(JP$2,职业列表!$B$1:$G$370,6,0))),"★","")</f>
        <v/>
      </c>
      <c r="JQ25" s="929" t="str">
        <f>IF(ISNUMBER(SEARCH($A25,VLOOKUP(JQ$2,职业列表!$B$1:$G$370,6,0))),"★","")</f>
        <v/>
      </c>
      <c r="JR25" s="929" t="str">
        <f>IF(ISNUMBER(SEARCH($A25,VLOOKUP(JR$2,职业列表!$B$1:$G$370,6,0))),"★","")</f>
        <v/>
      </c>
      <c r="JS25" s="929" t="str">
        <f>IF(ISNUMBER(SEARCH($A25,VLOOKUP(JS$2,职业列表!$B$1:$G$370,6,0))),"★","")</f>
        <v/>
      </c>
      <c r="JT25" s="929" t="str">
        <f>IF(ISNUMBER(SEARCH($A25,VLOOKUP(JT$2,职业列表!$B$1:$G$370,6,0))),"★","")</f>
        <v/>
      </c>
      <c r="JU25" s="929" t="str">
        <f>IF(ISNUMBER(SEARCH($A25,VLOOKUP(JU$2,职业列表!$B$1:$G$370,6,0))),"★","")</f>
        <v/>
      </c>
      <c r="JV25" s="929" t="str">
        <f>IF(ISNUMBER(SEARCH($A25,VLOOKUP(JV$2,职业列表!$B$1:$G$370,6,0))),"★","")</f>
        <v/>
      </c>
      <c r="JW25" s="929" t="str">
        <f>IF(ISNUMBER(SEARCH($A25,VLOOKUP(JW$2,职业列表!$B$1:$G$370,6,0))),"★","")</f>
        <v/>
      </c>
      <c r="JX25" s="929" t="str">
        <f>IF(ISNUMBER(SEARCH($A25,VLOOKUP(JX$2,职业列表!$B$1:$G$370,6,0))),"★","")</f>
        <v/>
      </c>
      <c r="JY25" s="929" t="str">
        <f>IF(ISNUMBER(SEARCH($A25,VLOOKUP(JY$2,职业列表!$B$1:$G$370,6,0))),"★","")</f>
        <v/>
      </c>
      <c r="JZ25" s="929" t="str">
        <f>IF(ISNUMBER(SEARCH($A25,VLOOKUP(JZ$2,职业列表!$B$1:$G$370,6,0))),"★","")</f>
        <v/>
      </c>
      <c r="KA25" s="929" t="str">
        <f>IF(ISNUMBER(SEARCH($A25,VLOOKUP(KA$2,职业列表!$B$1:$G$370,6,0))),"★","")</f>
        <v/>
      </c>
      <c r="KB25" s="929" t="str">
        <f>IF(ISNUMBER(SEARCH($A25,VLOOKUP(KB$2,职业列表!$B$1:$G$370,6,0))),"★","")</f>
        <v/>
      </c>
      <c r="KC25" s="929" t="str">
        <f>IF(ISNUMBER(SEARCH($A25,VLOOKUP(KC$2,职业列表!$B$1:$G$370,6,0))),"★","")</f>
        <v/>
      </c>
      <c r="KD25" s="929" t="str">
        <f>IF(ISNUMBER(SEARCH($A25,VLOOKUP(KD$2,职业列表!$B$1:$G$370,6,0))),"★","")</f>
        <v/>
      </c>
      <c r="KE25" s="929" t="str">
        <f>IF(ISNUMBER(SEARCH($A25,VLOOKUP(KE$2,职业列表!$B$1:$G$370,6,0))),"★","")</f>
        <v/>
      </c>
      <c r="KF25" s="929" t="str">
        <f>IF(ISNUMBER(SEARCH($A25,VLOOKUP(KF$2,职业列表!$B$1:$G$370,6,0))),"★","")</f>
        <v/>
      </c>
      <c r="KG25" s="929" t="str">
        <f>IF(ISNUMBER(SEARCH($A25,VLOOKUP(KG$2,职业列表!$B$1:$G$370,6,0))),"★","")</f>
        <v/>
      </c>
      <c r="KH25" s="929" t="str">
        <f>IF(ISNUMBER(SEARCH($A25,VLOOKUP(KH$2,职业列表!$B$1:$G$370,6,0))),"★","")</f>
        <v/>
      </c>
      <c r="KI25" s="929" t="str">
        <f>IF(ISNUMBER(SEARCH($A25,VLOOKUP(KI$2,职业列表!$B$1:$G$370,6,0))),"★","")</f>
        <v/>
      </c>
      <c r="KJ25" s="929" t="str">
        <f>IF(ISNUMBER(SEARCH($A25,VLOOKUP(KJ$2,职业列表!$B$1:$G$370,6,0))),"★","")</f>
        <v/>
      </c>
      <c r="KK25" s="929" t="str">
        <f>IF(ISNUMBER(SEARCH($A25,VLOOKUP(KK$2,职业列表!$B$1:$G$370,6,0))),"★","")</f>
        <v/>
      </c>
      <c r="KL25" s="929" t="str">
        <f>IF(ISNUMBER(SEARCH($A25,VLOOKUP(KL$2,职业列表!$B$1:$G$370,6,0))),"★","")</f>
        <v/>
      </c>
      <c r="KM25" s="929" t="str">
        <f>IF(ISNUMBER(SEARCH($A25,VLOOKUP(KM$2,职业列表!$B$1:$G$370,6,0))),"★","")</f>
        <v/>
      </c>
      <c r="KN25" s="929" t="str">
        <f>IF(ISNUMBER(SEARCH($A25,VLOOKUP(KN$2,职业列表!$B$1:$G$370,6,0))),"★","")</f>
        <v/>
      </c>
      <c r="KO25" s="929" t="str">
        <f>IF(ISNUMBER(SEARCH($A25,VLOOKUP(KO$2,职业列表!$B$1:$G$370,6,0))),"★","")</f>
        <v/>
      </c>
      <c r="KP25" s="929" t="str">
        <f>IF(ISNUMBER(SEARCH($A25,VLOOKUP(KP$2,职业列表!$B$1:$G$370,6,0))),"★","")</f>
        <v/>
      </c>
      <c r="KQ25" s="929" t="str">
        <f>IF(ISNUMBER(SEARCH($A25,VLOOKUP(KQ$2,职业列表!$B$1:$G$370,6,0))),"★","")</f>
        <v/>
      </c>
      <c r="KR25" s="929" t="str">
        <f>IF(ISNUMBER(SEARCH($A25,VLOOKUP(KR$2,职业列表!$B$1:$G$370,6,0))),"★","")</f>
        <v/>
      </c>
      <c r="KS25" s="929" t="str">
        <f>IF(ISNUMBER(SEARCH($A25,VLOOKUP(KS$2,职业列表!$B$1:$G$370,6,0))),"★","")</f>
        <v/>
      </c>
      <c r="KT25" s="929" t="str">
        <f>IF(ISNUMBER(SEARCH($A25,VLOOKUP(KT$2,职业列表!$B$1:$G$370,6,0))),"★","")</f>
        <v/>
      </c>
      <c r="KU25" s="929" t="str">
        <f>IF(ISNUMBER(SEARCH($A25,VLOOKUP(KU$2,职业列表!$B$1:$G$370,6,0))),"★","")</f>
        <v/>
      </c>
      <c r="KV25" s="929" t="str">
        <f>IF(ISNUMBER(SEARCH($A25,VLOOKUP(KV$2,职业列表!$B$1:$G$370,6,0))),"★","")</f>
        <v/>
      </c>
      <c r="KW25" s="929" t="str">
        <f>IF(ISNUMBER(SEARCH($A25,VLOOKUP(KW$2,职业列表!$B$1:$G$370,6,0))),"★","")</f>
        <v/>
      </c>
      <c r="KX25" s="929" t="str">
        <f>IF(ISNUMBER(SEARCH($A25,VLOOKUP(KX$2,职业列表!$B$1:$G$370,6,0))),"★","")</f>
        <v/>
      </c>
      <c r="KY25" s="929" t="str">
        <f>IF(ISNUMBER(SEARCH($A25,VLOOKUP(KY$2,职业列表!$B$1:$G$370,6,0))),"★","")</f>
        <v/>
      </c>
      <c r="KZ25" s="929" t="str">
        <f>IF(ISNUMBER(SEARCH($A25,VLOOKUP(KZ$2,职业列表!$B$1:$G$370,6,0))),"★","")</f>
        <v/>
      </c>
      <c r="LA25" s="929" t="str">
        <f>IF(ISNUMBER(SEARCH($A25,VLOOKUP(LA$2,职业列表!$B$1:$G$370,6,0))),"★","")</f>
        <v/>
      </c>
      <c r="LB25" s="929" t="str">
        <f>IF(ISNUMBER(SEARCH($A25,VLOOKUP(LB$2,职业列表!$B$1:$G$370,6,0))),"★","")</f>
        <v/>
      </c>
      <c r="LC25" s="929" t="str">
        <f>IF(ISNUMBER(SEARCH($A25,VLOOKUP(LC$2,职业列表!$B$1:$G$370,6,0))),"★","")</f>
        <v/>
      </c>
      <c r="LD25" s="929" t="str">
        <f>IF(ISNUMBER(SEARCH($A25,VLOOKUP(LD$2,职业列表!$B$1:$G$370,6,0))),"★","")</f>
        <v/>
      </c>
      <c r="LE25" s="929" t="str">
        <f>IF(ISNUMBER(SEARCH($A25,VLOOKUP(LE$2,职业列表!$B$1:$G$370,6,0))),"★","")</f>
        <v/>
      </c>
      <c r="LF25" s="929" t="str">
        <f>IF(ISNUMBER(SEARCH($A25,VLOOKUP(LF$2,职业列表!$B$1:$G$370,6,0))),"★","")</f>
        <v/>
      </c>
      <c r="LG25" s="929" t="str">
        <f>IF(ISNUMBER(SEARCH($A25,VLOOKUP(LG$2,职业列表!$B$1:$G$370,6,0))),"★","")</f>
        <v/>
      </c>
      <c r="LH25" s="929" t="str">
        <f>IF(ISNUMBER(SEARCH($A25,VLOOKUP(LH$2,职业列表!$B$1:$G$370,6,0))),"★","")</f>
        <v/>
      </c>
      <c r="LI25" s="929" t="str">
        <f>IF(ISNUMBER(SEARCH($A25,VLOOKUP(LI$2,职业列表!$B$1:$G$370,6,0))),"★","")</f>
        <v>★</v>
      </c>
      <c r="LJ25" s="929" t="str">
        <f>IF(ISNUMBER(SEARCH($A25,VLOOKUP(LJ$2,职业列表!$B$1:$G$370,6,0))),"★","")</f>
        <v/>
      </c>
      <c r="LK25" s="929" t="str">
        <f>IF(ISNUMBER(SEARCH($A25,VLOOKUP(LK$2,职业列表!$B$1:$G$370,6,0))),"★","")</f>
        <v>★</v>
      </c>
      <c r="LL25" s="929" t="str">
        <f>IF(ISNUMBER(SEARCH($A25,VLOOKUP(LL$2,职业列表!$B$1:$G$370,6,0))),"★","")</f>
        <v>★</v>
      </c>
      <c r="LM25" s="929" t="str">
        <f>IF(ISNUMBER(SEARCH($A25,VLOOKUP(LM$2,职业列表!$B$1:$G$370,6,0))),"★","")</f>
        <v>★</v>
      </c>
      <c r="LN25" s="929" t="str">
        <f>IF(ISNUMBER(SEARCH($A25,VLOOKUP(LN$2,职业列表!$B$1:$G$370,6,0))),"★","")</f>
        <v>★</v>
      </c>
      <c r="LO25" s="929" t="str">
        <f>IF(ISNUMBER(SEARCH($A25,VLOOKUP(LO$2,职业列表!$B$1:$G$370,6,0))),"★","")</f>
        <v>★</v>
      </c>
      <c r="LP25" s="929" t="str">
        <f>IF(ISNUMBER(SEARCH($A25,VLOOKUP(LP$2,职业列表!$B$1:$G$370,6,0))),"★","")</f>
        <v>★</v>
      </c>
      <c r="LQ25" s="929" t="str">
        <f>IF(ISNUMBER(SEARCH($A25,VLOOKUP(LQ$2,职业列表!$B$1:$G$370,6,0))),"★","")</f>
        <v/>
      </c>
      <c r="LR25" s="929" t="str">
        <f>IF(ISNUMBER(SEARCH($A25,VLOOKUP(LR$2,职业列表!$B$1:$G$370,6,0))),"★","")</f>
        <v/>
      </c>
      <c r="LS25" s="929" t="str">
        <f>IF(ISNUMBER(SEARCH($A25,VLOOKUP(LS$2,职业列表!$B$1:$G$370,6,0))),"★","")</f>
        <v/>
      </c>
      <c r="LT25" s="929" t="str">
        <f>IF(ISNUMBER(SEARCH($A25,VLOOKUP(LT$2,职业列表!$B$1:$G$370,6,0))),"★","")</f>
        <v/>
      </c>
      <c r="LU25" s="929" t="str">
        <f>IF(ISNUMBER(SEARCH($A25,VLOOKUP(LU$2,职业列表!$B$1:$G$370,6,0))),"★","")</f>
        <v/>
      </c>
      <c r="LV25" s="929" t="str">
        <f>IF(ISNUMBER(SEARCH($A25,VLOOKUP(LV$2,职业列表!$B$1:$G$370,6,0))),"★","")</f>
        <v/>
      </c>
      <c r="LW25" s="929" t="str">
        <f>IF(ISNUMBER(SEARCH($A25,VLOOKUP(LW$2,职业列表!$B$1:$G$370,6,0))),"★","")</f>
        <v/>
      </c>
      <c r="LX25" s="929" t="str">
        <f>IF(ISNUMBER(SEARCH($A25,VLOOKUP(LX$2,职业列表!$B$1:$G$370,6,0))),"★","")</f>
        <v/>
      </c>
      <c r="LY25" s="929" t="str">
        <f>IF(ISNUMBER(SEARCH($A25,VLOOKUP(LY$2,职业列表!$B$1:$G$370,6,0))),"★","")</f>
        <v/>
      </c>
      <c r="LZ25" s="929" t="str">
        <f>IF(ISNUMBER(SEARCH($A25,VLOOKUP(LZ$2,职业列表!$B$1:$G$370,6,0))),"★","")</f>
        <v/>
      </c>
      <c r="MA25" s="929" t="str">
        <f>IF(ISNUMBER(SEARCH($A25,VLOOKUP(MA$2,职业列表!$B$1:$G$370,6,0))),"★","")</f>
        <v/>
      </c>
      <c r="MB25" s="929" t="str">
        <f>IF(ISNUMBER(SEARCH($A25,VLOOKUP(MB$2,职业列表!$B$1:$G$370,6,0))),"★","")</f>
        <v/>
      </c>
      <c r="MC25" s="929" t="str">
        <f>IF(ISNUMBER(SEARCH($A25,VLOOKUP(MC$2,职业列表!$B$1:$G$370,6,0))),"★","")</f>
        <v/>
      </c>
      <c r="MD25" s="929" t="str">
        <f>IF(ISNUMBER(SEARCH($A25,VLOOKUP(MD$2,职业列表!$B$1:$G$370,6,0))),"★","")</f>
        <v/>
      </c>
      <c r="ME25" s="929" t="str">
        <f>IF(ISNUMBER(SEARCH($A25,VLOOKUP(ME$2,职业列表!$B$1:$G$370,6,0))),"★","")</f>
        <v/>
      </c>
      <c r="MF25" s="929" t="str">
        <f>IF(ISNUMBER(SEARCH($A25,VLOOKUP(MF$2,职业列表!$B$1:$G$370,6,0))),"★","")</f>
        <v/>
      </c>
      <c r="MG25" s="929" t="str">
        <f>IF(ISNUMBER(SEARCH($A25,VLOOKUP(MG$2,职业列表!$B$1:$G$370,6,0))),"★","")</f>
        <v/>
      </c>
      <c r="MH25" s="929" t="str">
        <f>IF(ISNUMBER(SEARCH($A25,VLOOKUP(MH$2,职业列表!$B$1:$G$370,6,0))),"★","")</f>
        <v/>
      </c>
      <c r="MI25" s="929" t="str">
        <f>IF(ISNUMBER(SEARCH($A25,VLOOKUP(MI$2,职业列表!$B$1:$G$370,6,0))),"★","")</f>
        <v/>
      </c>
      <c r="MJ25" s="929" t="str">
        <f>IF(ISNUMBER(SEARCH($A25,VLOOKUP(MJ$2,职业列表!$B$1:$G$370,6,0))),"★","")</f>
        <v/>
      </c>
      <c r="MK25" s="929" t="str">
        <f>IF(ISNUMBER(SEARCH($A25,VLOOKUP(MK$2,职业列表!$B$1:$G$370,6,0))),"★","")</f>
        <v/>
      </c>
      <c r="ML25" s="929" t="str">
        <f>IF(ISNUMBER(SEARCH($A25,VLOOKUP(ML$2,职业列表!$B$1:$G$370,6,0))),"★","")</f>
        <v/>
      </c>
      <c r="MM25" s="929" t="str">
        <f>IF(ISNUMBER(SEARCH($A25,VLOOKUP(MM$2,职业列表!$B$1:$G$370,6,0))),"★","")</f>
        <v/>
      </c>
      <c r="MN25" s="929" t="str">
        <f>IF(ISNUMBER(SEARCH($A25,VLOOKUP(MN$2,职业列表!$B$1:$G$370,6,0))),"★","")</f>
        <v/>
      </c>
      <c r="MO25" s="929" t="str">
        <f>IF(ISNUMBER(SEARCH($A25,VLOOKUP(MO$2,职业列表!$B$1:$G$370,6,0))),"★","")</f>
        <v/>
      </c>
      <c r="MP25" s="929" t="str">
        <f>IF(ISNUMBER(SEARCH($A25,VLOOKUP(MP$2,职业列表!$B$1:$G$370,6,0))),"★","")</f>
        <v/>
      </c>
      <c r="MQ25" s="929" t="str">
        <f>IF(ISNUMBER(SEARCH($A25,VLOOKUP(MQ$2,职业列表!$B$1:$G$370,6,0))),"★","")</f>
        <v/>
      </c>
      <c r="MR25" s="929" t="str">
        <f>IF(ISNUMBER(SEARCH($A25,VLOOKUP(MR$2,职业列表!$B$1:$G$370,6,0))),"★","")</f>
        <v/>
      </c>
      <c r="MS25" s="929" t="str">
        <f>IF(ISNUMBER(SEARCH($A25,VLOOKUP(MS$2,职业列表!$B$1:$G$370,6,0))),"★","")</f>
        <v/>
      </c>
      <c r="MT25" s="929" t="str">
        <f>IF(ISNUMBER(SEARCH($A25,VLOOKUP(MT$2,职业列表!$B$1:$G$370,6,0))),"★","")</f>
        <v/>
      </c>
      <c r="MU25" s="929" t="str">
        <f>IF(ISNUMBER(SEARCH($A25,VLOOKUP(MU$2,职业列表!$B$1:$G$370,6,0))),"★","")</f>
        <v/>
      </c>
      <c r="MV25" s="929" t="str">
        <f>IF(ISNUMBER(SEARCH($A25,VLOOKUP(MV$2,职业列表!$B$1:$G$370,6,0))),"★","")</f>
        <v/>
      </c>
      <c r="MW25" s="929" t="str">
        <f>IF(ISNUMBER(SEARCH($A25,VLOOKUP(MW$2,职业列表!$B$1:$G$370,6,0))),"★","")</f>
        <v/>
      </c>
      <c r="MX25" s="929" t="str">
        <f>IF(ISNUMBER(SEARCH($A25,VLOOKUP(MX$2,职业列表!$B$1:$G$370,6,0))),"★","")</f>
        <v/>
      </c>
      <c r="MY25" s="929" t="str">
        <f>IF(ISNUMBER(SEARCH($A25,VLOOKUP(MY$2,职业列表!$B$1:$G$370,6,0))),"★","")</f>
        <v/>
      </c>
      <c r="MZ25" s="929" t="str">
        <f>IF(ISNUMBER(SEARCH($A25,VLOOKUP(MZ$2,职业列表!$B$1:$G$370,6,0))),"★","")</f>
        <v/>
      </c>
      <c r="NA25" s="929" t="str">
        <f>IF(ISNUMBER(SEARCH($A25,VLOOKUP(NA$2,职业列表!$B$1:$G$370,6,0))),"★","")</f>
        <v/>
      </c>
      <c r="NB25" s="929" t="str">
        <f>IF(ISNUMBER(SEARCH($A25,VLOOKUP(NB$2,职业列表!$B$1:$G$370,6,0))),"★","")</f>
        <v/>
      </c>
      <c r="NC25" s="929" t="str">
        <f>IF(ISNUMBER(SEARCH($A25,VLOOKUP(NC$2,职业列表!$B$1:$G$370,6,0))),"★","")</f>
        <v/>
      </c>
      <c r="ND25" s="929" t="str">
        <f>IF(ISNUMBER(SEARCH($A25,VLOOKUP(ND$2,职业列表!$B$1:$G$370,6,0))),"★","")</f>
        <v/>
      </c>
      <c r="NE25" s="929" t="str">
        <f>IF(ISNUMBER(SEARCH($A25,VLOOKUP(NE$2,职业列表!$B$1:$G$370,6,0))),"★","")</f>
        <v/>
      </c>
    </row>
    <row r="26" customFormat="1" spans="1:369">
      <c r="A26" s="932" t="s">
        <v>122</v>
      </c>
      <c r="B26" s="939" t="str">
        <f>IF(OR(A26="说服",A26="话术",A26="取悦",A26="恐吓"),"☯",IF(ISNUMBER(SEARCH(A26,VLOOKUP(IX$2,职业列表!$B$1:$G$370,6,0))),"★",""))</f>
        <v/>
      </c>
      <c r="C26" s="939" t="str">
        <f>IF(ISTEXT(IFERROR(VLOOKUP(A26,职业列表!I3:J10,1,FALSE),0)),"★","")</f>
        <v/>
      </c>
      <c r="D26" s="939"/>
      <c r="E26" s="939"/>
      <c r="F26" s="939" t="s">
        <v>74</v>
      </c>
      <c r="G26" s="939"/>
      <c r="H26" s="939"/>
      <c r="I26" s="939"/>
      <c r="J26" s="939"/>
      <c r="K26" s="939"/>
      <c r="L26" s="939"/>
      <c r="M26" s="939"/>
      <c r="N26" s="939"/>
      <c r="O26" s="939"/>
      <c r="P26" s="939"/>
      <c r="Q26" s="939"/>
      <c r="R26" s="939"/>
      <c r="S26" s="939"/>
      <c r="T26" s="939"/>
      <c r="U26" s="939"/>
      <c r="V26" s="939" t="s">
        <v>2717</v>
      </c>
      <c r="W26" s="939"/>
      <c r="X26" s="939"/>
      <c r="Y26" s="939"/>
      <c r="Z26" s="939"/>
      <c r="AA26" s="939"/>
      <c r="AB26" s="939" t="s">
        <v>2717</v>
      </c>
      <c r="AC26" s="939"/>
      <c r="AD26" s="939" t="s">
        <v>74</v>
      </c>
      <c r="AE26" s="939" t="s">
        <v>74</v>
      </c>
      <c r="AF26" s="939" t="s">
        <v>74</v>
      </c>
      <c r="AG26" s="939"/>
      <c r="AH26" s="939"/>
      <c r="AI26" s="939" t="s">
        <v>2717</v>
      </c>
      <c r="AJ26" s="939"/>
      <c r="AK26" s="939"/>
      <c r="AL26" s="939"/>
      <c r="AM26" s="939"/>
      <c r="AN26" s="939" t="s">
        <v>74</v>
      </c>
      <c r="AO26" s="939"/>
      <c r="AP26" s="939"/>
      <c r="AQ26" s="939"/>
      <c r="AR26" s="939"/>
      <c r="AS26" s="939"/>
      <c r="AT26" s="939"/>
      <c r="AU26" s="939"/>
      <c r="AV26" s="939"/>
      <c r="AW26" s="939"/>
      <c r="AX26" s="939"/>
      <c r="AY26" s="939"/>
      <c r="AZ26" s="939"/>
      <c r="BA26" s="939"/>
      <c r="BB26" s="939"/>
      <c r="BC26" s="939"/>
      <c r="BD26" s="939"/>
      <c r="BE26" s="939"/>
      <c r="BF26" s="939"/>
      <c r="BG26" s="939"/>
      <c r="BH26" s="939"/>
      <c r="BI26" s="939"/>
      <c r="BJ26" s="939" t="s">
        <v>74</v>
      </c>
      <c r="BK26" s="939" t="s">
        <v>74</v>
      </c>
      <c r="BL26" s="939"/>
      <c r="BM26" s="939"/>
      <c r="BN26" s="939"/>
      <c r="BO26" s="939"/>
      <c r="BP26" s="939"/>
      <c r="BQ26" s="939"/>
      <c r="BR26" s="939"/>
      <c r="BS26" s="939" t="s">
        <v>74</v>
      </c>
      <c r="BT26" s="940" t="s">
        <v>2735</v>
      </c>
      <c r="BU26" s="939"/>
      <c r="BV26" s="939"/>
      <c r="BW26" s="939"/>
      <c r="BX26" s="939"/>
      <c r="BY26" s="939"/>
      <c r="BZ26" s="939"/>
      <c r="CA26" s="939"/>
      <c r="CB26" s="939"/>
      <c r="CC26" s="939"/>
      <c r="CD26" s="939"/>
      <c r="CE26" s="939"/>
      <c r="CF26" s="939"/>
      <c r="CG26" s="939"/>
      <c r="CH26" s="939"/>
      <c r="CI26" s="939"/>
      <c r="CJ26" s="939"/>
      <c r="CK26" s="939"/>
      <c r="CL26" s="939"/>
      <c r="CM26" s="939"/>
      <c r="CN26" s="939"/>
      <c r="CO26" s="939"/>
      <c r="CP26" s="939"/>
      <c r="CQ26" s="939"/>
      <c r="CR26" s="939"/>
      <c r="CS26" s="939"/>
      <c r="CT26" s="939"/>
      <c r="CU26" s="939"/>
      <c r="CV26" s="939" t="s">
        <v>74</v>
      </c>
      <c r="CW26" s="939"/>
      <c r="CX26" s="939"/>
      <c r="CY26" s="939"/>
      <c r="CZ26" s="939"/>
      <c r="DA26" s="939"/>
      <c r="DB26" s="939" t="s">
        <v>74</v>
      </c>
      <c r="DC26" s="939"/>
      <c r="DD26" s="939"/>
      <c r="DE26" s="939" t="s">
        <v>74</v>
      </c>
      <c r="DF26" s="939" t="s">
        <v>2716</v>
      </c>
      <c r="DG26" s="939"/>
      <c r="DH26" s="939"/>
      <c r="DI26" s="939"/>
      <c r="DJ26" s="939"/>
      <c r="DK26" s="939"/>
      <c r="DL26" s="939"/>
      <c r="DM26" s="939"/>
      <c r="DN26" s="939"/>
      <c r="DO26" s="939"/>
      <c r="DP26" s="939"/>
      <c r="DQ26" s="939"/>
      <c r="DR26" s="939"/>
      <c r="DS26" s="939"/>
      <c r="DT26" s="939"/>
      <c r="DU26" s="939"/>
      <c r="DV26" s="939"/>
      <c r="DW26" s="939"/>
      <c r="DX26" s="939"/>
      <c r="DY26" s="939"/>
      <c r="DZ26" s="939"/>
      <c r="EA26" s="939"/>
      <c r="EB26" s="939"/>
      <c r="EC26" s="939"/>
      <c r="ED26" s="939"/>
      <c r="EE26" s="939"/>
      <c r="EF26" s="939"/>
      <c r="EG26" s="939"/>
      <c r="EH26" s="939"/>
      <c r="EI26" s="939"/>
      <c r="EJ26" s="939"/>
      <c r="EK26" s="939"/>
      <c r="EL26" s="939"/>
      <c r="EM26" s="939"/>
      <c r="EN26" s="939"/>
      <c r="EO26" s="939"/>
      <c r="EP26" s="939"/>
      <c r="EQ26" s="939"/>
      <c r="ER26" s="939"/>
      <c r="ES26" s="939"/>
      <c r="ET26" s="939"/>
      <c r="EU26" s="939"/>
      <c r="EV26" s="939"/>
      <c r="EW26" s="939"/>
      <c r="EX26" s="939"/>
      <c r="EY26" s="939"/>
      <c r="EZ26" s="939"/>
      <c r="FA26" s="939"/>
      <c r="FB26" s="939"/>
      <c r="FC26" s="939" t="s">
        <v>1746</v>
      </c>
      <c r="FD26" s="939"/>
      <c r="FE26" s="939"/>
      <c r="FF26" s="939"/>
      <c r="FG26" s="939"/>
      <c r="FH26" s="939"/>
      <c r="FI26" s="939"/>
      <c r="FJ26" s="939"/>
      <c r="FK26" s="939"/>
      <c r="FL26" s="939"/>
      <c r="FM26" s="939"/>
      <c r="FN26" s="939"/>
      <c r="FO26" s="939"/>
      <c r="FP26" s="939"/>
      <c r="FQ26" s="939"/>
      <c r="FR26" s="939" t="s">
        <v>661</v>
      </c>
      <c r="FS26" s="939"/>
      <c r="FT26" s="939"/>
      <c r="FU26" s="939"/>
      <c r="FV26" s="939"/>
      <c r="FW26" s="939"/>
      <c r="FX26" s="939"/>
      <c r="FY26" s="939"/>
      <c r="FZ26" s="939"/>
      <c r="GA26" s="939" t="s">
        <v>74</v>
      </c>
      <c r="GB26" s="939"/>
      <c r="GC26" s="939" t="s">
        <v>74</v>
      </c>
      <c r="GD26" s="939" t="s">
        <v>74</v>
      </c>
      <c r="GE26" s="939"/>
      <c r="GF26" s="939"/>
      <c r="GG26" s="939"/>
      <c r="GH26" s="939"/>
      <c r="GI26" s="939"/>
      <c r="GJ26" s="939"/>
      <c r="GK26" s="939"/>
      <c r="GL26" s="939"/>
      <c r="GM26" s="939"/>
      <c r="GN26" s="939"/>
      <c r="GO26" s="939"/>
      <c r="GP26" s="939"/>
      <c r="GQ26" s="939"/>
      <c r="GR26" s="939"/>
      <c r="GS26" s="939"/>
      <c r="GT26" s="939"/>
      <c r="GU26" s="939" t="s">
        <v>74</v>
      </c>
      <c r="GV26" s="939"/>
      <c r="GW26" s="939"/>
      <c r="GX26" s="939"/>
      <c r="GY26" s="939"/>
      <c r="GZ26" s="939"/>
      <c r="HA26" s="939"/>
      <c r="HB26" s="939"/>
      <c r="HC26" s="939"/>
      <c r="HD26" s="939"/>
      <c r="HE26" s="939"/>
      <c r="HF26" s="939"/>
      <c r="HG26" s="939"/>
      <c r="HH26" s="939" t="s">
        <v>74</v>
      </c>
      <c r="HI26" s="939"/>
      <c r="HJ26" s="939"/>
      <c r="HK26" s="940" t="s">
        <v>660</v>
      </c>
      <c r="HL26" s="939"/>
      <c r="HM26" s="939"/>
      <c r="HN26" s="939"/>
      <c r="HO26" s="939"/>
      <c r="HP26" s="939"/>
      <c r="HQ26" s="939"/>
      <c r="HR26" s="939"/>
      <c r="HS26" s="939"/>
      <c r="HT26" s="939"/>
      <c r="HU26" s="939"/>
      <c r="HV26" s="939"/>
      <c r="HW26" s="939"/>
      <c r="HX26" s="990"/>
      <c r="HY26" s="1012"/>
      <c r="HZ26" s="1012"/>
      <c r="IA26" s="1012"/>
      <c r="IB26" s="1012"/>
      <c r="IC26" s="1013"/>
      <c r="ID26" s="1013"/>
      <c r="IE26" s="939" t="s">
        <v>74</v>
      </c>
      <c r="IF26" s="1012"/>
      <c r="IG26" s="1012"/>
      <c r="IH26" s="1012"/>
      <c r="II26" s="1012"/>
      <c r="IJ26" s="1012"/>
      <c r="IK26" s="1012"/>
      <c r="IL26" s="1012"/>
      <c r="IM26" s="1012"/>
      <c r="IN26" s="939" t="s">
        <v>74</v>
      </c>
      <c r="IO26" s="1012"/>
      <c r="IP26" s="1013"/>
      <c r="IQ26" s="1013"/>
      <c r="IR26" s="1012"/>
      <c r="IS26" s="1012"/>
      <c r="IT26" s="1012"/>
      <c r="IU26" s="1012"/>
      <c r="IV26" s="1012"/>
      <c r="IW26" s="929"/>
      <c r="IX26" s="929" t="str">
        <f>IF(ISNUMBER(SEARCH($A26,VLOOKUP(IX$2,职业列表!$B$1:$G$370,6,0))),"★","")</f>
        <v/>
      </c>
      <c r="IY26" s="929" t="str">
        <f>IF(ISNUMBER(SEARCH($A26,VLOOKUP(IY$2,职业列表!$B$1:$G$370,6,0))),"★","")</f>
        <v/>
      </c>
      <c r="IZ26" s="929" t="str">
        <f>IF(ISNUMBER(SEARCH($A26,VLOOKUP(IZ$2,职业列表!$B$1:$G$370,6,0))),"★","")</f>
        <v/>
      </c>
      <c r="JA26" s="929" t="str">
        <f>IF(ISNUMBER(SEARCH($A26,VLOOKUP(JA$2,职业列表!$B$1:$G$370,6,0))),"★","")</f>
        <v/>
      </c>
      <c r="JB26" s="929" t="str">
        <f>IF(ISNUMBER(SEARCH($A26,VLOOKUP(JB$2,职业列表!$B$1:$G$370,6,0))),"★","")</f>
        <v/>
      </c>
      <c r="JC26" s="929" t="str">
        <f>IF(ISNUMBER(SEARCH($A26,VLOOKUP(JC$2,职业列表!$B$1:$G$370,6,0))),"★","")</f>
        <v/>
      </c>
      <c r="JD26" s="929" t="str">
        <f>IF(ISNUMBER(SEARCH($A26,VLOOKUP(JD$2,职业列表!$B$1:$G$370,6,0))),"★","")</f>
        <v/>
      </c>
      <c r="JE26" s="929" t="str">
        <f>IF(ISNUMBER(SEARCH($A26,VLOOKUP(JE$2,职业列表!$B$1:$G$370,6,0))),"★","")</f>
        <v/>
      </c>
      <c r="JF26" s="929" t="str">
        <f>IF(ISNUMBER(SEARCH($A26,VLOOKUP(JF$2,职业列表!$B$1:$G$370,6,0))),"★","")</f>
        <v/>
      </c>
      <c r="JG26" s="929" t="str">
        <f>IF(ISNUMBER(SEARCH($A26,VLOOKUP(JG$2,职业列表!$B$1:$G$370,6,0))),"★","")</f>
        <v/>
      </c>
      <c r="JH26" s="929" t="str">
        <f>IF(ISNUMBER(SEARCH($A26,VLOOKUP(JH$2,职业列表!$B$1:$G$370,6,0))),"★","")</f>
        <v/>
      </c>
      <c r="JI26" s="929" t="str">
        <f>IF(ISNUMBER(SEARCH($A26,VLOOKUP(JI$2,职业列表!$B$1:$G$370,6,0))),"★","")</f>
        <v/>
      </c>
      <c r="JJ26" s="929" t="str">
        <f>IF(ISNUMBER(SEARCH($A26,VLOOKUP(JJ$2,职业列表!$B$1:$G$370,6,0))),"★","")</f>
        <v/>
      </c>
      <c r="JK26" s="929" t="str">
        <f>IF(ISNUMBER(SEARCH($A26,VLOOKUP(JK$2,职业列表!$B$1:$G$370,6,0))),"★","")</f>
        <v/>
      </c>
      <c r="JL26" s="929" t="str">
        <f>IF(ISNUMBER(SEARCH($A26,VLOOKUP(JL$2,职业列表!$B$1:$G$370,6,0))),"★","")</f>
        <v/>
      </c>
      <c r="JM26" s="929" t="str">
        <f>IF(ISNUMBER(SEARCH($A26,VLOOKUP(JM$2,职业列表!$B$1:$G$370,6,0))),"★","")</f>
        <v/>
      </c>
      <c r="JN26" s="929" t="str">
        <f>IF(ISNUMBER(SEARCH($A26,VLOOKUP(JN$2,职业列表!$B$1:$G$370,6,0))),"★","")</f>
        <v/>
      </c>
      <c r="JO26" s="929" t="str">
        <f>IF(ISNUMBER(SEARCH($A26,VLOOKUP(JO$2,职业列表!$B$1:$G$370,6,0))),"★","")</f>
        <v/>
      </c>
      <c r="JP26" s="929" t="str">
        <f>IF(ISNUMBER(SEARCH($A26,VLOOKUP(JP$2,职业列表!$B$1:$G$370,6,0))),"★","")</f>
        <v/>
      </c>
      <c r="JQ26" s="929" t="str">
        <f>IF(ISNUMBER(SEARCH($A26,VLOOKUP(JQ$2,职业列表!$B$1:$G$370,6,0))),"★","")</f>
        <v/>
      </c>
      <c r="JR26" s="929" t="str">
        <f>IF(ISNUMBER(SEARCH($A26,VLOOKUP(JR$2,职业列表!$B$1:$G$370,6,0))),"★","")</f>
        <v/>
      </c>
      <c r="JS26" s="929" t="str">
        <f>IF(ISNUMBER(SEARCH($A26,VLOOKUP(JS$2,职业列表!$B$1:$G$370,6,0))),"★","")</f>
        <v/>
      </c>
      <c r="JT26" s="929" t="str">
        <f>IF(ISNUMBER(SEARCH($A26,VLOOKUP(JT$2,职业列表!$B$1:$G$370,6,0))),"★","")</f>
        <v/>
      </c>
      <c r="JU26" s="929" t="str">
        <f>IF(ISNUMBER(SEARCH($A26,VLOOKUP(JU$2,职业列表!$B$1:$G$370,6,0))),"★","")</f>
        <v/>
      </c>
      <c r="JV26" s="929" t="str">
        <f>IF(ISNUMBER(SEARCH($A26,VLOOKUP(JV$2,职业列表!$B$1:$G$370,6,0))),"★","")</f>
        <v/>
      </c>
      <c r="JW26" s="929" t="str">
        <f>IF(ISNUMBER(SEARCH($A26,VLOOKUP(JW$2,职业列表!$B$1:$G$370,6,0))),"★","")</f>
        <v/>
      </c>
      <c r="JX26" s="929" t="str">
        <f>IF(ISNUMBER(SEARCH($A26,VLOOKUP(JX$2,职业列表!$B$1:$G$370,6,0))),"★","")</f>
        <v/>
      </c>
      <c r="JY26" s="929" t="str">
        <f>IF(ISNUMBER(SEARCH($A26,VLOOKUP(JY$2,职业列表!$B$1:$G$370,6,0))),"★","")</f>
        <v/>
      </c>
      <c r="JZ26" s="929" t="str">
        <f>IF(ISNUMBER(SEARCH($A26,VLOOKUP(JZ$2,职业列表!$B$1:$G$370,6,0))),"★","")</f>
        <v/>
      </c>
      <c r="KA26" s="929" t="str">
        <f>IF(ISNUMBER(SEARCH($A26,VLOOKUP(KA$2,职业列表!$B$1:$G$370,6,0))),"★","")</f>
        <v/>
      </c>
      <c r="KB26" s="929" t="str">
        <f>IF(ISNUMBER(SEARCH($A26,VLOOKUP(KB$2,职业列表!$B$1:$G$370,6,0))),"★","")</f>
        <v/>
      </c>
      <c r="KC26" s="929" t="str">
        <f>IF(ISNUMBER(SEARCH($A26,VLOOKUP(KC$2,职业列表!$B$1:$G$370,6,0))),"★","")</f>
        <v/>
      </c>
      <c r="KD26" s="929" t="str">
        <f>IF(ISNUMBER(SEARCH($A26,VLOOKUP(KD$2,职业列表!$B$1:$G$370,6,0))),"★","")</f>
        <v/>
      </c>
      <c r="KE26" s="929" t="str">
        <f>IF(ISNUMBER(SEARCH($A26,VLOOKUP(KE$2,职业列表!$B$1:$G$370,6,0))),"★","")</f>
        <v/>
      </c>
      <c r="KF26" s="929" t="str">
        <f>IF(ISNUMBER(SEARCH($A26,VLOOKUP(KF$2,职业列表!$B$1:$G$370,6,0))),"★","")</f>
        <v/>
      </c>
      <c r="KG26" s="929" t="str">
        <f>IF(ISNUMBER(SEARCH($A26,VLOOKUP(KG$2,职业列表!$B$1:$G$370,6,0))),"★","")</f>
        <v/>
      </c>
      <c r="KH26" s="929" t="str">
        <f>IF(ISNUMBER(SEARCH($A26,VLOOKUP(KH$2,职业列表!$B$1:$G$370,6,0))),"★","")</f>
        <v/>
      </c>
      <c r="KI26" s="929" t="str">
        <f>IF(ISNUMBER(SEARCH($A26,VLOOKUP(KI$2,职业列表!$B$1:$G$370,6,0))),"★","")</f>
        <v/>
      </c>
      <c r="KJ26" s="929" t="str">
        <f>IF(ISNUMBER(SEARCH($A26,VLOOKUP(KJ$2,职业列表!$B$1:$G$370,6,0))),"★","")</f>
        <v/>
      </c>
      <c r="KK26" s="929" t="str">
        <f>IF(ISNUMBER(SEARCH($A26,VLOOKUP(KK$2,职业列表!$B$1:$G$370,6,0))),"★","")</f>
        <v/>
      </c>
      <c r="KL26" s="929" t="str">
        <f>IF(ISNUMBER(SEARCH($A26,VLOOKUP(KL$2,职业列表!$B$1:$G$370,6,0))),"★","")</f>
        <v/>
      </c>
      <c r="KM26" s="929" t="str">
        <f>IF(ISNUMBER(SEARCH($A26,VLOOKUP(KM$2,职业列表!$B$1:$G$370,6,0))),"★","")</f>
        <v/>
      </c>
      <c r="KN26" s="929" t="str">
        <f>IF(ISNUMBER(SEARCH($A26,VLOOKUP(KN$2,职业列表!$B$1:$G$370,6,0))),"★","")</f>
        <v/>
      </c>
      <c r="KO26" s="929" t="str">
        <f>IF(ISNUMBER(SEARCH($A26,VLOOKUP(KO$2,职业列表!$B$1:$G$370,6,0))),"★","")</f>
        <v/>
      </c>
      <c r="KP26" s="929" t="str">
        <f>IF(ISNUMBER(SEARCH($A26,VLOOKUP(KP$2,职业列表!$B$1:$G$370,6,0))),"★","")</f>
        <v/>
      </c>
      <c r="KQ26" s="929" t="str">
        <f>IF(ISNUMBER(SEARCH($A26,VLOOKUP(KQ$2,职业列表!$B$1:$G$370,6,0))),"★","")</f>
        <v/>
      </c>
      <c r="KR26" s="929" t="str">
        <f>IF(ISNUMBER(SEARCH($A26,VLOOKUP(KR$2,职业列表!$B$1:$G$370,6,0))),"★","")</f>
        <v/>
      </c>
      <c r="KS26" s="929" t="str">
        <f>IF(ISNUMBER(SEARCH($A26,VLOOKUP(KS$2,职业列表!$B$1:$G$370,6,0))),"★","")</f>
        <v/>
      </c>
      <c r="KT26" s="929" t="str">
        <f>IF(ISNUMBER(SEARCH($A26,VLOOKUP(KT$2,职业列表!$B$1:$G$370,6,0))),"★","")</f>
        <v/>
      </c>
      <c r="KU26" s="929" t="str">
        <f>IF(ISNUMBER(SEARCH($A26,VLOOKUP(KU$2,职业列表!$B$1:$G$370,6,0))),"★","")</f>
        <v/>
      </c>
      <c r="KV26" s="929" t="str">
        <f>IF(ISNUMBER(SEARCH($A26,VLOOKUP(KV$2,职业列表!$B$1:$G$370,6,0))),"★","")</f>
        <v/>
      </c>
      <c r="KW26" s="929" t="str">
        <f>IF(ISNUMBER(SEARCH($A26,VLOOKUP(KW$2,职业列表!$B$1:$G$370,6,0))),"★","")</f>
        <v/>
      </c>
      <c r="KX26" s="929" t="str">
        <f>IF(ISNUMBER(SEARCH($A26,VLOOKUP(KX$2,职业列表!$B$1:$G$370,6,0))),"★","")</f>
        <v/>
      </c>
      <c r="KY26" s="929" t="str">
        <f>IF(ISNUMBER(SEARCH($A26,VLOOKUP(KY$2,职业列表!$B$1:$G$370,6,0))),"★","")</f>
        <v/>
      </c>
      <c r="KZ26" s="929" t="str">
        <f>IF(ISNUMBER(SEARCH($A26,VLOOKUP(KZ$2,职业列表!$B$1:$G$370,6,0))),"★","")</f>
        <v/>
      </c>
      <c r="LA26" s="929" t="str">
        <f>IF(ISNUMBER(SEARCH($A26,VLOOKUP(LA$2,职业列表!$B$1:$G$370,6,0))),"★","")</f>
        <v/>
      </c>
      <c r="LB26" s="929" t="str">
        <f>IF(ISNUMBER(SEARCH($A26,VLOOKUP(LB$2,职业列表!$B$1:$G$370,6,0))),"★","")</f>
        <v/>
      </c>
      <c r="LC26" s="929" t="str">
        <f>IF(ISNUMBER(SEARCH($A26,VLOOKUP(LC$2,职业列表!$B$1:$G$370,6,0))),"★","")</f>
        <v/>
      </c>
      <c r="LD26" s="929" t="str">
        <f>IF(ISNUMBER(SEARCH($A26,VLOOKUP(LD$2,职业列表!$B$1:$G$370,6,0))),"★","")</f>
        <v/>
      </c>
      <c r="LE26" s="929" t="str">
        <f>IF(ISNUMBER(SEARCH($A26,VLOOKUP(LE$2,职业列表!$B$1:$G$370,6,0))),"★","")</f>
        <v/>
      </c>
      <c r="LF26" s="929" t="str">
        <f>IF(ISNUMBER(SEARCH($A26,VLOOKUP(LF$2,职业列表!$B$1:$G$370,6,0))),"★","")</f>
        <v/>
      </c>
      <c r="LG26" s="929" t="str">
        <f>IF(ISNUMBER(SEARCH($A26,VLOOKUP(LG$2,职业列表!$B$1:$G$370,6,0))),"★","")</f>
        <v/>
      </c>
      <c r="LH26" s="929" t="str">
        <f>IF(ISNUMBER(SEARCH($A26,VLOOKUP(LH$2,职业列表!$B$1:$G$370,6,0))),"★","")</f>
        <v/>
      </c>
      <c r="LI26" s="929" t="str">
        <f>IF(ISNUMBER(SEARCH($A26,VLOOKUP(LI$2,职业列表!$B$1:$G$370,6,0))),"★","")</f>
        <v/>
      </c>
      <c r="LJ26" s="929" t="str">
        <f>IF(ISNUMBER(SEARCH($A26,VLOOKUP(LJ$2,职业列表!$B$1:$G$370,6,0))),"★","")</f>
        <v/>
      </c>
      <c r="LK26" s="929" t="str">
        <f>IF(ISNUMBER(SEARCH($A26,VLOOKUP(LK$2,职业列表!$B$1:$G$370,6,0))),"★","")</f>
        <v/>
      </c>
      <c r="LL26" s="929" t="str">
        <f>IF(ISNUMBER(SEARCH($A26,VLOOKUP(LL$2,职业列表!$B$1:$G$370,6,0))),"★","")</f>
        <v>★</v>
      </c>
      <c r="LM26" s="929" t="str">
        <f>IF(ISNUMBER(SEARCH($A26,VLOOKUP(LM$2,职业列表!$B$1:$G$370,6,0))),"★","")</f>
        <v/>
      </c>
      <c r="LN26" s="929" t="str">
        <f>IF(ISNUMBER(SEARCH($A26,VLOOKUP(LN$2,职业列表!$B$1:$G$370,6,0))),"★","")</f>
        <v>★</v>
      </c>
      <c r="LO26" s="929" t="str">
        <f>IF(ISNUMBER(SEARCH($A26,VLOOKUP(LO$2,职业列表!$B$1:$G$370,6,0))),"★","")</f>
        <v/>
      </c>
      <c r="LP26" s="929" t="str">
        <f>IF(ISNUMBER(SEARCH($A26,VLOOKUP(LP$2,职业列表!$B$1:$G$370,6,0))),"★","")</f>
        <v>★</v>
      </c>
      <c r="LQ26" s="929" t="str">
        <f>IF(ISNUMBER(SEARCH($A26,VLOOKUP(LQ$2,职业列表!$B$1:$G$370,6,0))),"★","")</f>
        <v/>
      </c>
      <c r="LR26" s="929" t="str">
        <f>IF(ISNUMBER(SEARCH($A26,VLOOKUP(LR$2,职业列表!$B$1:$G$370,6,0))),"★","")</f>
        <v/>
      </c>
      <c r="LS26" s="929" t="str">
        <f>IF(ISNUMBER(SEARCH($A26,VLOOKUP(LS$2,职业列表!$B$1:$G$370,6,0))),"★","")</f>
        <v/>
      </c>
      <c r="LT26" s="929" t="str">
        <f>IF(ISNUMBER(SEARCH($A26,VLOOKUP(LT$2,职业列表!$B$1:$G$370,6,0))),"★","")</f>
        <v/>
      </c>
      <c r="LU26" s="929" t="str">
        <f>IF(ISNUMBER(SEARCH($A26,VLOOKUP(LU$2,职业列表!$B$1:$G$370,6,0))),"★","")</f>
        <v/>
      </c>
      <c r="LV26" s="929" t="str">
        <f>IF(ISNUMBER(SEARCH($A26,VLOOKUP(LV$2,职业列表!$B$1:$G$370,6,0))),"★","")</f>
        <v/>
      </c>
      <c r="LW26" s="929" t="str">
        <f>IF(ISNUMBER(SEARCH($A26,VLOOKUP(LW$2,职业列表!$B$1:$G$370,6,0))),"★","")</f>
        <v/>
      </c>
      <c r="LX26" s="929" t="str">
        <f>IF(ISNUMBER(SEARCH($A26,VLOOKUP(LX$2,职业列表!$B$1:$G$370,6,0))),"★","")</f>
        <v/>
      </c>
      <c r="LY26" s="929" t="str">
        <f>IF(ISNUMBER(SEARCH($A26,VLOOKUP(LY$2,职业列表!$B$1:$G$370,6,0))),"★","")</f>
        <v/>
      </c>
      <c r="LZ26" s="929" t="str">
        <f>IF(ISNUMBER(SEARCH($A26,VLOOKUP(LZ$2,职业列表!$B$1:$G$370,6,0))),"★","")</f>
        <v/>
      </c>
      <c r="MA26" s="929" t="str">
        <f>IF(ISNUMBER(SEARCH($A26,VLOOKUP(MA$2,职业列表!$B$1:$G$370,6,0))),"★","")</f>
        <v/>
      </c>
      <c r="MB26" s="929" t="str">
        <f>IF(ISNUMBER(SEARCH($A26,VLOOKUP(MB$2,职业列表!$B$1:$G$370,6,0))),"★","")</f>
        <v/>
      </c>
      <c r="MC26" s="929" t="str">
        <f>IF(ISNUMBER(SEARCH($A26,VLOOKUP(MC$2,职业列表!$B$1:$G$370,6,0))),"★","")</f>
        <v/>
      </c>
      <c r="MD26" s="929" t="str">
        <f>IF(ISNUMBER(SEARCH($A26,VLOOKUP(MD$2,职业列表!$B$1:$G$370,6,0))),"★","")</f>
        <v/>
      </c>
      <c r="ME26" s="929" t="str">
        <f>IF(ISNUMBER(SEARCH($A26,VLOOKUP(ME$2,职业列表!$B$1:$G$370,6,0))),"★","")</f>
        <v/>
      </c>
      <c r="MF26" s="929" t="str">
        <f>IF(ISNUMBER(SEARCH($A26,VLOOKUP(MF$2,职业列表!$B$1:$G$370,6,0))),"★","")</f>
        <v/>
      </c>
      <c r="MG26" s="929" t="str">
        <f>IF(ISNUMBER(SEARCH($A26,VLOOKUP(MG$2,职业列表!$B$1:$G$370,6,0))),"★","")</f>
        <v/>
      </c>
      <c r="MH26" s="929" t="str">
        <f>IF(ISNUMBER(SEARCH($A26,VLOOKUP(MH$2,职业列表!$B$1:$G$370,6,0))),"★","")</f>
        <v/>
      </c>
      <c r="MI26" s="929" t="str">
        <f>IF(ISNUMBER(SEARCH($A26,VLOOKUP(MI$2,职业列表!$B$1:$G$370,6,0))),"★","")</f>
        <v/>
      </c>
      <c r="MJ26" s="929" t="str">
        <f>IF(ISNUMBER(SEARCH($A26,VLOOKUP(MJ$2,职业列表!$B$1:$G$370,6,0))),"★","")</f>
        <v/>
      </c>
      <c r="MK26" s="929" t="str">
        <f>IF(ISNUMBER(SEARCH($A26,VLOOKUP(MK$2,职业列表!$B$1:$G$370,6,0))),"★","")</f>
        <v/>
      </c>
      <c r="ML26" s="929" t="str">
        <f>IF(ISNUMBER(SEARCH($A26,VLOOKUP(ML$2,职业列表!$B$1:$G$370,6,0))),"★","")</f>
        <v/>
      </c>
      <c r="MM26" s="929" t="str">
        <f>IF(ISNUMBER(SEARCH($A26,VLOOKUP(MM$2,职业列表!$B$1:$G$370,6,0))),"★","")</f>
        <v/>
      </c>
      <c r="MN26" s="929" t="str">
        <f>IF(ISNUMBER(SEARCH($A26,VLOOKUP(MN$2,职业列表!$B$1:$G$370,6,0))),"★","")</f>
        <v/>
      </c>
      <c r="MO26" s="929" t="str">
        <f>IF(ISNUMBER(SEARCH($A26,VLOOKUP(MO$2,职业列表!$B$1:$G$370,6,0))),"★","")</f>
        <v/>
      </c>
      <c r="MP26" s="929" t="str">
        <f>IF(ISNUMBER(SEARCH($A26,VLOOKUP(MP$2,职业列表!$B$1:$G$370,6,0))),"★","")</f>
        <v/>
      </c>
      <c r="MQ26" s="929" t="str">
        <f>IF(ISNUMBER(SEARCH($A26,VLOOKUP(MQ$2,职业列表!$B$1:$G$370,6,0))),"★","")</f>
        <v/>
      </c>
      <c r="MR26" s="929" t="str">
        <f>IF(ISNUMBER(SEARCH($A26,VLOOKUP(MR$2,职业列表!$B$1:$G$370,6,0))),"★","")</f>
        <v/>
      </c>
      <c r="MS26" s="929" t="str">
        <f>IF(ISNUMBER(SEARCH($A26,VLOOKUP(MS$2,职业列表!$B$1:$G$370,6,0))),"★","")</f>
        <v/>
      </c>
      <c r="MT26" s="929" t="str">
        <f>IF(ISNUMBER(SEARCH($A26,VLOOKUP(MT$2,职业列表!$B$1:$G$370,6,0))),"★","")</f>
        <v/>
      </c>
      <c r="MU26" s="929" t="str">
        <f>IF(ISNUMBER(SEARCH($A26,VLOOKUP(MU$2,职业列表!$B$1:$G$370,6,0))),"★","")</f>
        <v/>
      </c>
      <c r="MV26" s="929" t="str">
        <f>IF(ISNUMBER(SEARCH($A26,VLOOKUP(MV$2,职业列表!$B$1:$G$370,6,0))),"★","")</f>
        <v/>
      </c>
      <c r="MW26" s="929" t="str">
        <f>IF(ISNUMBER(SEARCH($A26,VLOOKUP(MW$2,职业列表!$B$1:$G$370,6,0))),"★","")</f>
        <v/>
      </c>
      <c r="MX26" s="929" t="str">
        <f>IF(ISNUMBER(SEARCH($A26,VLOOKUP(MX$2,职业列表!$B$1:$G$370,6,0))),"★","")</f>
        <v/>
      </c>
      <c r="MY26" s="929" t="str">
        <f>IF(ISNUMBER(SEARCH($A26,VLOOKUP(MY$2,职业列表!$B$1:$G$370,6,0))),"★","")</f>
        <v/>
      </c>
      <c r="MZ26" s="929" t="str">
        <f>IF(ISNUMBER(SEARCH($A26,VLOOKUP(MZ$2,职业列表!$B$1:$G$370,6,0))),"★","")</f>
        <v/>
      </c>
      <c r="NA26" s="929" t="str">
        <f>IF(ISNUMBER(SEARCH($A26,VLOOKUP(NA$2,职业列表!$B$1:$G$370,6,0))),"★","")</f>
        <v/>
      </c>
      <c r="NB26" s="929" t="str">
        <f>IF(ISNUMBER(SEARCH($A26,VLOOKUP(NB$2,职业列表!$B$1:$G$370,6,0))),"★","")</f>
        <v/>
      </c>
      <c r="NC26" s="929" t="str">
        <f>IF(ISNUMBER(SEARCH($A26,VLOOKUP(NC$2,职业列表!$B$1:$G$370,6,0))),"★","")</f>
        <v/>
      </c>
      <c r="ND26" s="929" t="str">
        <f>IF(ISNUMBER(SEARCH($A26,VLOOKUP(ND$2,职业列表!$B$1:$G$370,6,0))),"★","")</f>
        <v/>
      </c>
      <c r="NE26" s="929" t="str">
        <f>IF(ISNUMBER(SEARCH($A26,VLOOKUP(NE$2,职业列表!$B$1:$G$370,6,0))),"★","")</f>
        <v/>
      </c>
    </row>
    <row r="27" customFormat="1" spans="1:369">
      <c r="A27" s="932" t="s">
        <v>126</v>
      </c>
      <c r="B27" s="939" t="str">
        <f>IF(OR(A27="说服",A27="话术",A27="取悦",A27="恐吓"),"☯",IF(ISNUMBER(SEARCH(A27,VLOOKUP(IX$2,职业列表!$B$1:$G$370,6,0))),"★",""))</f>
        <v/>
      </c>
      <c r="C27" s="939" t="str">
        <f>IF(ISTEXT(IFERROR(VLOOKUP(A27,职业列表!I3:P12,1,FALSE),0)),"★","")</f>
        <v/>
      </c>
      <c r="D27" s="939"/>
      <c r="E27" s="939"/>
      <c r="F27" s="939" t="s">
        <v>74</v>
      </c>
      <c r="G27" s="939"/>
      <c r="H27" s="939"/>
      <c r="I27" s="939"/>
      <c r="J27" s="939"/>
      <c r="K27" s="939"/>
      <c r="L27" s="939"/>
      <c r="M27" s="939"/>
      <c r="N27" s="939"/>
      <c r="O27" s="939"/>
      <c r="P27" s="939"/>
      <c r="Q27" s="939"/>
      <c r="R27" s="939"/>
      <c r="S27" s="939"/>
      <c r="T27" s="939"/>
      <c r="U27" s="939"/>
      <c r="V27" s="939" t="s">
        <v>2717</v>
      </c>
      <c r="W27" s="939"/>
      <c r="X27" s="939"/>
      <c r="Y27" s="939"/>
      <c r="Z27" s="939"/>
      <c r="AA27" s="939"/>
      <c r="AB27" s="939" t="s">
        <v>2717</v>
      </c>
      <c r="AC27" s="939"/>
      <c r="AD27" s="939" t="s">
        <v>74</v>
      </c>
      <c r="AE27" s="939" t="s">
        <v>74</v>
      </c>
      <c r="AF27" s="939" t="s">
        <v>74</v>
      </c>
      <c r="AG27" s="939"/>
      <c r="AH27" s="939"/>
      <c r="AI27" s="939" t="s">
        <v>2717</v>
      </c>
      <c r="AJ27" s="939"/>
      <c r="AK27" s="939"/>
      <c r="AL27" s="939"/>
      <c r="AM27" s="939"/>
      <c r="AN27" s="939" t="s">
        <v>74</v>
      </c>
      <c r="AO27" s="939"/>
      <c r="AP27" s="939"/>
      <c r="AQ27" s="939"/>
      <c r="AR27" s="939"/>
      <c r="AS27" s="939"/>
      <c r="AT27" s="939"/>
      <c r="AU27" s="939"/>
      <c r="AV27" s="939"/>
      <c r="AW27" s="939"/>
      <c r="AX27" s="939"/>
      <c r="AY27" s="939"/>
      <c r="AZ27" s="939"/>
      <c r="BA27" s="939"/>
      <c r="BB27" s="939"/>
      <c r="BC27" s="939"/>
      <c r="BD27" s="939"/>
      <c r="BE27" s="939"/>
      <c r="BF27" s="939"/>
      <c r="BG27" s="939"/>
      <c r="BH27" s="939"/>
      <c r="BI27" s="939"/>
      <c r="BJ27" s="939" t="s">
        <v>74</v>
      </c>
      <c r="BK27" s="939" t="s">
        <v>74</v>
      </c>
      <c r="BL27" s="939"/>
      <c r="BM27" s="939"/>
      <c r="BN27" s="939"/>
      <c r="BO27" s="939"/>
      <c r="BP27" s="939"/>
      <c r="BQ27" s="939"/>
      <c r="BR27" s="939"/>
      <c r="BS27" s="939" t="s">
        <v>74</v>
      </c>
      <c r="BT27" s="940"/>
      <c r="BU27" s="939"/>
      <c r="BV27" s="939"/>
      <c r="BW27" s="939"/>
      <c r="BX27" s="939"/>
      <c r="BY27" s="939"/>
      <c r="BZ27" s="939"/>
      <c r="CA27" s="939"/>
      <c r="CB27" s="939"/>
      <c r="CC27" s="939"/>
      <c r="CD27" s="939"/>
      <c r="CE27" s="939"/>
      <c r="CF27" s="939"/>
      <c r="CG27" s="939"/>
      <c r="CH27" s="939"/>
      <c r="CI27" s="939"/>
      <c r="CJ27" s="939"/>
      <c r="CK27" s="939"/>
      <c r="CL27" s="939"/>
      <c r="CM27" s="939"/>
      <c r="CN27" s="939"/>
      <c r="CO27" s="939"/>
      <c r="CP27" s="939"/>
      <c r="CQ27" s="939"/>
      <c r="CR27" s="939"/>
      <c r="CS27" s="939"/>
      <c r="CT27" s="939"/>
      <c r="CU27" s="939"/>
      <c r="CV27" s="939" t="s">
        <v>74</v>
      </c>
      <c r="CW27" s="939"/>
      <c r="CX27" s="939"/>
      <c r="CY27" s="939"/>
      <c r="CZ27" s="939"/>
      <c r="DA27" s="939"/>
      <c r="DB27" s="939" t="s">
        <v>74</v>
      </c>
      <c r="DC27" s="939"/>
      <c r="DD27" s="939"/>
      <c r="DE27" s="939" t="s">
        <v>74</v>
      </c>
      <c r="DF27" s="939" t="s">
        <v>2716</v>
      </c>
      <c r="DG27" s="939"/>
      <c r="DH27" s="939"/>
      <c r="DI27" s="939"/>
      <c r="DJ27" s="939"/>
      <c r="DK27" s="939"/>
      <c r="DL27" s="939"/>
      <c r="DM27" s="939"/>
      <c r="DN27" s="939"/>
      <c r="DO27" s="939"/>
      <c r="DP27" s="939"/>
      <c r="DQ27" s="939"/>
      <c r="DR27" s="939"/>
      <c r="DS27" s="939"/>
      <c r="DT27" s="939"/>
      <c r="DU27" s="939"/>
      <c r="DV27" s="939"/>
      <c r="DW27" s="939"/>
      <c r="DX27" s="939"/>
      <c r="DY27" s="939"/>
      <c r="DZ27" s="939"/>
      <c r="EA27" s="939"/>
      <c r="EB27" s="939"/>
      <c r="EC27" s="939"/>
      <c r="ED27" s="939"/>
      <c r="EE27" s="939"/>
      <c r="EF27" s="939"/>
      <c r="EG27" s="939"/>
      <c r="EH27" s="939"/>
      <c r="EI27" s="939"/>
      <c r="EJ27" s="939"/>
      <c r="EK27" s="939"/>
      <c r="EL27" s="939"/>
      <c r="EM27" s="939"/>
      <c r="EN27" s="939"/>
      <c r="EO27" s="939"/>
      <c r="EP27" s="939"/>
      <c r="EQ27" s="939"/>
      <c r="ER27" s="939"/>
      <c r="ES27" s="939"/>
      <c r="ET27" s="939"/>
      <c r="EU27" s="939"/>
      <c r="EV27" s="939"/>
      <c r="EW27" s="939"/>
      <c r="EX27" s="939"/>
      <c r="EY27" s="939"/>
      <c r="EZ27" s="939"/>
      <c r="FA27" s="939"/>
      <c r="FB27" s="939"/>
      <c r="FC27" s="939"/>
      <c r="FD27" s="939"/>
      <c r="FE27" s="939"/>
      <c r="FF27" s="939"/>
      <c r="FG27" s="939"/>
      <c r="FH27" s="939"/>
      <c r="FI27" s="939"/>
      <c r="FJ27" s="939"/>
      <c r="FK27" s="939"/>
      <c r="FL27" s="939"/>
      <c r="FM27" s="939"/>
      <c r="FN27" s="939"/>
      <c r="FO27" s="939"/>
      <c r="FP27" s="939"/>
      <c r="FQ27" s="939"/>
      <c r="FR27" s="939"/>
      <c r="FS27" s="939"/>
      <c r="FT27" s="939"/>
      <c r="FU27" s="939"/>
      <c r="FV27" s="939"/>
      <c r="FW27" s="939"/>
      <c r="FX27" s="939"/>
      <c r="FY27" s="939"/>
      <c r="FZ27" s="939"/>
      <c r="GA27" s="939" t="s">
        <v>74</v>
      </c>
      <c r="GB27" s="939"/>
      <c r="GC27" s="939" t="s">
        <v>74</v>
      </c>
      <c r="GD27" s="939" t="s">
        <v>74</v>
      </c>
      <c r="GE27" s="939"/>
      <c r="GF27" s="939"/>
      <c r="GG27" s="939"/>
      <c r="GH27" s="939"/>
      <c r="GI27" s="939"/>
      <c r="GJ27" s="939"/>
      <c r="GK27" s="939"/>
      <c r="GL27" s="939"/>
      <c r="GM27" s="939"/>
      <c r="GN27" s="939"/>
      <c r="GO27" s="939"/>
      <c r="GP27" s="939"/>
      <c r="GQ27" s="939"/>
      <c r="GR27" s="939"/>
      <c r="GS27" s="939"/>
      <c r="GT27" s="939"/>
      <c r="GU27" s="939" t="s">
        <v>74</v>
      </c>
      <c r="GV27" s="939"/>
      <c r="GW27" s="939"/>
      <c r="GX27" s="939"/>
      <c r="GY27" s="939"/>
      <c r="GZ27" s="939"/>
      <c r="HA27" s="939"/>
      <c r="HB27" s="939"/>
      <c r="HC27" s="939"/>
      <c r="HD27" s="939"/>
      <c r="HE27" s="939"/>
      <c r="HF27" s="939"/>
      <c r="HG27" s="939"/>
      <c r="HH27" s="939" t="s">
        <v>74</v>
      </c>
      <c r="HI27" s="939"/>
      <c r="HJ27" s="939"/>
      <c r="HK27" s="940"/>
      <c r="HL27" s="939"/>
      <c r="HM27" s="939"/>
      <c r="HN27" s="939"/>
      <c r="HO27" s="939"/>
      <c r="HP27" s="939"/>
      <c r="HQ27" s="939"/>
      <c r="HR27" s="939"/>
      <c r="HS27" s="939"/>
      <c r="HT27" s="939"/>
      <c r="HU27" s="939"/>
      <c r="HV27" s="939"/>
      <c r="HW27" s="939"/>
      <c r="HX27" s="990"/>
      <c r="HY27" s="1012"/>
      <c r="HZ27" s="1012"/>
      <c r="IA27" s="1012"/>
      <c r="IB27" s="1012"/>
      <c r="IC27" s="1013"/>
      <c r="ID27" s="1013"/>
      <c r="IE27" s="939" t="s">
        <v>74</v>
      </c>
      <c r="IF27" s="1012"/>
      <c r="IG27" s="1012"/>
      <c r="IH27" s="1012"/>
      <c r="II27" s="1012"/>
      <c r="IJ27" s="1012"/>
      <c r="IK27" s="1012"/>
      <c r="IL27" s="1012"/>
      <c r="IM27" s="1012"/>
      <c r="IN27" s="939" t="s">
        <v>74</v>
      </c>
      <c r="IO27" s="1012"/>
      <c r="IP27" s="1013"/>
      <c r="IQ27" s="1013"/>
      <c r="IR27" s="1012"/>
      <c r="IS27" s="1012"/>
      <c r="IT27" s="1012"/>
      <c r="IU27" s="1012"/>
      <c r="IV27" s="1012"/>
      <c r="IW27" s="929"/>
      <c r="IX27" s="929" t="str">
        <f>IF(ISNUMBER(SEARCH($A27,VLOOKUP(IX$2,职业列表!$B$1:$G$370,6,0))),"★","")</f>
        <v/>
      </c>
      <c r="IY27" s="929" t="str">
        <f>IF(ISNUMBER(SEARCH($A27,VLOOKUP(IY$2,职业列表!$B$1:$G$370,6,0))),"★","")</f>
        <v/>
      </c>
      <c r="IZ27" s="929" t="str">
        <f>IF(ISNUMBER(SEARCH($A27,VLOOKUP(IZ$2,职业列表!$B$1:$G$370,6,0))),"★","")</f>
        <v/>
      </c>
      <c r="JA27" s="929" t="str">
        <f>IF(ISNUMBER(SEARCH($A27,VLOOKUP(JA$2,职业列表!$B$1:$G$370,6,0))),"★","")</f>
        <v/>
      </c>
      <c r="JB27" s="929" t="str">
        <f>IF(ISNUMBER(SEARCH($A27,VLOOKUP(JB$2,职业列表!$B$1:$G$370,6,0))),"★","")</f>
        <v/>
      </c>
      <c r="JC27" s="929" t="str">
        <f>IF(ISNUMBER(SEARCH($A27,VLOOKUP(JC$2,职业列表!$B$1:$G$370,6,0))),"★","")</f>
        <v/>
      </c>
      <c r="JD27" s="929" t="str">
        <f>IF(ISNUMBER(SEARCH($A27,VLOOKUP(JD$2,职业列表!$B$1:$G$370,6,0))),"★","")</f>
        <v/>
      </c>
      <c r="JE27" s="929" t="str">
        <f>IF(ISNUMBER(SEARCH($A27,VLOOKUP(JE$2,职业列表!$B$1:$G$370,6,0))),"★","")</f>
        <v/>
      </c>
      <c r="JF27" s="929" t="str">
        <f>IF(ISNUMBER(SEARCH($A27,VLOOKUP(JF$2,职业列表!$B$1:$G$370,6,0))),"★","")</f>
        <v/>
      </c>
      <c r="JG27" s="929" t="str">
        <f>IF(ISNUMBER(SEARCH($A27,VLOOKUP(JG$2,职业列表!$B$1:$G$370,6,0))),"★","")</f>
        <v/>
      </c>
      <c r="JH27" s="929" t="str">
        <f>IF(ISNUMBER(SEARCH($A27,VLOOKUP(JH$2,职业列表!$B$1:$G$370,6,0))),"★","")</f>
        <v/>
      </c>
      <c r="JI27" s="929" t="str">
        <f>IF(ISNUMBER(SEARCH($A27,VLOOKUP(JI$2,职业列表!$B$1:$G$370,6,0))),"★","")</f>
        <v/>
      </c>
      <c r="JJ27" s="929" t="str">
        <f>IF(ISNUMBER(SEARCH($A27,VLOOKUP(JJ$2,职业列表!$B$1:$G$370,6,0))),"★","")</f>
        <v/>
      </c>
      <c r="JK27" s="929" t="str">
        <f>IF(ISNUMBER(SEARCH($A27,VLOOKUP(JK$2,职业列表!$B$1:$G$370,6,0))),"★","")</f>
        <v/>
      </c>
      <c r="JL27" s="929" t="str">
        <f>IF(ISNUMBER(SEARCH($A27,VLOOKUP(JL$2,职业列表!$B$1:$G$370,6,0))),"★","")</f>
        <v/>
      </c>
      <c r="JM27" s="929" t="str">
        <f>IF(ISNUMBER(SEARCH($A27,VLOOKUP(JM$2,职业列表!$B$1:$G$370,6,0))),"★","")</f>
        <v/>
      </c>
      <c r="JN27" s="929" t="str">
        <f>IF(ISNUMBER(SEARCH($A27,VLOOKUP(JN$2,职业列表!$B$1:$G$370,6,0))),"★","")</f>
        <v/>
      </c>
      <c r="JO27" s="929" t="str">
        <f>IF(ISNUMBER(SEARCH($A27,VLOOKUP(JO$2,职业列表!$B$1:$G$370,6,0))),"★","")</f>
        <v/>
      </c>
      <c r="JP27" s="929" t="str">
        <f>IF(ISNUMBER(SEARCH($A27,VLOOKUP(JP$2,职业列表!$B$1:$G$370,6,0))),"★","")</f>
        <v/>
      </c>
      <c r="JQ27" s="929" t="str">
        <f>IF(ISNUMBER(SEARCH($A27,VLOOKUP(JQ$2,职业列表!$B$1:$G$370,6,0))),"★","")</f>
        <v/>
      </c>
      <c r="JR27" s="929" t="str">
        <f>IF(ISNUMBER(SEARCH($A27,VLOOKUP(JR$2,职业列表!$B$1:$G$370,6,0))),"★","")</f>
        <v/>
      </c>
      <c r="JS27" s="929" t="str">
        <f>IF(ISNUMBER(SEARCH($A27,VLOOKUP(JS$2,职业列表!$B$1:$G$370,6,0))),"★","")</f>
        <v/>
      </c>
      <c r="JT27" s="929" t="str">
        <f>IF(ISNUMBER(SEARCH($A27,VLOOKUP(JT$2,职业列表!$B$1:$G$370,6,0))),"★","")</f>
        <v/>
      </c>
      <c r="JU27" s="929" t="str">
        <f>IF(ISNUMBER(SEARCH($A27,VLOOKUP(JU$2,职业列表!$B$1:$G$370,6,0))),"★","")</f>
        <v/>
      </c>
      <c r="JV27" s="929" t="str">
        <f>IF(ISNUMBER(SEARCH($A27,VLOOKUP(JV$2,职业列表!$B$1:$G$370,6,0))),"★","")</f>
        <v/>
      </c>
      <c r="JW27" s="929" t="str">
        <f>IF(ISNUMBER(SEARCH($A27,VLOOKUP(JW$2,职业列表!$B$1:$G$370,6,0))),"★","")</f>
        <v/>
      </c>
      <c r="JX27" s="929" t="str">
        <f>IF(ISNUMBER(SEARCH($A27,VLOOKUP(JX$2,职业列表!$B$1:$G$370,6,0))),"★","")</f>
        <v/>
      </c>
      <c r="JY27" s="929" t="str">
        <f>IF(ISNUMBER(SEARCH($A27,VLOOKUP(JY$2,职业列表!$B$1:$G$370,6,0))),"★","")</f>
        <v/>
      </c>
      <c r="JZ27" s="929" t="str">
        <f>IF(ISNUMBER(SEARCH($A27,VLOOKUP(JZ$2,职业列表!$B$1:$G$370,6,0))),"★","")</f>
        <v/>
      </c>
      <c r="KA27" s="929" t="str">
        <f>IF(ISNUMBER(SEARCH($A27,VLOOKUP(KA$2,职业列表!$B$1:$G$370,6,0))),"★","")</f>
        <v/>
      </c>
      <c r="KB27" s="929" t="str">
        <f>IF(ISNUMBER(SEARCH($A27,VLOOKUP(KB$2,职业列表!$B$1:$G$370,6,0))),"★","")</f>
        <v/>
      </c>
      <c r="KC27" s="929" t="str">
        <f>IF(ISNUMBER(SEARCH($A27,VLOOKUP(KC$2,职业列表!$B$1:$G$370,6,0))),"★","")</f>
        <v/>
      </c>
      <c r="KD27" s="929" t="str">
        <f>IF(ISNUMBER(SEARCH($A27,VLOOKUP(KD$2,职业列表!$B$1:$G$370,6,0))),"★","")</f>
        <v/>
      </c>
      <c r="KE27" s="929" t="str">
        <f>IF(ISNUMBER(SEARCH($A27,VLOOKUP(KE$2,职业列表!$B$1:$G$370,6,0))),"★","")</f>
        <v/>
      </c>
      <c r="KF27" s="929" t="str">
        <f>IF(ISNUMBER(SEARCH($A27,VLOOKUP(KF$2,职业列表!$B$1:$G$370,6,0))),"★","")</f>
        <v/>
      </c>
      <c r="KG27" s="929" t="str">
        <f>IF(ISNUMBER(SEARCH($A27,VLOOKUP(KG$2,职业列表!$B$1:$G$370,6,0))),"★","")</f>
        <v/>
      </c>
      <c r="KH27" s="929" t="str">
        <f>IF(ISNUMBER(SEARCH($A27,VLOOKUP(KH$2,职业列表!$B$1:$G$370,6,0))),"★","")</f>
        <v/>
      </c>
      <c r="KI27" s="929" t="str">
        <f>IF(ISNUMBER(SEARCH($A27,VLOOKUP(KI$2,职业列表!$B$1:$G$370,6,0))),"★","")</f>
        <v/>
      </c>
      <c r="KJ27" s="929" t="str">
        <f>IF(ISNUMBER(SEARCH($A27,VLOOKUP(KJ$2,职业列表!$B$1:$G$370,6,0))),"★","")</f>
        <v/>
      </c>
      <c r="KK27" s="929" t="str">
        <f>IF(ISNUMBER(SEARCH($A27,VLOOKUP(KK$2,职业列表!$B$1:$G$370,6,0))),"★","")</f>
        <v/>
      </c>
      <c r="KL27" s="929" t="str">
        <f>IF(ISNUMBER(SEARCH($A27,VLOOKUP(KL$2,职业列表!$B$1:$G$370,6,0))),"★","")</f>
        <v/>
      </c>
      <c r="KM27" s="929" t="str">
        <f>IF(ISNUMBER(SEARCH($A27,VLOOKUP(KM$2,职业列表!$B$1:$G$370,6,0))),"★","")</f>
        <v/>
      </c>
      <c r="KN27" s="929" t="str">
        <f>IF(ISNUMBER(SEARCH($A27,VLOOKUP(KN$2,职业列表!$B$1:$G$370,6,0))),"★","")</f>
        <v/>
      </c>
      <c r="KO27" s="929" t="str">
        <f>IF(ISNUMBER(SEARCH($A27,VLOOKUP(KO$2,职业列表!$B$1:$G$370,6,0))),"★","")</f>
        <v/>
      </c>
      <c r="KP27" s="929" t="str">
        <f>IF(ISNUMBER(SEARCH($A27,VLOOKUP(KP$2,职业列表!$B$1:$G$370,6,0))),"★","")</f>
        <v/>
      </c>
      <c r="KQ27" s="929" t="str">
        <f>IF(ISNUMBER(SEARCH($A27,VLOOKUP(KQ$2,职业列表!$B$1:$G$370,6,0))),"★","")</f>
        <v/>
      </c>
      <c r="KR27" s="929" t="str">
        <f>IF(ISNUMBER(SEARCH($A27,VLOOKUP(KR$2,职业列表!$B$1:$G$370,6,0))),"★","")</f>
        <v/>
      </c>
      <c r="KS27" s="929" t="str">
        <f>IF(ISNUMBER(SEARCH($A27,VLOOKUP(KS$2,职业列表!$B$1:$G$370,6,0))),"★","")</f>
        <v/>
      </c>
      <c r="KT27" s="929" t="str">
        <f>IF(ISNUMBER(SEARCH($A27,VLOOKUP(KT$2,职业列表!$B$1:$G$370,6,0))),"★","")</f>
        <v/>
      </c>
      <c r="KU27" s="929" t="str">
        <f>IF(ISNUMBER(SEARCH($A27,VLOOKUP(KU$2,职业列表!$B$1:$G$370,6,0))),"★","")</f>
        <v/>
      </c>
      <c r="KV27" s="929" t="str">
        <f>IF(ISNUMBER(SEARCH($A27,VLOOKUP(KV$2,职业列表!$B$1:$G$370,6,0))),"★","")</f>
        <v/>
      </c>
      <c r="KW27" s="929" t="str">
        <f>IF(ISNUMBER(SEARCH($A27,VLOOKUP(KW$2,职业列表!$B$1:$G$370,6,0))),"★","")</f>
        <v/>
      </c>
      <c r="KX27" s="929" t="str">
        <f>IF(ISNUMBER(SEARCH($A27,VLOOKUP(KX$2,职业列表!$B$1:$G$370,6,0))),"★","")</f>
        <v/>
      </c>
      <c r="KY27" s="929" t="str">
        <f>IF(ISNUMBER(SEARCH($A27,VLOOKUP(KY$2,职业列表!$B$1:$G$370,6,0))),"★","")</f>
        <v/>
      </c>
      <c r="KZ27" s="929" t="str">
        <f>IF(ISNUMBER(SEARCH($A27,VLOOKUP(KZ$2,职业列表!$B$1:$G$370,6,0))),"★","")</f>
        <v/>
      </c>
      <c r="LA27" s="929" t="str">
        <f>IF(ISNUMBER(SEARCH($A27,VLOOKUP(LA$2,职业列表!$B$1:$G$370,6,0))),"★","")</f>
        <v/>
      </c>
      <c r="LB27" s="929" t="str">
        <f>IF(ISNUMBER(SEARCH($A27,VLOOKUP(LB$2,职业列表!$B$1:$G$370,6,0))),"★","")</f>
        <v/>
      </c>
      <c r="LC27" s="929" t="str">
        <f>IF(ISNUMBER(SEARCH($A27,VLOOKUP(LC$2,职业列表!$B$1:$G$370,6,0))),"★","")</f>
        <v/>
      </c>
      <c r="LD27" s="929" t="str">
        <f>IF(ISNUMBER(SEARCH($A27,VLOOKUP(LD$2,职业列表!$B$1:$G$370,6,0))),"★","")</f>
        <v/>
      </c>
      <c r="LE27" s="929" t="str">
        <f>IF(ISNUMBER(SEARCH($A27,VLOOKUP(LE$2,职业列表!$B$1:$G$370,6,0))),"★","")</f>
        <v/>
      </c>
      <c r="LF27" s="929" t="str">
        <f>IF(ISNUMBER(SEARCH($A27,VLOOKUP(LF$2,职业列表!$B$1:$G$370,6,0))),"★","")</f>
        <v/>
      </c>
      <c r="LG27" s="929" t="str">
        <f>IF(ISNUMBER(SEARCH($A27,VLOOKUP(LG$2,职业列表!$B$1:$G$370,6,0))),"★","")</f>
        <v/>
      </c>
      <c r="LH27" s="929" t="str">
        <f>IF(ISNUMBER(SEARCH($A27,VLOOKUP(LH$2,职业列表!$B$1:$G$370,6,0))),"★","")</f>
        <v/>
      </c>
      <c r="LI27" s="929" t="str">
        <f>IF(ISNUMBER(SEARCH($A27,VLOOKUP(LI$2,职业列表!$B$1:$G$370,6,0))),"★","")</f>
        <v/>
      </c>
      <c r="LJ27" s="929" t="str">
        <f>IF(ISNUMBER(SEARCH($A27,VLOOKUP(LJ$2,职业列表!$B$1:$G$370,6,0))),"★","")</f>
        <v/>
      </c>
      <c r="LK27" s="929" t="str">
        <f>IF(ISNUMBER(SEARCH($A27,VLOOKUP(LK$2,职业列表!$B$1:$G$370,6,0))),"★","")</f>
        <v/>
      </c>
      <c r="LL27" s="929" t="str">
        <f>IF(ISNUMBER(SEARCH($A27,VLOOKUP(LL$2,职业列表!$B$1:$G$370,6,0))),"★","")</f>
        <v/>
      </c>
      <c r="LM27" s="929" t="str">
        <f>IF(ISNUMBER(SEARCH($A27,VLOOKUP(LM$2,职业列表!$B$1:$G$370,6,0))),"★","")</f>
        <v/>
      </c>
      <c r="LN27" s="929" t="str">
        <f>IF(ISNUMBER(SEARCH($A27,VLOOKUP(LN$2,职业列表!$B$1:$G$370,6,0))),"★","")</f>
        <v>★</v>
      </c>
      <c r="LO27" s="929" t="str">
        <f>IF(ISNUMBER(SEARCH($A27,VLOOKUP(LO$2,职业列表!$B$1:$G$370,6,0))),"★","")</f>
        <v/>
      </c>
      <c r="LP27" s="929" t="str">
        <f>IF(ISNUMBER(SEARCH($A27,VLOOKUP(LP$2,职业列表!$B$1:$G$370,6,0))),"★","")</f>
        <v/>
      </c>
      <c r="LQ27" s="929" t="str">
        <f>IF(ISNUMBER(SEARCH($A27,VLOOKUP(LQ$2,职业列表!$B$1:$G$370,6,0))),"★","")</f>
        <v/>
      </c>
      <c r="LR27" s="929" t="str">
        <f>IF(ISNUMBER(SEARCH($A27,VLOOKUP(LR$2,职业列表!$B$1:$G$370,6,0))),"★","")</f>
        <v/>
      </c>
      <c r="LS27" s="929" t="str">
        <f>IF(ISNUMBER(SEARCH($A27,VLOOKUP(LS$2,职业列表!$B$1:$G$370,6,0))),"★","")</f>
        <v/>
      </c>
      <c r="LT27" s="929" t="str">
        <f>IF(ISNUMBER(SEARCH($A27,VLOOKUP(LT$2,职业列表!$B$1:$G$370,6,0))),"★","")</f>
        <v/>
      </c>
      <c r="LU27" s="929" t="str">
        <f>IF(ISNUMBER(SEARCH($A27,VLOOKUP(LU$2,职业列表!$B$1:$G$370,6,0))),"★","")</f>
        <v/>
      </c>
      <c r="LV27" s="929" t="str">
        <f>IF(ISNUMBER(SEARCH($A27,VLOOKUP(LV$2,职业列表!$B$1:$G$370,6,0))),"★","")</f>
        <v/>
      </c>
      <c r="LW27" s="929" t="str">
        <f>IF(ISNUMBER(SEARCH($A27,VLOOKUP(LW$2,职业列表!$B$1:$G$370,6,0))),"★","")</f>
        <v/>
      </c>
      <c r="LX27" s="929" t="str">
        <f>IF(ISNUMBER(SEARCH($A27,VLOOKUP(LX$2,职业列表!$B$1:$G$370,6,0))),"★","")</f>
        <v/>
      </c>
      <c r="LY27" s="929" t="str">
        <f>IF(ISNUMBER(SEARCH($A27,VLOOKUP(LY$2,职业列表!$B$1:$G$370,6,0))),"★","")</f>
        <v/>
      </c>
      <c r="LZ27" s="929" t="str">
        <f>IF(ISNUMBER(SEARCH($A27,VLOOKUP(LZ$2,职业列表!$B$1:$G$370,6,0))),"★","")</f>
        <v/>
      </c>
      <c r="MA27" s="929" t="str">
        <f>IF(ISNUMBER(SEARCH($A27,VLOOKUP(MA$2,职业列表!$B$1:$G$370,6,0))),"★","")</f>
        <v/>
      </c>
      <c r="MB27" s="929" t="str">
        <f>IF(ISNUMBER(SEARCH($A27,VLOOKUP(MB$2,职业列表!$B$1:$G$370,6,0))),"★","")</f>
        <v/>
      </c>
      <c r="MC27" s="929" t="str">
        <f>IF(ISNUMBER(SEARCH($A27,VLOOKUP(MC$2,职业列表!$B$1:$G$370,6,0))),"★","")</f>
        <v/>
      </c>
      <c r="MD27" s="929" t="str">
        <f>IF(ISNUMBER(SEARCH($A27,VLOOKUP(MD$2,职业列表!$B$1:$G$370,6,0))),"★","")</f>
        <v/>
      </c>
      <c r="ME27" s="929" t="str">
        <f>IF(ISNUMBER(SEARCH($A27,VLOOKUP(ME$2,职业列表!$B$1:$G$370,6,0))),"★","")</f>
        <v/>
      </c>
      <c r="MF27" s="929" t="str">
        <f>IF(ISNUMBER(SEARCH($A27,VLOOKUP(MF$2,职业列表!$B$1:$G$370,6,0))),"★","")</f>
        <v/>
      </c>
      <c r="MG27" s="929" t="str">
        <f>IF(ISNUMBER(SEARCH($A27,VLOOKUP(MG$2,职业列表!$B$1:$G$370,6,0))),"★","")</f>
        <v/>
      </c>
      <c r="MH27" s="929" t="str">
        <f>IF(ISNUMBER(SEARCH($A27,VLOOKUP(MH$2,职业列表!$B$1:$G$370,6,0))),"★","")</f>
        <v/>
      </c>
      <c r="MI27" s="929" t="str">
        <f>IF(ISNUMBER(SEARCH($A27,VLOOKUP(MI$2,职业列表!$B$1:$G$370,6,0))),"★","")</f>
        <v/>
      </c>
      <c r="MJ27" s="929" t="str">
        <f>IF(ISNUMBER(SEARCH($A27,VLOOKUP(MJ$2,职业列表!$B$1:$G$370,6,0))),"★","")</f>
        <v/>
      </c>
      <c r="MK27" s="929" t="str">
        <f>IF(ISNUMBER(SEARCH($A27,VLOOKUP(MK$2,职业列表!$B$1:$G$370,6,0))),"★","")</f>
        <v/>
      </c>
      <c r="ML27" s="929" t="str">
        <f>IF(ISNUMBER(SEARCH($A27,VLOOKUP(ML$2,职业列表!$B$1:$G$370,6,0))),"★","")</f>
        <v/>
      </c>
      <c r="MM27" s="929" t="str">
        <f>IF(ISNUMBER(SEARCH($A27,VLOOKUP(MM$2,职业列表!$B$1:$G$370,6,0))),"★","")</f>
        <v/>
      </c>
      <c r="MN27" s="929" t="str">
        <f>IF(ISNUMBER(SEARCH($A27,VLOOKUP(MN$2,职业列表!$B$1:$G$370,6,0))),"★","")</f>
        <v/>
      </c>
      <c r="MO27" s="929" t="str">
        <f>IF(ISNUMBER(SEARCH($A27,VLOOKUP(MO$2,职业列表!$B$1:$G$370,6,0))),"★","")</f>
        <v/>
      </c>
      <c r="MP27" s="929" t="str">
        <f>IF(ISNUMBER(SEARCH($A27,VLOOKUP(MP$2,职业列表!$B$1:$G$370,6,0))),"★","")</f>
        <v/>
      </c>
      <c r="MQ27" s="929" t="str">
        <f>IF(ISNUMBER(SEARCH($A27,VLOOKUP(MQ$2,职业列表!$B$1:$G$370,6,0))),"★","")</f>
        <v/>
      </c>
      <c r="MR27" s="929" t="str">
        <f>IF(ISNUMBER(SEARCH($A27,VLOOKUP(MR$2,职业列表!$B$1:$G$370,6,0))),"★","")</f>
        <v/>
      </c>
      <c r="MS27" s="929" t="str">
        <f>IF(ISNUMBER(SEARCH($A27,VLOOKUP(MS$2,职业列表!$B$1:$G$370,6,0))),"★","")</f>
        <v/>
      </c>
      <c r="MT27" s="929" t="str">
        <f>IF(ISNUMBER(SEARCH($A27,VLOOKUP(MT$2,职业列表!$B$1:$G$370,6,0))),"★","")</f>
        <v/>
      </c>
      <c r="MU27" s="929" t="str">
        <f>IF(ISNUMBER(SEARCH($A27,VLOOKUP(MU$2,职业列表!$B$1:$G$370,6,0))),"★","")</f>
        <v/>
      </c>
      <c r="MV27" s="929" t="str">
        <f>IF(ISNUMBER(SEARCH($A27,VLOOKUP(MV$2,职业列表!$B$1:$G$370,6,0))),"★","")</f>
        <v/>
      </c>
      <c r="MW27" s="929" t="str">
        <f>IF(ISNUMBER(SEARCH($A27,VLOOKUP(MW$2,职业列表!$B$1:$G$370,6,0))),"★","")</f>
        <v/>
      </c>
      <c r="MX27" s="929" t="str">
        <f>IF(ISNUMBER(SEARCH($A27,VLOOKUP(MX$2,职业列表!$B$1:$G$370,6,0))),"★","")</f>
        <v/>
      </c>
      <c r="MY27" s="929" t="str">
        <f>IF(ISNUMBER(SEARCH($A27,VLOOKUP(MY$2,职业列表!$B$1:$G$370,6,0))),"★","")</f>
        <v/>
      </c>
      <c r="MZ27" s="929" t="str">
        <f>IF(ISNUMBER(SEARCH($A27,VLOOKUP(MZ$2,职业列表!$B$1:$G$370,6,0))),"★","")</f>
        <v/>
      </c>
      <c r="NA27" s="929" t="str">
        <f>IF(ISNUMBER(SEARCH($A27,VLOOKUP(NA$2,职业列表!$B$1:$G$370,6,0))),"★","")</f>
        <v/>
      </c>
      <c r="NB27" s="929" t="str">
        <f>IF(ISNUMBER(SEARCH($A27,VLOOKUP(NB$2,职业列表!$B$1:$G$370,6,0))),"★","")</f>
        <v/>
      </c>
      <c r="NC27" s="929" t="str">
        <f>IF(ISNUMBER(SEARCH($A27,VLOOKUP(NC$2,职业列表!$B$1:$G$370,6,0))),"★","")</f>
        <v/>
      </c>
      <c r="ND27" s="929" t="str">
        <f>IF(ISNUMBER(SEARCH($A27,VLOOKUP(ND$2,职业列表!$B$1:$G$370,6,0))),"★","")</f>
        <v/>
      </c>
      <c r="NE27" s="929" t="str">
        <f>IF(ISNUMBER(SEARCH($A27,VLOOKUP(NE$2,职业列表!$B$1:$G$370,6,0))),"★","")</f>
        <v/>
      </c>
    </row>
    <row r="28" customFormat="1" spans="1:369">
      <c r="A28" s="932" t="s">
        <v>130</v>
      </c>
      <c r="B28" s="939" t="str">
        <f>IF(OR(A28="说服",A28="话术",A28="取悦",A28="恐吓"),"☯",IF(ISNUMBER(SEARCH(A28,VLOOKUP(IX$2,职业列表!$B$1:$G$370,6,0))),"★",""))</f>
        <v/>
      </c>
      <c r="C28" s="939" t="str">
        <f>IF(ISTEXT(IFERROR(VLOOKUP(A28,职业列表!I3:J10,1,FALSE),0)),"★","")</f>
        <v/>
      </c>
      <c r="D28" s="939"/>
      <c r="E28" s="939"/>
      <c r="F28" s="939" t="s">
        <v>74</v>
      </c>
      <c r="G28" s="939"/>
      <c r="H28" s="939"/>
      <c r="I28" s="939"/>
      <c r="J28" s="939"/>
      <c r="K28" s="939"/>
      <c r="L28" s="939"/>
      <c r="M28" s="939"/>
      <c r="N28" s="939"/>
      <c r="O28" s="939"/>
      <c r="P28" s="939"/>
      <c r="Q28" s="939"/>
      <c r="R28" s="939"/>
      <c r="S28" s="939"/>
      <c r="T28" s="939"/>
      <c r="U28" s="939"/>
      <c r="V28" s="939" t="s">
        <v>2717</v>
      </c>
      <c r="W28" s="939"/>
      <c r="X28" s="939"/>
      <c r="Y28" s="939"/>
      <c r="Z28" s="939"/>
      <c r="AA28" s="939"/>
      <c r="AB28" s="939" t="s">
        <v>2717</v>
      </c>
      <c r="AC28" s="939"/>
      <c r="AD28" s="939" t="s">
        <v>74</v>
      </c>
      <c r="AE28" s="939" t="s">
        <v>74</v>
      </c>
      <c r="AF28" s="939" t="s">
        <v>74</v>
      </c>
      <c r="AG28" s="939"/>
      <c r="AH28" s="939"/>
      <c r="AI28" s="939" t="s">
        <v>2717</v>
      </c>
      <c r="AJ28" s="939"/>
      <c r="AK28" s="939"/>
      <c r="AL28" s="939"/>
      <c r="AM28" s="939"/>
      <c r="AN28" s="939" t="s">
        <v>74</v>
      </c>
      <c r="AO28" s="939"/>
      <c r="AP28" s="939"/>
      <c r="AQ28" s="939"/>
      <c r="AR28" s="939"/>
      <c r="AS28" s="939"/>
      <c r="AT28" s="939"/>
      <c r="AU28" s="939"/>
      <c r="AV28" s="939"/>
      <c r="AW28" s="939"/>
      <c r="AX28" s="939"/>
      <c r="AY28" s="939"/>
      <c r="AZ28" s="939"/>
      <c r="BA28" s="939"/>
      <c r="BB28" s="939"/>
      <c r="BC28" s="939"/>
      <c r="BD28" s="939"/>
      <c r="BE28" s="939"/>
      <c r="BF28" s="939"/>
      <c r="BG28" s="939"/>
      <c r="BH28" s="939"/>
      <c r="BI28" s="939"/>
      <c r="BJ28" s="939" t="s">
        <v>74</v>
      </c>
      <c r="BK28" s="939" t="s">
        <v>74</v>
      </c>
      <c r="BL28" s="939"/>
      <c r="BM28" s="939"/>
      <c r="BN28" s="939"/>
      <c r="BO28" s="939"/>
      <c r="BP28" s="939"/>
      <c r="BQ28" s="939"/>
      <c r="BR28" s="939"/>
      <c r="BS28" s="939" t="s">
        <v>74</v>
      </c>
      <c r="BT28" s="940"/>
      <c r="BU28" s="939"/>
      <c r="BV28" s="939"/>
      <c r="BW28" s="939"/>
      <c r="BX28" s="939"/>
      <c r="BY28" s="939"/>
      <c r="BZ28" s="939"/>
      <c r="CA28" s="939"/>
      <c r="CB28" s="939"/>
      <c r="CC28" s="939"/>
      <c r="CD28" s="939"/>
      <c r="CE28" s="939"/>
      <c r="CF28" s="939"/>
      <c r="CG28" s="939"/>
      <c r="CH28" s="939"/>
      <c r="CI28" s="939"/>
      <c r="CJ28" s="939"/>
      <c r="CK28" s="939"/>
      <c r="CL28" s="939"/>
      <c r="CM28" s="939"/>
      <c r="CN28" s="939"/>
      <c r="CO28" s="939"/>
      <c r="CP28" s="939"/>
      <c r="CQ28" s="939"/>
      <c r="CR28" s="939"/>
      <c r="CS28" s="939"/>
      <c r="CT28" s="939"/>
      <c r="CU28" s="939"/>
      <c r="CV28" s="939" t="s">
        <v>74</v>
      </c>
      <c r="CW28" s="939"/>
      <c r="CX28" s="939"/>
      <c r="CY28" s="939"/>
      <c r="CZ28" s="939"/>
      <c r="DA28" s="939"/>
      <c r="DB28" s="939" t="s">
        <v>74</v>
      </c>
      <c r="DC28" s="939"/>
      <c r="DD28" s="939"/>
      <c r="DE28" s="939" t="s">
        <v>74</v>
      </c>
      <c r="DF28" s="939" t="s">
        <v>2716</v>
      </c>
      <c r="DG28" s="939"/>
      <c r="DH28" s="939"/>
      <c r="DI28" s="939"/>
      <c r="DJ28" s="939"/>
      <c r="DK28" s="939"/>
      <c r="DL28" s="939"/>
      <c r="DM28" s="939"/>
      <c r="DN28" s="939"/>
      <c r="DO28" s="939"/>
      <c r="DP28" s="939"/>
      <c r="DQ28" s="939"/>
      <c r="DR28" s="939"/>
      <c r="DS28" s="939"/>
      <c r="DT28" s="939"/>
      <c r="DU28" s="939"/>
      <c r="DV28" s="939"/>
      <c r="DW28" s="939"/>
      <c r="DX28" s="939"/>
      <c r="DY28" s="939"/>
      <c r="DZ28" s="939"/>
      <c r="EA28" s="939"/>
      <c r="EB28" s="939"/>
      <c r="EC28" s="939"/>
      <c r="ED28" s="939"/>
      <c r="EE28" s="939"/>
      <c r="EF28" s="939"/>
      <c r="EG28" s="939"/>
      <c r="EH28" s="939"/>
      <c r="EI28" s="939"/>
      <c r="EJ28" s="939"/>
      <c r="EK28" s="939"/>
      <c r="EL28" s="939"/>
      <c r="EM28" s="939"/>
      <c r="EN28" s="939"/>
      <c r="EO28" s="939"/>
      <c r="EP28" s="939"/>
      <c r="EQ28" s="939"/>
      <c r="ER28" s="939"/>
      <c r="ES28" s="939"/>
      <c r="ET28" s="939"/>
      <c r="EU28" s="939"/>
      <c r="EV28" s="939"/>
      <c r="EW28" s="939"/>
      <c r="EX28" s="939"/>
      <c r="EY28" s="939"/>
      <c r="EZ28" s="939"/>
      <c r="FA28" s="939"/>
      <c r="FB28" s="939"/>
      <c r="FC28" s="939"/>
      <c r="FD28" s="939"/>
      <c r="FE28" s="939"/>
      <c r="FF28" s="939"/>
      <c r="FG28" s="939"/>
      <c r="FH28" s="939"/>
      <c r="FI28" s="939"/>
      <c r="FJ28" s="939"/>
      <c r="FK28" s="939"/>
      <c r="FL28" s="939"/>
      <c r="FM28" s="939"/>
      <c r="FN28" s="939"/>
      <c r="FO28" s="939"/>
      <c r="FP28" s="939"/>
      <c r="FQ28" s="939"/>
      <c r="FR28" s="939"/>
      <c r="FS28" s="939"/>
      <c r="FT28" s="939"/>
      <c r="FU28" s="939"/>
      <c r="FV28" s="939"/>
      <c r="FW28" s="939"/>
      <c r="FX28" s="939"/>
      <c r="FY28" s="939"/>
      <c r="FZ28" s="939"/>
      <c r="GA28" s="939" t="s">
        <v>74</v>
      </c>
      <c r="GB28" s="939"/>
      <c r="GC28" s="939" t="s">
        <v>74</v>
      </c>
      <c r="GD28" s="939" t="s">
        <v>74</v>
      </c>
      <c r="GE28" s="939"/>
      <c r="GF28" s="939"/>
      <c r="GG28" s="939"/>
      <c r="GH28" s="939"/>
      <c r="GI28" s="939"/>
      <c r="GJ28" s="939"/>
      <c r="GK28" s="939"/>
      <c r="GL28" s="939"/>
      <c r="GM28" s="939"/>
      <c r="GN28" s="939"/>
      <c r="GO28" s="939"/>
      <c r="GP28" s="939"/>
      <c r="GQ28" s="939"/>
      <c r="GR28" s="939"/>
      <c r="GS28" s="939"/>
      <c r="GT28" s="939"/>
      <c r="GU28" s="939" t="s">
        <v>74</v>
      </c>
      <c r="GV28" s="939"/>
      <c r="GW28" s="939"/>
      <c r="GX28" s="939"/>
      <c r="GY28" s="939"/>
      <c r="GZ28" s="939"/>
      <c r="HA28" s="939"/>
      <c r="HB28" s="939"/>
      <c r="HC28" s="939"/>
      <c r="HD28" s="939"/>
      <c r="HE28" s="939"/>
      <c r="HF28" s="939"/>
      <c r="HG28" s="939"/>
      <c r="HH28" s="939" t="s">
        <v>74</v>
      </c>
      <c r="HI28" s="939"/>
      <c r="HJ28" s="939"/>
      <c r="HK28" s="940"/>
      <c r="HL28" s="939"/>
      <c r="HM28" s="939"/>
      <c r="HN28" s="939"/>
      <c r="HO28" s="939"/>
      <c r="HP28" s="939"/>
      <c r="HQ28" s="939"/>
      <c r="HR28" s="939"/>
      <c r="HS28" s="939"/>
      <c r="HT28" s="939"/>
      <c r="HU28" s="939"/>
      <c r="HV28" s="939"/>
      <c r="HW28" s="939"/>
      <c r="HX28" s="990"/>
      <c r="HY28" s="1012"/>
      <c r="HZ28" s="1012"/>
      <c r="IA28" s="1012"/>
      <c r="IB28" s="1012"/>
      <c r="IC28" s="1013"/>
      <c r="ID28" s="1013"/>
      <c r="IE28" s="939" t="s">
        <v>74</v>
      </c>
      <c r="IF28" s="1012"/>
      <c r="IG28" s="1012"/>
      <c r="IH28" s="1012"/>
      <c r="II28" s="1012"/>
      <c r="IJ28" s="1012"/>
      <c r="IK28" s="1012"/>
      <c r="IL28" s="1012"/>
      <c r="IM28" s="1012"/>
      <c r="IN28" s="939" t="s">
        <v>74</v>
      </c>
      <c r="IO28" s="1012"/>
      <c r="IP28" s="1013"/>
      <c r="IQ28" s="1013"/>
      <c r="IR28" s="1012"/>
      <c r="IS28" s="1012"/>
      <c r="IT28" s="1012"/>
      <c r="IU28" s="1012"/>
      <c r="IV28" s="1012"/>
      <c r="IW28" s="929"/>
      <c r="IX28" s="929" t="str">
        <f>IF(ISNUMBER(SEARCH($A28,VLOOKUP(IX$2,职业列表!$B$1:$G$370,6,0))),"★","")</f>
        <v/>
      </c>
      <c r="IY28" s="929" t="str">
        <f>IF(ISNUMBER(SEARCH($A28,VLOOKUP(IY$2,职业列表!$B$1:$G$370,6,0))),"★","")</f>
        <v/>
      </c>
      <c r="IZ28" s="929" t="str">
        <f>IF(ISNUMBER(SEARCH($A28,VLOOKUP(IZ$2,职业列表!$B$1:$G$370,6,0))),"★","")</f>
        <v/>
      </c>
      <c r="JA28" s="929" t="str">
        <f>IF(ISNUMBER(SEARCH($A28,VLOOKUP(JA$2,职业列表!$B$1:$G$370,6,0))),"★","")</f>
        <v/>
      </c>
      <c r="JB28" s="929" t="str">
        <f>IF(ISNUMBER(SEARCH($A28,VLOOKUP(JB$2,职业列表!$B$1:$G$370,6,0))),"★","")</f>
        <v/>
      </c>
      <c r="JC28" s="929" t="str">
        <f>IF(ISNUMBER(SEARCH($A28,VLOOKUP(JC$2,职业列表!$B$1:$G$370,6,0))),"★","")</f>
        <v/>
      </c>
      <c r="JD28" s="929" t="str">
        <f>IF(ISNUMBER(SEARCH($A28,VLOOKUP(JD$2,职业列表!$B$1:$G$370,6,0))),"★","")</f>
        <v/>
      </c>
      <c r="JE28" s="929" t="str">
        <f>IF(ISNUMBER(SEARCH($A28,VLOOKUP(JE$2,职业列表!$B$1:$G$370,6,0))),"★","")</f>
        <v/>
      </c>
      <c r="JF28" s="929" t="str">
        <f>IF(ISNUMBER(SEARCH($A28,VLOOKUP(JF$2,职业列表!$B$1:$G$370,6,0))),"★","")</f>
        <v/>
      </c>
      <c r="JG28" s="929" t="str">
        <f>IF(ISNUMBER(SEARCH($A28,VLOOKUP(JG$2,职业列表!$B$1:$G$370,6,0))),"★","")</f>
        <v/>
      </c>
      <c r="JH28" s="929" t="str">
        <f>IF(ISNUMBER(SEARCH($A28,VLOOKUP(JH$2,职业列表!$B$1:$G$370,6,0))),"★","")</f>
        <v/>
      </c>
      <c r="JI28" s="929" t="str">
        <f>IF(ISNUMBER(SEARCH($A28,VLOOKUP(JI$2,职业列表!$B$1:$G$370,6,0))),"★","")</f>
        <v/>
      </c>
      <c r="JJ28" s="929" t="str">
        <f>IF(ISNUMBER(SEARCH($A28,VLOOKUP(JJ$2,职业列表!$B$1:$G$370,6,0))),"★","")</f>
        <v/>
      </c>
      <c r="JK28" s="929" t="str">
        <f>IF(ISNUMBER(SEARCH($A28,VLOOKUP(JK$2,职业列表!$B$1:$G$370,6,0))),"★","")</f>
        <v/>
      </c>
      <c r="JL28" s="929" t="str">
        <f>IF(ISNUMBER(SEARCH($A28,VLOOKUP(JL$2,职业列表!$B$1:$G$370,6,0))),"★","")</f>
        <v/>
      </c>
      <c r="JM28" s="929" t="str">
        <f>IF(ISNUMBER(SEARCH($A28,VLOOKUP(JM$2,职业列表!$B$1:$G$370,6,0))),"★","")</f>
        <v/>
      </c>
      <c r="JN28" s="929" t="str">
        <f>IF(ISNUMBER(SEARCH($A28,VLOOKUP(JN$2,职业列表!$B$1:$G$370,6,0))),"★","")</f>
        <v/>
      </c>
      <c r="JO28" s="929" t="str">
        <f>IF(ISNUMBER(SEARCH($A28,VLOOKUP(JO$2,职业列表!$B$1:$G$370,6,0))),"★","")</f>
        <v/>
      </c>
      <c r="JP28" s="929" t="str">
        <f>IF(ISNUMBER(SEARCH($A28,VLOOKUP(JP$2,职业列表!$B$1:$G$370,6,0))),"★","")</f>
        <v/>
      </c>
      <c r="JQ28" s="929" t="str">
        <f>IF(ISNUMBER(SEARCH($A28,VLOOKUP(JQ$2,职业列表!$B$1:$G$370,6,0))),"★","")</f>
        <v/>
      </c>
      <c r="JR28" s="929" t="str">
        <f>IF(ISNUMBER(SEARCH($A28,VLOOKUP(JR$2,职业列表!$B$1:$G$370,6,0))),"★","")</f>
        <v/>
      </c>
      <c r="JS28" s="929" t="str">
        <f>IF(ISNUMBER(SEARCH($A28,VLOOKUP(JS$2,职业列表!$B$1:$G$370,6,0))),"★","")</f>
        <v/>
      </c>
      <c r="JT28" s="929" t="str">
        <f>IF(ISNUMBER(SEARCH($A28,VLOOKUP(JT$2,职业列表!$B$1:$G$370,6,0))),"★","")</f>
        <v/>
      </c>
      <c r="JU28" s="929" t="str">
        <f>IF(ISNUMBER(SEARCH($A28,VLOOKUP(JU$2,职业列表!$B$1:$G$370,6,0))),"★","")</f>
        <v/>
      </c>
      <c r="JV28" s="929" t="str">
        <f>IF(ISNUMBER(SEARCH($A28,VLOOKUP(JV$2,职业列表!$B$1:$G$370,6,0))),"★","")</f>
        <v/>
      </c>
      <c r="JW28" s="929" t="str">
        <f>IF(ISNUMBER(SEARCH($A28,VLOOKUP(JW$2,职业列表!$B$1:$G$370,6,0))),"★","")</f>
        <v/>
      </c>
      <c r="JX28" s="929" t="str">
        <f>IF(ISNUMBER(SEARCH($A28,VLOOKUP(JX$2,职业列表!$B$1:$G$370,6,0))),"★","")</f>
        <v/>
      </c>
      <c r="JY28" s="929" t="str">
        <f>IF(ISNUMBER(SEARCH($A28,VLOOKUP(JY$2,职业列表!$B$1:$G$370,6,0))),"★","")</f>
        <v/>
      </c>
      <c r="JZ28" s="929" t="str">
        <f>IF(ISNUMBER(SEARCH($A28,VLOOKUP(JZ$2,职业列表!$B$1:$G$370,6,0))),"★","")</f>
        <v/>
      </c>
      <c r="KA28" s="929" t="str">
        <f>IF(ISNUMBER(SEARCH($A28,VLOOKUP(KA$2,职业列表!$B$1:$G$370,6,0))),"★","")</f>
        <v/>
      </c>
      <c r="KB28" s="929" t="str">
        <f>IF(ISNUMBER(SEARCH($A28,VLOOKUP(KB$2,职业列表!$B$1:$G$370,6,0))),"★","")</f>
        <v/>
      </c>
      <c r="KC28" s="929" t="str">
        <f>IF(ISNUMBER(SEARCH($A28,VLOOKUP(KC$2,职业列表!$B$1:$G$370,6,0))),"★","")</f>
        <v/>
      </c>
      <c r="KD28" s="929" t="str">
        <f>IF(ISNUMBER(SEARCH($A28,VLOOKUP(KD$2,职业列表!$B$1:$G$370,6,0))),"★","")</f>
        <v/>
      </c>
      <c r="KE28" s="929" t="str">
        <f>IF(ISNUMBER(SEARCH($A28,VLOOKUP(KE$2,职业列表!$B$1:$G$370,6,0))),"★","")</f>
        <v/>
      </c>
      <c r="KF28" s="929" t="str">
        <f>IF(ISNUMBER(SEARCH($A28,VLOOKUP(KF$2,职业列表!$B$1:$G$370,6,0))),"★","")</f>
        <v/>
      </c>
      <c r="KG28" s="929" t="str">
        <f>IF(ISNUMBER(SEARCH($A28,VLOOKUP(KG$2,职业列表!$B$1:$G$370,6,0))),"★","")</f>
        <v/>
      </c>
      <c r="KH28" s="929" t="str">
        <f>IF(ISNUMBER(SEARCH($A28,VLOOKUP(KH$2,职业列表!$B$1:$G$370,6,0))),"★","")</f>
        <v/>
      </c>
      <c r="KI28" s="929" t="str">
        <f>IF(ISNUMBER(SEARCH($A28,VLOOKUP(KI$2,职业列表!$B$1:$G$370,6,0))),"★","")</f>
        <v/>
      </c>
      <c r="KJ28" s="929" t="str">
        <f>IF(ISNUMBER(SEARCH($A28,VLOOKUP(KJ$2,职业列表!$B$1:$G$370,6,0))),"★","")</f>
        <v/>
      </c>
      <c r="KK28" s="929" t="str">
        <f>IF(ISNUMBER(SEARCH($A28,VLOOKUP(KK$2,职业列表!$B$1:$G$370,6,0))),"★","")</f>
        <v/>
      </c>
      <c r="KL28" s="929" t="str">
        <f>IF(ISNUMBER(SEARCH($A28,VLOOKUP(KL$2,职业列表!$B$1:$G$370,6,0))),"★","")</f>
        <v/>
      </c>
      <c r="KM28" s="929" t="str">
        <f>IF(ISNUMBER(SEARCH($A28,VLOOKUP(KM$2,职业列表!$B$1:$G$370,6,0))),"★","")</f>
        <v/>
      </c>
      <c r="KN28" s="929" t="str">
        <f>IF(ISNUMBER(SEARCH($A28,VLOOKUP(KN$2,职业列表!$B$1:$G$370,6,0))),"★","")</f>
        <v/>
      </c>
      <c r="KO28" s="929" t="str">
        <f>IF(ISNUMBER(SEARCH($A28,VLOOKUP(KO$2,职业列表!$B$1:$G$370,6,0))),"★","")</f>
        <v/>
      </c>
      <c r="KP28" s="929" t="str">
        <f>IF(ISNUMBER(SEARCH($A28,VLOOKUP(KP$2,职业列表!$B$1:$G$370,6,0))),"★","")</f>
        <v/>
      </c>
      <c r="KQ28" s="929" t="str">
        <f>IF(ISNUMBER(SEARCH($A28,VLOOKUP(KQ$2,职业列表!$B$1:$G$370,6,0))),"★","")</f>
        <v/>
      </c>
      <c r="KR28" s="929" t="str">
        <f>IF(ISNUMBER(SEARCH($A28,VLOOKUP(KR$2,职业列表!$B$1:$G$370,6,0))),"★","")</f>
        <v/>
      </c>
      <c r="KS28" s="929" t="str">
        <f>IF(ISNUMBER(SEARCH($A28,VLOOKUP(KS$2,职业列表!$B$1:$G$370,6,0))),"★","")</f>
        <v/>
      </c>
      <c r="KT28" s="929" t="str">
        <f>IF(ISNUMBER(SEARCH($A28,VLOOKUP(KT$2,职业列表!$B$1:$G$370,6,0))),"★","")</f>
        <v/>
      </c>
      <c r="KU28" s="929" t="str">
        <f>IF(ISNUMBER(SEARCH($A28,VLOOKUP(KU$2,职业列表!$B$1:$G$370,6,0))),"★","")</f>
        <v/>
      </c>
      <c r="KV28" s="929" t="str">
        <f>IF(ISNUMBER(SEARCH($A28,VLOOKUP(KV$2,职业列表!$B$1:$G$370,6,0))),"★","")</f>
        <v/>
      </c>
      <c r="KW28" s="929" t="str">
        <f>IF(ISNUMBER(SEARCH($A28,VLOOKUP(KW$2,职业列表!$B$1:$G$370,6,0))),"★","")</f>
        <v/>
      </c>
      <c r="KX28" s="929" t="str">
        <f>IF(ISNUMBER(SEARCH($A28,VLOOKUP(KX$2,职业列表!$B$1:$G$370,6,0))),"★","")</f>
        <v/>
      </c>
      <c r="KY28" s="929" t="str">
        <f>IF(ISNUMBER(SEARCH($A28,VLOOKUP(KY$2,职业列表!$B$1:$G$370,6,0))),"★","")</f>
        <v/>
      </c>
      <c r="KZ28" s="929" t="str">
        <f>IF(ISNUMBER(SEARCH($A28,VLOOKUP(KZ$2,职业列表!$B$1:$G$370,6,0))),"★","")</f>
        <v/>
      </c>
      <c r="LA28" s="929" t="str">
        <f>IF(ISNUMBER(SEARCH($A28,VLOOKUP(LA$2,职业列表!$B$1:$G$370,6,0))),"★","")</f>
        <v/>
      </c>
      <c r="LB28" s="929" t="str">
        <f>IF(ISNUMBER(SEARCH($A28,VLOOKUP(LB$2,职业列表!$B$1:$G$370,6,0))),"★","")</f>
        <v/>
      </c>
      <c r="LC28" s="929" t="str">
        <f>IF(ISNUMBER(SEARCH($A28,VLOOKUP(LC$2,职业列表!$B$1:$G$370,6,0))),"★","")</f>
        <v/>
      </c>
      <c r="LD28" s="929" t="str">
        <f>IF(ISNUMBER(SEARCH($A28,VLOOKUP(LD$2,职业列表!$B$1:$G$370,6,0))),"★","")</f>
        <v/>
      </c>
      <c r="LE28" s="929" t="str">
        <f>IF(ISNUMBER(SEARCH($A28,VLOOKUP(LE$2,职业列表!$B$1:$G$370,6,0))),"★","")</f>
        <v/>
      </c>
      <c r="LF28" s="929" t="str">
        <f>IF(ISNUMBER(SEARCH($A28,VLOOKUP(LF$2,职业列表!$B$1:$G$370,6,0))),"★","")</f>
        <v/>
      </c>
      <c r="LG28" s="929" t="str">
        <f>IF(ISNUMBER(SEARCH($A28,VLOOKUP(LG$2,职业列表!$B$1:$G$370,6,0))),"★","")</f>
        <v/>
      </c>
      <c r="LH28" s="929" t="str">
        <f>IF(ISNUMBER(SEARCH($A28,VLOOKUP(LH$2,职业列表!$B$1:$G$370,6,0))),"★","")</f>
        <v/>
      </c>
      <c r="LI28" s="929" t="str">
        <f>IF(ISNUMBER(SEARCH($A28,VLOOKUP(LI$2,职业列表!$B$1:$G$370,6,0))),"★","")</f>
        <v/>
      </c>
      <c r="LJ28" s="929" t="str">
        <f>IF(ISNUMBER(SEARCH($A28,VLOOKUP(LJ$2,职业列表!$B$1:$G$370,6,0))),"★","")</f>
        <v/>
      </c>
      <c r="LK28" s="929" t="str">
        <f>IF(ISNUMBER(SEARCH($A28,VLOOKUP(LK$2,职业列表!$B$1:$G$370,6,0))),"★","")</f>
        <v/>
      </c>
      <c r="LL28" s="929" t="str">
        <f>IF(ISNUMBER(SEARCH($A28,VLOOKUP(LL$2,职业列表!$B$1:$G$370,6,0))),"★","")</f>
        <v/>
      </c>
      <c r="LM28" s="929" t="str">
        <f>IF(ISNUMBER(SEARCH($A28,VLOOKUP(LM$2,职业列表!$B$1:$G$370,6,0))),"★","")</f>
        <v/>
      </c>
      <c r="LN28" s="929" t="str">
        <f>IF(ISNUMBER(SEARCH($A28,VLOOKUP(LN$2,职业列表!$B$1:$G$370,6,0))),"★","")</f>
        <v>★</v>
      </c>
      <c r="LO28" s="929" t="str">
        <f>IF(ISNUMBER(SEARCH($A28,VLOOKUP(LO$2,职业列表!$B$1:$G$370,6,0))),"★","")</f>
        <v/>
      </c>
      <c r="LP28" s="929" t="str">
        <f>IF(ISNUMBER(SEARCH($A28,VLOOKUP(LP$2,职业列表!$B$1:$G$370,6,0))),"★","")</f>
        <v/>
      </c>
      <c r="LQ28" s="929" t="str">
        <f>IF(ISNUMBER(SEARCH($A28,VLOOKUP(LQ$2,职业列表!$B$1:$G$370,6,0))),"★","")</f>
        <v/>
      </c>
      <c r="LR28" s="929" t="str">
        <f>IF(ISNUMBER(SEARCH($A28,VLOOKUP(LR$2,职业列表!$B$1:$G$370,6,0))),"★","")</f>
        <v/>
      </c>
      <c r="LS28" s="929" t="str">
        <f>IF(ISNUMBER(SEARCH($A28,VLOOKUP(LS$2,职业列表!$B$1:$G$370,6,0))),"★","")</f>
        <v/>
      </c>
      <c r="LT28" s="929" t="str">
        <f>IF(ISNUMBER(SEARCH($A28,VLOOKUP(LT$2,职业列表!$B$1:$G$370,6,0))),"★","")</f>
        <v/>
      </c>
      <c r="LU28" s="929" t="str">
        <f>IF(ISNUMBER(SEARCH($A28,VLOOKUP(LU$2,职业列表!$B$1:$G$370,6,0))),"★","")</f>
        <v/>
      </c>
      <c r="LV28" s="929" t="str">
        <f>IF(ISNUMBER(SEARCH($A28,VLOOKUP(LV$2,职业列表!$B$1:$G$370,6,0))),"★","")</f>
        <v/>
      </c>
      <c r="LW28" s="929" t="str">
        <f>IF(ISNUMBER(SEARCH($A28,VLOOKUP(LW$2,职业列表!$B$1:$G$370,6,0))),"★","")</f>
        <v/>
      </c>
      <c r="LX28" s="929" t="str">
        <f>IF(ISNUMBER(SEARCH($A28,VLOOKUP(LX$2,职业列表!$B$1:$G$370,6,0))),"★","")</f>
        <v/>
      </c>
      <c r="LY28" s="929" t="str">
        <f>IF(ISNUMBER(SEARCH($A28,VLOOKUP(LY$2,职业列表!$B$1:$G$370,6,0))),"★","")</f>
        <v/>
      </c>
      <c r="LZ28" s="929" t="str">
        <f>IF(ISNUMBER(SEARCH($A28,VLOOKUP(LZ$2,职业列表!$B$1:$G$370,6,0))),"★","")</f>
        <v/>
      </c>
      <c r="MA28" s="929" t="str">
        <f>IF(ISNUMBER(SEARCH($A28,VLOOKUP(MA$2,职业列表!$B$1:$G$370,6,0))),"★","")</f>
        <v/>
      </c>
      <c r="MB28" s="929" t="str">
        <f>IF(ISNUMBER(SEARCH($A28,VLOOKUP(MB$2,职业列表!$B$1:$G$370,6,0))),"★","")</f>
        <v/>
      </c>
      <c r="MC28" s="929" t="str">
        <f>IF(ISNUMBER(SEARCH($A28,VLOOKUP(MC$2,职业列表!$B$1:$G$370,6,0))),"★","")</f>
        <v/>
      </c>
      <c r="MD28" s="929" t="str">
        <f>IF(ISNUMBER(SEARCH($A28,VLOOKUP(MD$2,职业列表!$B$1:$G$370,6,0))),"★","")</f>
        <v/>
      </c>
      <c r="ME28" s="929" t="str">
        <f>IF(ISNUMBER(SEARCH($A28,VLOOKUP(ME$2,职业列表!$B$1:$G$370,6,0))),"★","")</f>
        <v/>
      </c>
      <c r="MF28" s="929" t="str">
        <f>IF(ISNUMBER(SEARCH($A28,VLOOKUP(MF$2,职业列表!$B$1:$G$370,6,0))),"★","")</f>
        <v/>
      </c>
      <c r="MG28" s="929" t="str">
        <f>IF(ISNUMBER(SEARCH($A28,VLOOKUP(MG$2,职业列表!$B$1:$G$370,6,0))),"★","")</f>
        <v/>
      </c>
      <c r="MH28" s="929" t="str">
        <f>IF(ISNUMBER(SEARCH($A28,VLOOKUP(MH$2,职业列表!$B$1:$G$370,6,0))),"★","")</f>
        <v/>
      </c>
      <c r="MI28" s="929" t="str">
        <f>IF(ISNUMBER(SEARCH($A28,VLOOKUP(MI$2,职业列表!$B$1:$G$370,6,0))),"★","")</f>
        <v/>
      </c>
      <c r="MJ28" s="929" t="str">
        <f>IF(ISNUMBER(SEARCH($A28,VLOOKUP(MJ$2,职业列表!$B$1:$G$370,6,0))),"★","")</f>
        <v/>
      </c>
      <c r="MK28" s="929" t="str">
        <f>IF(ISNUMBER(SEARCH($A28,VLOOKUP(MK$2,职业列表!$B$1:$G$370,6,0))),"★","")</f>
        <v/>
      </c>
      <c r="ML28" s="929" t="str">
        <f>IF(ISNUMBER(SEARCH($A28,VLOOKUP(ML$2,职业列表!$B$1:$G$370,6,0))),"★","")</f>
        <v/>
      </c>
      <c r="MM28" s="929" t="str">
        <f>IF(ISNUMBER(SEARCH($A28,VLOOKUP(MM$2,职业列表!$B$1:$G$370,6,0))),"★","")</f>
        <v/>
      </c>
      <c r="MN28" s="929" t="str">
        <f>IF(ISNUMBER(SEARCH($A28,VLOOKUP(MN$2,职业列表!$B$1:$G$370,6,0))),"★","")</f>
        <v/>
      </c>
      <c r="MO28" s="929" t="str">
        <f>IF(ISNUMBER(SEARCH($A28,VLOOKUP(MO$2,职业列表!$B$1:$G$370,6,0))),"★","")</f>
        <v/>
      </c>
      <c r="MP28" s="929" t="str">
        <f>IF(ISNUMBER(SEARCH($A28,VLOOKUP(MP$2,职业列表!$B$1:$G$370,6,0))),"★","")</f>
        <v/>
      </c>
      <c r="MQ28" s="929" t="str">
        <f>IF(ISNUMBER(SEARCH($A28,VLOOKUP(MQ$2,职业列表!$B$1:$G$370,6,0))),"★","")</f>
        <v/>
      </c>
      <c r="MR28" s="929" t="str">
        <f>IF(ISNUMBER(SEARCH($A28,VLOOKUP(MR$2,职业列表!$B$1:$G$370,6,0))),"★","")</f>
        <v/>
      </c>
      <c r="MS28" s="929" t="str">
        <f>IF(ISNUMBER(SEARCH($A28,VLOOKUP(MS$2,职业列表!$B$1:$G$370,6,0))),"★","")</f>
        <v/>
      </c>
      <c r="MT28" s="929" t="str">
        <f>IF(ISNUMBER(SEARCH($A28,VLOOKUP(MT$2,职业列表!$B$1:$G$370,6,0))),"★","")</f>
        <v/>
      </c>
      <c r="MU28" s="929" t="str">
        <f>IF(ISNUMBER(SEARCH($A28,VLOOKUP(MU$2,职业列表!$B$1:$G$370,6,0))),"★","")</f>
        <v/>
      </c>
      <c r="MV28" s="929" t="str">
        <f>IF(ISNUMBER(SEARCH($A28,VLOOKUP(MV$2,职业列表!$B$1:$G$370,6,0))),"★","")</f>
        <v/>
      </c>
      <c r="MW28" s="929" t="str">
        <f>IF(ISNUMBER(SEARCH($A28,VLOOKUP(MW$2,职业列表!$B$1:$G$370,6,0))),"★","")</f>
        <v/>
      </c>
      <c r="MX28" s="929" t="str">
        <f>IF(ISNUMBER(SEARCH($A28,VLOOKUP(MX$2,职业列表!$B$1:$G$370,6,0))),"★","")</f>
        <v/>
      </c>
      <c r="MY28" s="929" t="str">
        <f>IF(ISNUMBER(SEARCH($A28,VLOOKUP(MY$2,职业列表!$B$1:$G$370,6,0))),"★","")</f>
        <v/>
      </c>
      <c r="MZ28" s="929" t="str">
        <f>IF(ISNUMBER(SEARCH($A28,VLOOKUP(MZ$2,职业列表!$B$1:$G$370,6,0))),"★","")</f>
        <v/>
      </c>
      <c r="NA28" s="929" t="str">
        <f>IF(ISNUMBER(SEARCH($A28,VLOOKUP(NA$2,职业列表!$B$1:$G$370,6,0))),"★","")</f>
        <v/>
      </c>
      <c r="NB28" s="929" t="str">
        <f>IF(ISNUMBER(SEARCH($A28,VLOOKUP(NB$2,职业列表!$B$1:$G$370,6,0))),"★","")</f>
        <v/>
      </c>
      <c r="NC28" s="929" t="str">
        <f>IF(ISNUMBER(SEARCH($A28,VLOOKUP(NC$2,职业列表!$B$1:$G$370,6,0))),"★","")</f>
        <v/>
      </c>
      <c r="ND28" s="929" t="str">
        <f>IF(ISNUMBER(SEARCH($A28,VLOOKUP(ND$2,职业列表!$B$1:$G$370,6,0))),"★","")</f>
        <v/>
      </c>
      <c r="NE28" s="929" t="str">
        <f>IF(ISNUMBER(SEARCH($A28,VLOOKUP(NE$2,职业列表!$B$1:$G$370,6,0))),"★","")</f>
        <v/>
      </c>
    </row>
    <row r="29" customFormat="1" ht="14.5" spans="1:369">
      <c r="A29" s="932" t="s">
        <v>132</v>
      </c>
      <c r="B29" s="949" t="str">
        <f>IF(OR(A29="说服",A29="话术",A29="取悦",A29="恐吓"),"☯",IF(ISNUMBER(SEARCH(A29,VLOOKUP(IX$2,职业列表!$B$1:$G$370,6,0))),"★",""))</f>
        <v/>
      </c>
      <c r="C29" s="939" t="str">
        <f>IF(ISTEXT(IFERROR(VLOOKUP(A29,职业列表!I3:J10,1,FALSE),0)),"★","")</f>
        <v/>
      </c>
      <c r="D29" s="949"/>
      <c r="E29" s="949"/>
      <c r="F29" s="949"/>
      <c r="G29" s="949"/>
      <c r="H29" s="949" t="s">
        <v>74</v>
      </c>
      <c r="I29" s="949"/>
      <c r="J29" s="949"/>
      <c r="K29" s="949"/>
      <c r="L29" s="949"/>
      <c r="M29" s="949"/>
      <c r="N29" s="949"/>
      <c r="O29" s="949"/>
      <c r="P29" s="949"/>
      <c r="Q29" s="949"/>
      <c r="R29" s="949"/>
      <c r="S29" s="949"/>
      <c r="T29" s="949" t="s">
        <v>74</v>
      </c>
      <c r="U29" s="949"/>
      <c r="V29" s="949" t="s">
        <v>2717</v>
      </c>
      <c r="W29" s="949"/>
      <c r="X29" s="949"/>
      <c r="Y29" s="949"/>
      <c r="Z29" s="949"/>
      <c r="AA29" s="949"/>
      <c r="AB29" s="949" t="s">
        <v>2717</v>
      </c>
      <c r="AC29" s="949"/>
      <c r="AD29" s="949" t="s">
        <v>74</v>
      </c>
      <c r="AE29" s="949" t="s">
        <v>74</v>
      </c>
      <c r="AF29" s="949" t="s">
        <v>74</v>
      </c>
      <c r="AG29" s="949"/>
      <c r="AH29" s="949"/>
      <c r="AI29" s="949" t="s">
        <v>2717</v>
      </c>
      <c r="AJ29" s="949" t="s">
        <v>2716</v>
      </c>
      <c r="AK29" s="949"/>
      <c r="AL29" s="949"/>
      <c r="AM29" s="949" t="s">
        <v>74</v>
      </c>
      <c r="AN29" s="949" t="s">
        <v>74</v>
      </c>
      <c r="AO29" s="949"/>
      <c r="AP29" s="949" t="s">
        <v>2716</v>
      </c>
      <c r="AQ29" s="965"/>
      <c r="AR29" s="949" t="s">
        <v>74</v>
      </c>
      <c r="AS29" s="949"/>
      <c r="AT29" s="949"/>
      <c r="AU29" s="949"/>
      <c r="AV29" s="949"/>
      <c r="AW29" s="949"/>
      <c r="AX29" s="949"/>
      <c r="AY29" s="949"/>
      <c r="AZ29" s="949"/>
      <c r="BA29" s="949"/>
      <c r="BB29" s="949"/>
      <c r="BC29" s="949" t="s">
        <v>74</v>
      </c>
      <c r="BD29" s="949"/>
      <c r="BE29" s="949" t="s">
        <v>74</v>
      </c>
      <c r="BF29" s="949"/>
      <c r="BG29" s="949"/>
      <c r="BH29" s="949"/>
      <c r="BI29" s="949"/>
      <c r="BJ29" s="949" t="s">
        <v>74</v>
      </c>
      <c r="BK29" s="949" t="s">
        <v>74</v>
      </c>
      <c r="BL29" s="968"/>
      <c r="BM29" s="949"/>
      <c r="BN29" s="949"/>
      <c r="BO29" s="949"/>
      <c r="BP29" s="949"/>
      <c r="BQ29" s="949"/>
      <c r="BR29" s="949"/>
      <c r="BS29" s="949"/>
      <c r="BT29" s="949"/>
      <c r="BU29" s="949"/>
      <c r="BV29" s="949"/>
      <c r="BW29" s="949"/>
      <c r="BX29" s="949"/>
      <c r="BY29" s="949" t="s">
        <v>74</v>
      </c>
      <c r="BZ29" s="949"/>
      <c r="CA29" s="949"/>
      <c r="CB29" s="949"/>
      <c r="CC29" s="949"/>
      <c r="CD29" s="949"/>
      <c r="CE29" s="949"/>
      <c r="CF29" s="949" t="s">
        <v>74</v>
      </c>
      <c r="CG29" s="949"/>
      <c r="CH29" s="949"/>
      <c r="CI29" s="949"/>
      <c r="CJ29" s="949"/>
      <c r="CK29" s="949"/>
      <c r="CL29" s="949"/>
      <c r="CM29" s="949" t="s">
        <v>74</v>
      </c>
      <c r="CN29" s="968" t="s">
        <v>74</v>
      </c>
      <c r="CO29" s="949"/>
      <c r="CP29" s="949"/>
      <c r="CQ29" s="949"/>
      <c r="CR29" s="949"/>
      <c r="CS29" s="949"/>
      <c r="CT29" s="949"/>
      <c r="CU29" s="949"/>
      <c r="CV29" s="949" t="s">
        <v>74</v>
      </c>
      <c r="CW29" s="949"/>
      <c r="CX29" s="949"/>
      <c r="CY29" s="949"/>
      <c r="CZ29" s="949"/>
      <c r="DA29" s="949"/>
      <c r="DB29" s="949" t="s">
        <v>74</v>
      </c>
      <c r="DC29" s="949" t="s">
        <v>74</v>
      </c>
      <c r="DD29" s="949"/>
      <c r="DE29" s="949"/>
      <c r="DF29" s="949"/>
      <c r="DG29" s="949"/>
      <c r="DH29" s="949"/>
      <c r="DI29" s="949"/>
      <c r="DJ29" s="949"/>
      <c r="DK29" s="949"/>
      <c r="DL29" s="949"/>
      <c r="DM29" s="949"/>
      <c r="DN29" s="949"/>
      <c r="DO29" s="949"/>
      <c r="DP29" s="949"/>
      <c r="DQ29" s="949"/>
      <c r="DR29" s="949"/>
      <c r="DS29" s="949"/>
      <c r="DT29" s="949"/>
      <c r="DU29" s="949"/>
      <c r="DV29" s="949"/>
      <c r="DW29" s="949"/>
      <c r="DX29" s="949"/>
      <c r="DY29" s="949" t="s">
        <v>74</v>
      </c>
      <c r="DZ29" s="949"/>
      <c r="EA29" s="949"/>
      <c r="EB29" s="949"/>
      <c r="EC29" s="949"/>
      <c r="ED29" s="949"/>
      <c r="EE29" s="949"/>
      <c r="EF29" s="949"/>
      <c r="EG29" s="949"/>
      <c r="EH29" s="949"/>
      <c r="EI29" s="949"/>
      <c r="EJ29" s="949"/>
      <c r="EK29" s="949"/>
      <c r="EL29" s="949"/>
      <c r="EM29" s="949"/>
      <c r="EN29" s="949"/>
      <c r="EO29" s="949"/>
      <c r="EP29" s="949"/>
      <c r="EQ29" s="949"/>
      <c r="ER29" s="949"/>
      <c r="ES29" s="949"/>
      <c r="ET29" s="949"/>
      <c r="EU29" s="949"/>
      <c r="EV29" s="949"/>
      <c r="EW29" s="949"/>
      <c r="EX29" s="949"/>
      <c r="EY29" s="949"/>
      <c r="EZ29" s="949"/>
      <c r="FA29" s="949"/>
      <c r="FB29" s="949"/>
      <c r="FC29" s="949" t="s">
        <v>74</v>
      </c>
      <c r="FD29" s="949"/>
      <c r="FE29" s="949"/>
      <c r="FF29" s="949"/>
      <c r="FG29" s="949"/>
      <c r="FH29" s="949"/>
      <c r="FI29" s="949"/>
      <c r="FJ29" s="949"/>
      <c r="FK29" s="949"/>
      <c r="FL29" s="949"/>
      <c r="FM29" s="949"/>
      <c r="FN29" s="949"/>
      <c r="FO29" s="949"/>
      <c r="FP29" s="949"/>
      <c r="FQ29" s="949"/>
      <c r="FR29" s="949"/>
      <c r="FS29" s="949"/>
      <c r="FT29" s="949"/>
      <c r="FU29" s="949"/>
      <c r="FV29" s="949"/>
      <c r="FW29" s="949"/>
      <c r="FX29" s="949"/>
      <c r="FY29" s="949"/>
      <c r="FZ29" s="949"/>
      <c r="GA29" s="949" t="s">
        <v>74</v>
      </c>
      <c r="GB29" s="949"/>
      <c r="GC29" s="949" t="s">
        <v>74</v>
      </c>
      <c r="GD29" s="949" t="s">
        <v>74</v>
      </c>
      <c r="GE29" s="949" t="s">
        <v>74</v>
      </c>
      <c r="GF29" s="949"/>
      <c r="GG29" s="949"/>
      <c r="GH29" s="949"/>
      <c r="GI29" s="949"/>
      <c r="GJ29" s="949"/>
      <c r="GK29" s="949"/>
      <c r="GL29" s="949"/>
      <c r="GM29" s="949"/>
      <c r="GN29" s="949"/>
      <c r="GO29" s="949"/>
      <c r="GP29" s="949"/>
      <c r="GQ29" s="949"/>
      <c r="GR29" s="949"/>
      <c r="GS29" s="949"/>
      <c r="GT29" s="949"/>
      <c r="GU29" s="949" t="s">
        <v>74</v>
      </c>
      <c r="GV29" s="949"/>
      <c r="GW29" s="949" t="s">
        <v>74</v>
      </c>
      <c r="GX29" s="949"/>
      <c r="GY29" s="949"/>
      <c r="GZ29" s="949"/>
      <c r="HA29" s="949"/>
      <c r="HB29" s="949"/>
      <c r="HC29" s="949"/>
      <c r="HD29" s="949"/>
      <c r="HE29" s="949"/>
      <c r="HF29" s="949"/>
      <c r="HG29" s="949"/>
      <c r="HH29" s="949"/>
      <c r="HI29" s="949"/>
      <c r="HJ29" s="949"/>
      <c r="HK29" s="968" t="s">
        <v>74</v>
      </c>
      <c r="HL29" s="968" t="s">
        <v>74</v>
      </c>
      <c r="HM29" s="949"/>
      <c r="HN29" s="949"/>
      <c r="HO29" s="949"/>
      <c r="HP29" s="949"/>
      <c r="HQ29" s="949"/>
      <c r="HR29" s="949" t="s">
        <v>74</v>
      </c>
      <c r="HS29" s="949"/>
      <c r="HT29" s="949"/>
      <c r="HU29" s="949"/>
      <c r="HV29" s="949"/>
      <c r="HW29" s="949"/>
      <c r="HX29" s="996"/>
      <c r="HY29" s="1021"/>
      <c r="HZ29" s="1021"/>
      <c r="IA29" s="1021"/>
      <c r="IB29" s="1021"/>
      <c r="IC29" s="1022"/>
      <c r="ID29" s="1022"/>
      <c r="IE29" s="1021"/>
      <c r="IF29" s="1021"/>
      <c r="IG29" s="1021"/>
      <c r="IH29" s="1021"/>
      <c r="II29" s="1021"/>
      <c r="IJ29" s="1021"/>
      <c r="IK29" s="1021"/>
      <c r="IL29" s="1021"/>
      <c r="IM29" s="1021"/>
      <c r="IN29" s="1021"/>
      <c r="IO29" s="1021"/>
      <c r="IP29" s="1022"/>
      <c r="IQ29" s="1022"/>
      <c r="IR29" s="1021"/>
      <c r="IS29" s="1021"/>
      <c r="IT29" s="1021"/>
      <c r="IU29" s="1021"/>
      <c r="IV29" s="1021"/>
      <c r="IW29" s="1052"/>
      <c r="IX29" s="929" t="str">
        <f>IF(ISNUMBER(SEARCH($A29,VLOOKUP(IX$2,职业列表!$B$1:$G$370,6,0))),"★","")</f>
        <v/>
      </c>
      <c r="IY29" s="929" t="str">
        <f>IF(ISNUMBER(SEARCH($A29,VLOOKUP(IY$2,职业列表!$B$1:$G$370,6,0))),"★","")</f>
        <v/>
      </c>
      <c r="IZ29" s="929" t="str">
        <f>IF(ISNUMBER(SEARCH($A29,VLOOKUP(IZ$2,职业列表!$B$1:$G$370,6,0))),"★","")</f>
        <v/>
      </c>
      <c r="JA29" s="929" t="str">
        <f>IF(ISNUMBER(SEARCH($A29,VLOOKUP(JA$2,职业列表!$B$1:$G$370,6,0))),"★","")</f>
        <v/>
      </c>
      <c r="JB29" s="929" t="str">
        <f>IF(ISNUMBER(SEARCH($A29,VLOOKUP(JB$2,职业列表!$B$1:$G$370,6,0))),"★","")</f>
        <v/>
      </c>
      <c r="JC29" s="929" t="str">
        <f>IF(ISNUMBER(SEARCH($A29,VLOOKUP(JC$2,职业列表!$B$1:$G$370,6,0))),"★","")</f>
        <v/>
      </c>
      <c r="JD29" s="929" t="str">
        <f>IF(ISNUMBER(SEARCH($A29,VLOOKUP(JD$2,职业列表!$B$1:$G$370,6,0))),"★","")</f>
        <v/>
      </c>
      <c r="JE29" s="929" t="str">
        <f>IF(ISNUMBER(SEARCH($A29,VLOOKUP(JE$2,职业列表!$B$1:$G$370,6,0))),"★","")</f>
        <v/>
      </c>
      <c r="JF29" s="929" t="str">
        <f>IF(ISNUMBER(SEARCH($A29,VLOOKUP(JF$2,职业列表!$B$1:$G$370,6,0))),"★","")</f>
        <v/>
      </c>
      <c r="JG29" s="929" t="str">
        <f>IF(ISNUMBER(SEARCH($A29,VLOOKUP(JG$2,职业列表!$B$1:$G$370,6,0))),"★","")</f>
        <v/>
      </c>
      <c r="JH29" s="929" t="str">
        <f>IF(ISNUMBER(SEARCH($A29,VLOOKUP(JH$2,职业列表!$B$1:$G$370,6,0))),"★","")</f>
        <v/>
      </c>
      <c r="JI29" s="929" t="str">
        <f>IF(ISNUMBER(SEARCH($A29,VLOOKUP(JI$2,职业列表!$B$1:$G$370,6,0))),"★","")</f>
        <v/>
      </c>
      <c r="JJ29" s="929" t="str">
        <f>IF(ISNUMBER(SEARCH($A29,VLOOKUP(JJ$2,职业列表!$B$1:$G$370,6,0))),"★","")</f>
        <v/>
      </c>
      <c r="JK29" s="929" t="str">
        <f>IF(ISNUMBER(SEARCH($A29,VLOOKUP(JK$2,职业列表!$B$1:$G$370,6,0))),"★","")</f>
        <v/>
      </c>
      <c r="JL29" s="929" t="str">
        <f>IF(ISNUMBER(SEARCH($A29,VLOOKUP(JL$2,职业列表!$B$1:$G$370,6,0))),"★","")</f>
        <v/>
      </c>
      <c r="JM29" s="929" t="str">
        <f>IF(ISNUMBER(SEARCH($A29,VLOOKUP(JM$2,职业列表!$B$1:$G$370,6,0))),"★","")</f>
        <v/>
      </c>
      <c r="JN29" s="929" t="str">
        <f>IF(ISNUMBER(SEARCH($A29,VLOOKUP(JN$2,职业列表!$B$1:$G$370,6,0))),"★","")</f>
        <v/>
      </c>
      <c r="JO29" s="929" t="str">
        <f>IF(ISNUMBER(SEARCH($A29,VLOOKUP(JO$2,职业列表!$B$1:$G$370,6,0))),"★","")</f>
        <v/>
      </c>
      <c r="JP29" s="929" t="str">
        <f>IF(ISNUMBER(SEARCH($A29,VLOOKUP(JP$2,职业列表!$B$1:$G$370,6,0))),"★","")</f>
        <v/>
      </c>
      <c r="JQ29" s="929" t="str">
        <f>IF(ISNUMBER(SEARCH($A29,VLOOKUP(JQ$2,职业列表!$B$1:$G$370,6,0))),"★","")</f>
        <v/>
      </c>
      <c r="JR29" s="929" t="str">
        <f>IF(ISNUMBER(SEARCH($A29,VLOOKUP(JR$2,职业列表!$B$1:$G$370,6,0))),"★","")</f>
        <v/>
      </c>
      <c r="JS29" s="929" t="str">
        <f>IF(ISNUMBER(SEARCH($A29,VLOOKUP(JS$2,职业列表!$B$1:$G$370,6,0))),"★","")</f>
        <v/>
      </c>
      <c r="JT29" s="929" t="str">
        <f>IF(ISNUMBER(SEARCH($A29,VLOOKUP(JT$2,职业列表!$B$1:$G$370,6,0))),"★","")</f>
        <v/>
      </c>
      <c r="JU29" s="929" t="str">
        <f>IF(ISNUMBER(SEARCH($A29,VLOOKUP(JU$2,职业列表!$B$1:$G$370,6,0))),"★","")</f>
        <v/>
      </c>
      <c r="JV29" s="929" t="str">
        <f>IF(ISNUMBER(SEARCH($A29,VLOOKUP(JV$2,职业列表!$B$1:$G$370,6,0))),"★","")</f>
        <v/>
      </c>
      <c r="JW29" s="929" t="str">
        <f>IF(ISNUMBER(SEARCH($A29,VLOOKUP(JW$2,职业列表!$B$1:$G$370,6,0))),"★","")</f>
        <v/>
      </c>
      <c r="JX29" s="929" t="str">
        <f>IF(ISNUMBER(SEARCH($A29,VLOOKUP(JX$2,职业列表!$B$1:$G$370,6,0))),"★","")</f>
        <v/>
      </c>
      <c r="JY29" s="929" t="str">
        <f>IF(ISNUMBER(SEARCH($A29,VLOOKUP(JY$2,职业列表!$B$1:$G$370,6,0))),"★","")</f>
        <v/>
      </c>
      <c r="JZ29" s="929" t="str">
        <f>IF(ISNUMBER(SEARCH($A29,VLOOKUP(JZ$2,职业列表!$B$1:$G$370,6,0))),"★","")</f>
        <v/>
      </c>
      <c r="KA29" s="929" t="str">
        <f>IF(ISNUMBER(SEARCH($A29,VLOOKUP(KA$2,职业列表!$B$1:$G$370,6,0))),"★","")</f>
        <v/>
      </c>
      <c r="KB29" s="929" t="str">
        <f>IF(ISNUMBER(SEARCH($A29,VLOOKUP(KB$2,职业列表!$B$1:$G$370,6,0))),"★","")</f>
        <v/>
      </c>
      <c r="KC29" s="929" t="str">
        <f>IF(ISNUMBER(SEARCH($A29,VLOOKUP(KC$2,职业列表!$B$1:$G$370,6,0))),"★","")</f>
        <v/>
      </c>
      <c r="KD29" s="929" t="str">
        <f>IF(ISNUMBER(SEARCH($A29,VLOOKUP(KD$2,职业列表!$B$1:$G$370,6,0))),"★","")</f>
        <v/>
      </c>
      <c r="KE29" s="929" t="str">
        <f>IF(ISNUMBER(SEARCH($A29,VLOOKUP(KE$2,职业列表!$B$1:$G$370,6,0))),"★","")</f>
        <v/>
      </c>
      <c r="KF29" s="929" t="str">
        <f>IF(ISNUMBER(SEARCH($A29,VLOOKUP(KF$2,职业列表!$B$1:$G$370,6,0))),"★","")</f>
        <v/>
      </c>
      <c r="KG29" s="929" t="str">
        <f>IF(ISNUMBER(SEARCH($A29,VLOOKUP(KG$2,职业列表!$B$1:$G$370,6,0))),"★","")</f>
        <v/>
      </c>
      <c r="KH29" s="929" t="str">
        <f>IF(ISNUMBER(SEARCH($A29,VLOOKUP(KH$2,职业列表!$B$1:$G$370,6,0))),"★","")</f>
        <v/>
      </c>
      <c r="KI29" s="929" t="str">
        <f>IF(ISNUMBER(SEARCH($A29,VLOOKUP(KI$2,职业列表!$B$1:$G$370,6,0))),"★","")</f>
        <v/>
      </c>
      <c r="KJ29" s="929" t="str">
        <f>IF(ISNUMBER(SEARCH($A29,VLOOKUP(KJ$2,职业列表!$B$1:$G$370,6,0))),"★","")</f>
        <v/>
      </c>
      <c r="KK29" s="929" t="str">
        <f>IF(ISNUMBER(SEARCH($A29,VLOOKUP(KK$2,职业列表!$B$1:$G$370,6,0))),"★","")</f>
        <v/>
      </c>
      <c r="KL29" s="929" t="str">
        <f>IF(ISNUMBER(SEARCH($A29,VLOOKUP(KL$2,职业列表!$B$1:$G$370,6,0))),"★","")</f>
        <v/>
      </c>
      <c r="KM29" s="929" t="str">
        <f>IF(ISNUMBER(SEARCH($A29,VLOOKUP(KM$2,职业列表!$B$1:$G$370,6,0))),"★","")</f>
        <v/>
      </c>
      <c r="KN29" s="929" t="str">
        <f>IF(ISNUMBER(SEARCH($A29,VLOOKUP(KN$2,职业列表!$B$1:$G$370,6,0))),"★","")</f>
        <v/>
      </c>
      <c r="KO29" s="929" t="str">
        <f>IF(ISNUMBER(SEARCH($A29,VLOOKUP(KO$2,职业列表!$B$1:$G$370,6,0))),"★","")</f>
        <v/>
      </c>
      <c r="KP29" s="929" t="str">
        <f>IF(ISNUMBER(SEARCH($A29,VLOOKUP(KP$2,职业列表!$B$1:$G$370,6,0))),"★","")</f>
        <v/>
      </c>
      <c r="KQ29" s="929" t="str">
        <f>IF(ISNUMBER(SEARCH($A29,VLOOKUP(KQ$2,职业列表!$B$1:$G$370,6,0))),"★","")</f>
        <v/>
      </c>
      <c r="KR29" s="929" t="str">
        <f>IF(ISNUMBER(SEARCH($A29,VLOOKUP(KR$2,职业列表!$B$1:$G$370,6,0))),"★","")</f>
        <v/>
      </c>
      <c r="KS29" s="929" t="str">
        <f>IF(ISNUMBER(SEARCH($A29,VLOOKUP(KS$2,职业列表!$B$1:$G$370,6,0))),"★","")</f>
        <v/>
      </c>
      <c r="KT29" s="929" t="str">
        <f>IF(ISNUMBER(SEARCH($A29,VLOOKUP(KT$2,职业列表!$B$1:$G$370,6,0))),"★","")</f>
        <v/>
      </c>
      <c r="KU29" s="929" t="str">
        <f>IF(ISNUMBER(SEARCH($A29,VLOOKUP(KU$2,职业列表!$B$1:$G$370,6,0))),"★","")</f>
        <v/>
      </c>
      <c r="KV29" s="929" t="str">
        <f>IF(ISNUMBER(SEARCH($A29,VLOOKUP(KV$2,职业列表!$B$1:$G$370,6,0))),"★","")</f>
        <v/>
      </c>
      <c r="KW29" s="929" t="str">
        <f>IF(ISNUMBER(SEARCH($A29,VLOOKUP(KW$2,职业列表!$B$1:$G$370,6,0))),"★","")</f>
        <v/>
      </c>
      <c r="KX29" s="929" t="str">
        <f>IF(ISNUMBER(SEARCH($A29,VLOOKUP(KX$2,职业列表!$B$1:$G$370,6,0))),"★","")</f>
        <v/>
      </c>
      <c r="KY29" s="929" t="str">
        <f>IF(ISNUMBER(SEARCH($A29,VLOOKUP(KY$2,职业列表!$B$1:$G$370,6,0))),"★","")</f>
        <v/>
      </c>
      <c r="KZ29" s="929" t="str">
        <f>IF(ISNUMBER(SEARCH($A29,VLOOKUP(KZ$2,职业列表!$B$1:$G$370,6,0))),"★","")</f>
        <v/>
      </c>
      <c r="LA29" s="929" t="str">
        <f>IF(ISNUMBER(SEARCH($A29,VLOOKUP(LA$2,职业列表!$B$1:$G$370,6,0))),"★","")</f>
        <v/>
      </c>
      <c r="LB29" s="929" t="str">
        <f>IF(ISNUMBER(SEARCH($A29,VLOOKUP(LB$2,职业列表!$B$1:$G$370,6,0))),"★","")</f>
        <v/>
      </c>
      <c r="LC29" s="929" t="str">
        <f>IF(ISNUMBER(SEARCH($A29,VLOOKUP(LC$2,职业列表!$B$1:$G$370,6,0))),"★","")</f>
        <v/>
      </c>
      <c r="LD29" s="929" t="str">
        <f>IF(ISNUMBER(SEARCH($A29,VLOOKUP(LD$2,职业列表!$B$1:$G$370,6,0))),"★","")</f>
        <v/>
      </c>
      <c r="LE29" s="929" t="str">
        <f>IF(ISNUMBER(SEARCH($A29,VLOOKUP(LE$2,职业列表!$B$1:$G$370,6,0))),"★","")</f>
        <v/>
      </c>
      <c r="LF29" s="929" t="str">
        <f>IF(ISNUMBER(SEARCH($A29,VLOOKUP(LF$2,职业列表!$B$1:$G$370,6,0))),"★","")</f>
        <v/>
      </c>
      <c r="LG29" s="929" t="str">
        <f>IF(ISNUMBER(SEARCH($A29,VLOOKUP(LG$2,职业列表!$B$1:$G$370,6,0))),"★","")</f>
        <v/>
      </c>
      <c r="LH29" s="929" t="str">
        <f>IF(ISNUMBER(SEARCH($A29,VLOOKUP(LH$2,职业列表!$B$1:$G$370,6,0))),"★","")</f>
        <v/>
      </c>
      <c r="LI29" s="929" t="str">
        <f>IF(ISNUMBER(SEARCH($A29,VLOOKUP(LI$2,职业列表!$B$1:$G$370,6,0))),"★","")</f>
        <v/>
      </c>
      <c r="LJ29" s="929" t="str">
        <f>IF(ISNUMBER(SEARCH($A29,VLOOKUP(LJ$2,职业列表!$B$1:$G$370,6,0))),"★","")</f>
        <v>★</v>
      </c>
      <c r="LK29" s="929" t="str">
        <f>IF(ISNUMBER(SEARCH($A29,VLOOKUP(LK$2,职业列表!$B$1:$G$370,6,0))),"★","")</f>
        <v/>
      </c>
      <c r="LL29" s="929" t="str">
        <f>IF(ISNUMBER(SEARCH($A29,VLOOKUP(LL$2,职业列表!$B$1:$G$370,6,0))),"★","")</f>
        <v>★</v>
      </c>
      <c r="LM29" s="929" t="str">
        <f>IF(ISNUMBER(SEARCH($A29,VLOOKUP(LM$2,职业列表!$B$1:$G$370,6,0))),"★","")</f>
        <v>★</v>
      </c>
      <c r="LN29" s="929" t="str">
        <f>IF(ISNUMBER(SEARCH($A29,VLOOKUP(LN$2,职业列表!$B$1:$G$370,6,0))),"★","")</f>
        <v>★</v>
      </c>
      <c r="LO29" s="929" t="str">
        <f>IF(ISNUMBER(SEARCH($A29,VLOOKUP(LO$2,职业列表!$B$1:$G$370,6,0))),"★","")</f>
        <v/>
      </c>
      <c r="LP29" s="929" t="str">
        <f>IF(ISNUMBER(SEARCH($A29,VLOOKUP(LP$2,职业列表!$B$1:$G$370,6,0))),"★","")</f>
        <v>★</v>
      </c>
      <c r="LQ29" s="929" t="str">
        <f>IF(ISNUMBER(SEARCH($A29,VLOOKUP(LQ$2,职业列表!$B$1:$G$370,6,0))),"★","")</f>
        <v>★</v>
      </c>
      <c r="LR29" s="929" t="str">
        <f>IF(ISNUMBER(SEARCH($A29,VLOOKUP(LR$2,职业列表!$B$1:$G$370,6,0))),"★","")</f>
        <v/>
      </c>
      <c r="LS29" s="929" t="str">
        <f>IF(ISNUMBER(SEARCH($A29,VLOOKUP(LS$2,职业列表!$B$1:$G$370,6,0))),"★","")</f>
        <v/>
      </c>
      <c r="LT29" s="929" t="str">
        <f>IF(ISNUMBER(SEARCH($A29,VLOOKUP(LT$2,职业列表!$B$1:$G$370,6,0))),"★","")</f>
        <v/>
      </c>
      <c r="LU29" s="929" t="str">
        <f>IF(ISNUMBER(SEARCH($A29,VLOOKUP(LU$2,职业列表!$B$1:$G$370,6,0))),"★","")</f>
        <v/>
      </c>
      <c r="LV29" s="929" t="str">
        <f>IF(ISNUMBER(SEARCH($A29,VLOOKUP(LV$2,职业列表!$B$1:$G$370,6,0))),"★","")</f>
        <v/>
      </c>
      <c r="LW29" s="929" t="str">
        <f>IF(ISNUMBER(SEARCH($A29,VLOOKUP(LW$2,职业列表!$B$1:$G$370,6,0))),"★","")</f>
        <v/>
      </c>
      <c r="LX29" s="929" t="str">
        <f>IF(ISNUMBER(SEARCH($A29,VLOOKUP(LX$2,职业列表!$B$1:$G$370,6,0))),"★","")</f>
        <v/>
      </c>
      <c r="LY29" s="929" t="str">
        <f>IF(ISNUMBER(SEARCH($A29,VLOOKUP(LY$2,职业列表!$B$1:$G$370,6,0))),"★","")</f>
        <v/>
      </c>
      <c r="LZ29" s="929" t="str">
        <f>IF(ISNUMBER(SEARCH($A29,VLOOKUP(LZ$2,职业列表!$B$1:$G$370,6,0))),"★","")</f>
        <v/>
      </c>
      <c r="MA29" s="929" t="str">
        <f>IF(ISNUMBER(SEARCH($A29,VLOOKUP(MA$2,职业列表!$B$1:$G$370,6,0))),"★","")</f>
        <v/>
      </c>
      <c r="MB29" s="929" t="str">
        <f>IF(ISNUMBER(SEARCH($A29,VLOOKUP(MB$2,职业列表!$B$1:$G$370,6,0))),"★","")</f>
        <v/>
      </c>
      <c r="MC29" s="929" t="str">
        <f>IF(ISNUMBER(SEARCH($A29,VLOOKUP(MC$2,职业列表!$B$1:$G$370,6,0))),"★","")</f>
        <v/>
      </c>
      <c r="MD29" s="929" t="str">
        <f>IF(ISNUMBER(SEARCH($A29,VLOOKUP(MD$2,职业列表!$B$1:$G$370,6,0))),"★","")</f>
        <v/>
      </c>
      <c r="ME29" s="929" t="str">
        <f>IF(ISNUMBER(SEARCH($A29,VLOOKUP(ME$2,职业列表!$B$1:$G$370,6,0))),"★","")</f>
        <v/>
      </c>
      <c r="MF29" s="929" t="str">
        <f>IF(ISNUMBER(SEARCH($A29,VLOOKUP(MF$2,职业列表!$B$1:$G$370,6,0))),"★","")</f>
        <v/>
      </c>
      <c r="MG29" s="929" t="str">
        <f>IF(ISNUMBER(SEARCH($A29,VLOOKUP(MG$2,职业列表!$B$1:$G$370,6,0))),"★","")</f>
        <v/>
      </c>
      <c r="MH29" s="929" t="str">
        <f>IF(ISNUMBER(SEARCH($A29,VLOOKUP(MH$2,职业列表!$B$1:$G$370,6,0))),"★","")</f>
        <v/>
      </c>
      <c r="MI29" s="929" t="str">
        <f>IF(ISNUMBER(SEARCH($A29,VLOOKUP(MI$2,职业列表!$B$1:$G$370,6,0))),"★","")</f>
        <v/>
      </c>
      <c r="MJ29" s="929" t="str">
        <f>IF(ISNUMBER(SEARCH($A29,VLOOKUP(MJ$2,职业列表!$B$1:$G$370,6,0))),"★","")</f>
        <v/>
      </c>
      <c r="MK29" s="929" t="str">
        <f>IF(ISNUMBER(SEARCH($A29,VLOOKUP(MK$2,职业列表!$B$1:$G$370,6,0))),"★","")</f>
        <v/>
      </c>
      <c r="ML29" s="929" t="str">
        <f>IF(ISNUMBER(SEARCH($A29,VLOOKUP(ML$2,职业列表!$B$1:$G$370,6,0))),"★","")</f>
        <v/>
      </c>
      <c r="MM29" s="929" t="str">
        <f>IF(ISNUMBER(SEARCH($A29,VLOOKUP(MM$2,职业列表!$B$1:$G$370,6,0))),"★","")</f>
        <v/>
      </c>
      <c r="MN29" s="929" t="str">
        <f>IF(ISNUMBER(SEARCH($A29,VLOOKUP(MN$2,职业列表!$B$1:$G$370,6,0))),"★","")</f>
        <v/>
      </c>
      <c r="MO29" s="929" t="str">
        <f>IF(ISNUMBER(SEARCH($A29,VLOOKUP(MO$2,职业列表!$B$1:$G$370,6,0))),"★","")</f>
        <v/>
      </c>
      <c r="MP29" s="929" t="str">
        <f>IF(ISNUMBER(SEARCH($A29,VLOOKUP(MP$2,职业列表!$B$1:$G$370,6,0))),"★","")</f>
        <v/>
      </c>
      <c r="MQ29" s="929" t="str">
        <f>IF(ISNUMBER(SEARCH($A29,VLOOKUP(MQ$2,职业列表!$B$1:$G$370,6,0))),"★","")</f>
        <v/>
      </c>
      <c r="MR29" s="929" t="str">
        <f>IF(ISNUMBER(SEARCH($A29,VLOOKUP(MR$2,职业列表!$B$1:$G$370,6,0))),"★","")</f>
        <v/>
      </c>
      <c r="MS29" s="929" t="str">
        <f>IF(ISNUMBER(SEARCH($A29,VLOOKUP(MS$2,职业列表!$B$1:$G$370,6,0))),"★","")</f>
        <v/>
      </c>
      <c r="MT29" s="929" t="str">
        <f>IF(ISNUMBER(SEARCH($A29,VLOOKUP(MT$2,职业列表!$B$1:$G$370,6,0))),"★","")</f>
        <v/>
      </c>
      <c r="MU29" s="929" t="str">
        <f>IF(ISNUMBER(SEARCH($A29,VLOOKUP(MU$2,职业列表!$B$1:$G$370,6,0))),"★","")</f>
        <v/>
      </c>
      <c r="MV29" s="929" t="str">
        <f>IF(ISNUMBER(SEARCH($A29,VLOOKUP(MV$2,职业列表!$B$1:$G$370,6,0))),"★","")</f>
        <v/>
      </c>
      <c r="MW29" s="929" t="str">
        <f>IF(ISNUMBER(SEARCH($A29,VLOOKUP(MW$2,职业列表!$B$1:$G$370,6,0))),"★","")</f>
        <v/>
      </c>
      <c r="MX29" s="929" t="str">
        <f>IF(ISNUMBER(SEARCH($A29,VLOOKUP(MX$2,职业列表!$B$1:$G$370,6,0))),"★","")</f>
        <v/>
      </c>
      <c r="MY29" s="929" t="str">
        <f>IF(ISNUMBER(SEARCH($A29,VLOOKUP(MY$2,职业列表!$B$1:$G$370,6,0))),"★","")</f>
        <v/>
      </c>
      <c r="MZ29" s="929" t="str">
        <f>IF(ISNUMBER(SEARCH($A29,VLOOKUP(MZ$2,职业列表!$B$1:$G$370,6,0))),"★","")</f>
        <v/>
      </c>
      <c r="NA29" s="929" t="str">
        <f>IF(ISNUMBER(SEARCH($A29,VLOOKUP(NA$2,职业列表!$B$1:$G$370,6,0))),"★","")</f>
        <v/>
      </c>
      <c r="NB29" s="929" t="str">
        <f>IF(ISNUMBER(SEARCH($A29,VLOOKUP(NB$2,职业列表!$B$1:$G$370,6,0))),"★","")</f>
        <v/>
      </c>
      <c r="NC29" s="929" t="str">
        <f>IF(ISNUMBER(SEARCH($A29,VLOOKUP(NC$2,职业列表!$B$1:$G$370,6,0))),"★","")</f>
        <v/>
      </c>
      <c r="ND29" s="929" t="str">
        <f>IF(ISNUMBER(SEARCH($A29,VLOOKUP(ND$2,职业列表!$B$1:$G$370,6,0))),"★","")</f>
        <v/>
      </c>
      <c r="NE29" s="929" t="str">
        <f>IF(ISNUMBER(SEARCH($A29,VLOOKUP(NE$2,职业列表!$B$1:$G$370,6,0))),"★","")</f>
        <v/>
      </c>
    </row>
    <row r="30" customFormat="1" ht="14.5" spans="1:369">
      <c r="A30" s="932" t="s">
        <v>136</v>
      </c>
      <c r="B30" s="939" t="str">
        <f>IF(OR(A30="说服",A30="话术",A30="取悦",A30="恐吓"),"☯",IF(ISNUMBER(SEARCH(A30,VLOOKUP(IX$2,职业列表!$B$1:$G$370,6,0))),"★",""))</f>
        <v/>
      </c>
      <c r="C30" s="940" t="str">
        <f>IF(ISTEXT(IFERROR(VLOOKUP(A30,职业列表!I3:J10,1,FALSE),0)),"★","")</f>
        <v/>
      </c>
      <c r="D30" s="939"/>
      <c r="E30" s="939"/>
      <c r="F30" s="939"/>
      <c r="G30" s="939"/>
      <c r="H30" s="939" t="s">
        <v>74</v>
      </c>
      <c r="I30" s="939"/>
      <c r="J30" s="939"/>
      <c r="K30" s="939"/>
      <c r="L30" s="939"/>
      <c r="M30" s="939"/>
      <c r="N30" s="939"/>
      <c r="O30" s="939"/>
      <c r="P30" s="939"/>
      <c r="Q30" s="939"/>
      <c r="R30" s="939"/>
      <c r="S30" s="939"/>
      <c r="T30" s="939" t="s">
        <v>74</v>
      </c>
      <c r="U30" s="939"/>
      <c r="V30" s="939" t="s">
        <v>2717</v>
      </c>
      <c r="W30" s="939"/>
      <c r="X30" s="939"/>
      <c r="Y30" s="939"/>
      <c r="Z30" s="939"/>
      <c r="AA30" s="939"/>
      <c r="AB30" s="939" t="s">
        <v>2717</v>
      </c>
      <c r="AC30" s="939"/>
      <c r="AD30" s="939" t="s">
        <v>74</v>
      </c>
      <c r="AE30" s="939" t="s">
        <v>74</v>
      </c>
      <c r="AF30" s="939" t="s">
        <v>74</v>
      </c>
      <c r="AG30" s="939"/>
      <c r="AH30" s="939"/>
      <c r="AI30" s="939" t="s">
        <v>2717</v>
      </c>
      <c r="AJ30" s="939"/>
      <c r="AK30" s="939"/>
      <c r="AL30" s="939"/>
      <c r="AM30" s="939" t="s">
        <v>74</v>
      </c>
      <c r="AN30" s="939" t="s">
        <v>74</v>
      </c>
      <c r="AO30" s="939"/>
      <c r="AP30" s="939" t="s">
        <v>2716</v>
      </c>
      <c r="AQ30" s="966"/>
      <c r="AR30" s="939" t="s">
        <v>74</v>
      </c>
      <c r="AS30" s="939"/>
      <c r="AT30" s="939"/>
      <c r="AU30" s="939"/>
      <c r="AV30" s="939"/>
      <c r="AW30" s="939"/>
      <c r="AX30" s="939"/>
      <c r="AY30" s="939"/>
      <c r="AZ30" s="939"/>
      <c r="BA30" s="939"/>
      <c r="BB30" s="939"/>
      <c r="BC30" s="939" t="s">
        <v>74</v>
      </c>
      <c r="BD30" s="939"/>
      <c r="BE30" s="939" t="s">
        <v>74</v>
      </c>
      <c r="BF30" s="939"/>
      <c r="BG30" s="939"/>
      <c r="BH30" s="939"/>
      <c r="BI30" s="939"/>
      <c r="BJ30" s="939" t="s">
        <v>74</v>
      </c>
      <c r="BK30" s="939" t="s">
        <v>74</v>
      </c>
      <c r="BL30" s="939" t="s">
        <v>2736</v>
      </c>
      <c r="BM30" s="939"/>
      <c r="BN30" s="939"/>
      <c r="BO30" s="939"/>
      <c r="BP30" s="939"/>
      <c r="BQ30" s="939"/>
      <c r="BR30" s="939"/>
      <c r="BS30" s="939"/>
      <c r="BT30" s="939"/>
      <c r="BU30" s="939"/>
      <c r="BV30" s="939"/>
      <c r="BW30" s="939"/>
      <c r="BX30" s="939"/>
      <c r="BY30" s="939" t="s">
        <v>74</v>
      </c>
      <c r="BZ30" s="939"/>
      <c r="CA30" s="939"/>
      <c r="CB30" s="939"/>
      <c r="CC30" s="939"/>
      <c r="CD30" s="939"/>
      <c r="CE30" s="939"/>
      <c r="CF30" s="939" t="s">
        <v>74</v>
      </c>
      <c r="CG30" s="939"/>
      <c r="CH30" s="939"/>
      <c r="CI30" s="939"/>
      <c r="CJ30" s="939"/>
      <c r="CK30" s="939"/>
      <c r="CL30" s="939"/>
      <c r="CM30" s="939" t="s">
        <v>74</v>
      </c>
      <c r="CN30" s="939" t="s">
        <v>74</v>
      </c>
      <c r="CO30" s="939"/>
      <c r="CP30" s="939"/>
      <c r="CQ30" s="939"/>
      <c r="CR30" s="939"/>
      <c r="CS30" s="939"/>
      <c r="CT30" s="939"/>
      <c r="CU30" s="939"/>
      <c r="CV30" s="939" t="s">
        <v>74</v>
      </c>
      <c r="CW30" s="939"/>
      <c r="CX30" s="939"/>
      <c r="CY30" s="939"/>
      <c r="CZ30" s="939"/>
      <c r="DA30" s="939"/>
      <c r="DB30" s="939" t="s">
        <v>74</v>
      </c>
      <c r="DC30" s="939" t="s">
        <v>74</v>
      </c>
      <c r="DD30" s="939"/>
      <c r="DE30" s="939"/>
      <c r="DF30" s="939"/>
      <c r="DG30" s="939"/>
      <c r="DH30" s="939"/>
      <c r="DI30" s="939"/>
      <c r="DJ30" s="939"/>
      <c r="DK30" s="939"/>
      <c r="DL30" s="939"/>
      <c r="DM30" s="939"/>
      <c r="DN30" s="939"/>
      <c r="DO30" s="939"/>
      <c r="DP30" s="939"/>
      <c r="DQ30" s="939"/>
      <c r="DR30" s="939"/>
      <c r="DS30" s="939"/>
      <c r="DT30" s="939"/>
      <c r="DU30" s="939"/>
      <c r="DV30" s="939"/>
      <c r="DW30" s="939"/>
      <c r="DX30" s="939"/>
      <c r="DY30" s="939"/>
      <c r="DZ30" s="939"/>
      <c r="EA30" s="939"/>
      <c r="EB30" s="939"/>
      <c r="EC30" s="939"/>
      <c r="ED30" s="939"/>
      <c r="EE30" s="939"/>
      <c r="EF30" s="939"/>
      <c r="EG30" s="939"/>
      <c r="EH30" s="939"/>
      <c r="EI30" s="939"/>
      <c r="EJ30" s="939"/>
      <c r="EK30" s="939"/>
      <c r="EL30" s="939"/>
      <c r="EM30" s="939"/>
      <c r="EN30" s="939"/>
      <c r="EO30" s="939"/>
      <c r="EP30" s="939"/>
      <c r="EQ30" s="939"/>
      <c r="ER30" s="939"/>
      <c r="ES30" s="939"/>
      <c r="ET30" s="939"/>
      <c r="EU30" s="939"/>
      <c r="EV30" s="939"/>
      <c r="EW30" s="939"/>
      <c r="EX30" s="939"/>
      <c r="EY30" s="939"/>
      <c r="EZ30" s="939"/>
      <c r="FA30" s="939"/>
      <c r="FB30" s="939"/>
      <c r="FC30" s="939" t="s">
        <v>74</v>
      </c>
      <c r="FD30" s="939"/>
      <c r="FE30" s="939"/>
      <c r="FF30" s="939"/>
      <c r="FG30" s="939"/>
      <c r="FH30" s="939"/>
      <c r="FI30" s="939"/>
      <c r="FJ30" s="939"/>
      <c r="FK30" s="939"/>
      <c r="FL30" s="939"/>
      <c r="FM30" s="939"/>
      <c r="FN30" s="939"/>
      <c r="FO30" s="939"/>
      <c r="FP30" s="939"/>
      <c r="FQ30" s="939"/>
      <c r="FR30" s="939" t="s">
        <v>642</v>
      </c>
      <c r="FS30" s="939"/>
      <c r="FT30" s="939"/>
      <c r="FU30" s="939"/>
      <c r="FV30" s="939"/>
      <c r="FW30" s="939"/>
      <c r="FX30" s="939"/>
      <c r="FY30" s="939"/>
      <c r="FZ30" s="939"/>
      <c r="GA30" s="939" t="s">
        <v>74</v>
      </c>
      <c r="GB30" s="939"/>
      <c r="GC30" s="939" t="s">
        <v>74</v>
      </c>
      <c r="GD30" s="939" t="s">
        <v>74</v>
      </c>
      <c r="GE30" s="939" t="s">
        <v>74</v>
      </c>
      <c r="GF30" s="939"/>
      <c r="GG30" s="939"/>
      <c r="GH30" s="939"/>
      <c r="GI30" s="939"/>
      <c r="GJ30" s="939"/>
      <c r="GK30" s="939"/>
      <c r="GL30" s="939"/>
      <c r="GM30" s="939"/>
      <c r="GN30" s="939"/>
      <c r="GO30" s="939"/>
      <c r="GP30" s="939"/>
      <c r="GQ30" s="939"/>
      <c r="GR30" s="939"/>
      <c r="GS30" s="939"/>
      <c r="GT30" s="939"/>
      <c r="GU30" s="939" t="s">
        <v>74</v>
      </c>
      <c r="GV30" s="939"/>
      <c r="GW30" s="939" t="s">
        <v>74</v>
      </c>
      <c r="GX30" s="939"/>
      <c r="GY30" s="939"/>
      <c r="GZ30" s="940"/>
      <c r="HA30" s="940" t="s">
        <v>2737</v>
      </c>
      <c r="HB30" s="939"/>
      <c r="HC30" s="939"/>
      <c r="HD30" s="939"/>
      <c r="HE30" s="939"/>
      <c r="HF30" s="939"/>
      <c r="HG30" s="939"/>
      <c r="HH30" s="939"/>
      <c r="HI30" s="939"/>
      <c r="HJ30" s="939"/>
      <c r="HK30" s="940" t="s">
        <v>2738</v>
      </c>
      <c r="HL30" s="940" t="s">
        <v>2738</v>
      </c>
      <c r="HM30" s="939"/>
      <c r="HN30" s="939"/>
      <c r="HO30" s="939"/>
      <c r="HP30" s="939"/>
      <c r="HQ30" s="939"/>
      <c r="HR30" s="939"/>
      <c r="HS30" s="939"/>
      <c r="HT30" s="939"/>
      <c r="HU30" s="939"/>
      <c r="HV30" s="939"/>
      <c r="HW30" s="940" t="s">
        <v>2738</v>
      </c>
      <c r="HX30" s="990"/>
      <c r="HY30" s="1012"/>
      <c r="HZ30" s="1012"/>
      <c r="IA30" s="1012"/>
      <c r="IB30" s="1012"/>
      <c r="IC30" s="1013"/>
      <c r="ID30" s="1013"/>
      <c r="IE30" s="1012"/>
      <c r="IF30" s="1012"/>
      <c r="IG30" s="1012"/>
      <c r="IH30" s="1012"/>
      <c r="II30" s="1012"/>
      <c r="IJ30" s="1012"/>
      <c r="IK30" s="1012"/>
      <c r="IL30" s="1012"/>
      <c r="IM30" s="1012"/>
      <c r="IN30" s="1012"/>
      <c r="IO30" s="1012"/>
      <c r="IP30" s="1013"/>
      <c r="IQ30" s="1013"/>
      <c r="IR30" s="1012"/>
      <c r="IS30" s="1012"/>
      <c r="IT30" s="1012"/>
      <c r="IU30" s="1012"/>
      <c r="IV30" s="1012"/>
      <c r="IW30" s="929"/>
      <c r="IX30" s="929" t="str">
        <f>IF(ISNUMBER(SEARCH($A30,VLOOKUP(IX$2,职业列表!$B$1:$G$370,6,0))),"★","")</f>
        <v/>
      </c>
      <c r="IY30" s="929" t="str">
        <f>IF(ISNUMBER(SEARCH($A30,VLOOKUP(IY$2,职业列表!$B$1:$G$370,6,0))),"★","")</f>
        <v/>
      </c>
      <c r="IZ30" s="929" t="str">
        <f>IF(ISNUMBER(SEARCH($A30,VLOOKUP(IZ$2,职业列表!$B$1:$G$370,6,0))),"★","")</f>
        <v/>
      </c>
      <c r="JA30" s="929" t="str">
        <f>IF(ISNUMBER(SEARCH($A30,VLOOKUP(JA$2,职业列表!$B$1:$G$370,6,0))),"★","")</f>
        <v/>
      </c>
      <c r="JB30" s="929" t="str">
        <f>IF(ISNUMBER(SEARCH($A30,VLOOKUP(JB$2,职业列表!$B$1:$G$370,6,0))),"★","")</f>
        <v/>
      </c>
      <c r="JC30" s="929" t="str">
        <f>IF(ISNUMBER(SEARCH($A30,VLOOKUP(JC$2,职业列表!$B$1:$G$370,6,0))),"★","")</f>
        <v/>
      </c>
      <c r="JD30" s="929" t="str">
        <f>IF(ISNUMBER(SEARCH($A30,VLOOKUP(JD$2,职业列表!$B$1:$G$370,6,0))),"★","")</f>
        <v/>
      </c>
      <c r="JE30" s="929" t="str">
        <f>IF(ISNUMBER(SEARCH($A30,VLOOKUP(JE$2,职业列表!$B$1:$G$370,6,0))),"★","")</f>
        <v/>
      </c>
      <c r="JF30" s="929" t="str">
        <f>IF(ISNUMBER(SEARCH($A30,VLOOKUP(JF$2,职业列表!$B$1:$G$370,6,0))),"★","")</f>
        <v/>
      </c>
      <c r="JG30" s="929" t="str">
        <f>IF(ISNUMBER(SEARCH($A30,VLOOKUP(JG$2,职业列表!$B$1:$G$370,6,0))),"★","")</f>
        <v/>
      </c>
      <c r="JH30" s="929" t="str">
        <f>IF(ISNUMBER(SEARCH($A30,VLOOKUP(JH$2,职业列表!$B$1:$G$370,6,0))),"★","")</f>
        <v/>
      </c>
      <c r="JI30" s="929" t="str">
        <f>IF(ISNUMBER(SEARCH($A30,VLOOKUP(JI$2,职业列表!$B$1:$G$370,6,0))),"★","")</f>
        <v/>
      </c>
      <c r="JJ30" s="929" t="str">
        <f>IF(ISNUMBER(SEARCH($A30,VLOOKUP(JJ$2,职业列表!$B$1:$G$370,6,0))),"★","")</f>
        <v/>
      </c>
      <c r="JK30" s="929" t="str">
        <f>IF(ISNUMBER(SEARCH($A30,VLOOKUP(JK$2,职业列表!$B$1:$G$370,6,0))),"★","")</f>
        <v/>
      </c>
      <c r="JL30" s="929" t="str">
        <f>IF(ISNUMBER(SEARCH($A30,VLOOKUP(JL$2,职业列表!$B$1:$G$370,6,0))),"★","")</f>
        <v/>
      </c>
      <c r="JM30" s="929" t="str">
        <f>IF(ISNUMBER(SEARCH($A30,VLOOKUP(JM$2,职业列表!$B$1:$G$370,6,0))),"★","")</f>
        <v/>
      </c>
      <c r="JN30" s="929" t="str">
        <f>IF(ISNUMBER(SEARCH($A30,VLOOKUP(JN$2,职业列表!$B$1:$G$370,6,0))),"★","")</f>
        <v/>
      </c>
      <c r="JO30" s="929" t="str">
        <f>IF(ISNUMBER(SEARCH($A30,VLOOKUP(JO$2,职业列表!$B$1:$G$370,6,0))),"★","")</f>
        <v/>
      </c>
      <c r="JP30" s="929" t="str">
        <f>IF(ISNUMBER(SEARCH($A30,VLOOKUP(JP$2,职业列表!$B$1:$G$370,6,0))),"★","")</f>
        <v/>
      </c>
      <c r="JQ30" s="929" t="str">
        <f>IF(ISNUMBER(SEARCH($A30,VLOOKUP(JQ$2,职业列表!$B$1:$G$370,6,0))),"★","")</f>
        <v/>
      </c>
      <c r="JR30" s="929" t="str">
        <f>IF(ISNUMBER(SEARCH($A30,VLOOKUP(JR$2,职业列表!$B$1:$G$370,6,0))),"★","")</f>
        <v/>
      </c>
      <c r="JS30" s="929" t="str">
        <f>IF(ISNUMBER(SEARCH($A30,VLOOKUP(JS$2,职业列表!$B$1:$G$370,6,0))),"★","")</f>
        <v/>
      </c>
      <c r="JT30" s="929" t="str">
        <f>IF(ISNUMBER(SEARCH($A30,VLOOKUP(JT$2,职业列表!$B$1:$G$370,6,0))),"★","")</f>
        <v/>
      </c>
      <c r="JU30" s="929" t="str">
        <f>IF(ISNUMBER(SEARCH($A30,VLOOKUP(JU$2,职业列表!$B$1:$G$370,6,0))),"★","")</f>
        <v/>
      </c>
      <c r="JV30" s="929" t="str">
        <f>IF(ISNUMBER(SEARCH($A30,VLOOKUP(JV$2,职业列表!$B$1:$G$370,6,0))),"★","")</f>
        <v/>
      </c>
      <c r="JW30" s="929" t="str">
        <f>IF(ISNUMBER(SEARCH($A30,VLOOKUP(JW$2,职业列表!$B$1:$G$370,6,0))),"★","")</f>
        <v/>
      </c>
      <c r="JX30" s="929" t="str">
        <f>IF(ISNUMBER(SEARCH($A30,VLOOKUP(JX$2,职业列表!$B$1:$G$370,6,0))),"★","")</f>
        <v/>
      </c>
      <c r="JY30" s="929" t="str">
        <f>IF(ISNUMBER(SEARCH($A30,VLOOKUP(JY$2,职业列表!$B$1:$G$370,6,0))),"★","")</f>
        <v/>
      </c>
      <c r="JZ30" s="929" t="str">
        <f>IF(ISNUMBER(SEARCH($A30,VLOOKUP(JZ$2,职业列表!$B$1:$G$370,6,0))),"★","")</f>
        <v/>
      </c>
      <c r="KA30" s="929" t="str">
        <f>IF(ISNUMBER(SEARCH($A30,VLOOKUP(KA$2,职业列表!$B$1:$G$370,6,0))),"★","")</f>
        <v/>
      </c>
      <c r="KB30" s="929" t="str">
        <f>IF(ISNUMBER(SEARCH($A30,VLOOKUP(KB$2,职业列表!$B$1:$G$370,6,0))),"★","")</f>
        <v/>
      </c>
      <c r="KC30" s="929" t="str">
        <f>IF(ISNUMBER(SEARCH($A30,VLOOKUP(KC$2,职业列表!$B$1:$G$370,6,0))),"★","")</f>
        <v/>
      </c>
      <c r="KD30" s="929" t="str">
        <f>IF(ISNUMBER(SEARCH($A30,VLOOKUP(KD$2,职业列表!$B$1:$G$370,6,0))),"★","")</f>
        <v/>
      </c>
      <c r="KE30" s="929" t="str">
        <f>IF(ISNUMBER(SEARCH($A30,VLOOKUP(KE$2,职业列表!$B$1:$G$370,6,0))),"★","")</f>
        <v/>
      </c>
      <c r="KF30" s="929" t="str">
        <f>IF(ISNUMBER(SEARCH($A30,VLOOKUP(KF$2,职业列表!$B$1:$G$370,6,0))),"★","")</f>
        <v/>
      </c>
      <c r="KG30" s="929" t="str">
        <f>IF(ISNUMBER(SEARCH($A30,VLOOKUP(KG$2,职业列表!$B$1:$G$370,6,0))),"★","")</f>
        <v/>
      </c>
      <c r="KH30" s="929" t="str">
        <f>IF(ISNUMBER(SEARCH($A30,VLOOKUP(KH$2,职业列表!$B$1:$G$370,6,0))),"★","")</f>
        <v/>
      </c>
      <c r="KI30" s="929" t="str">
        <f>IF(ISNUMBER(SEARCH($A30,VLOOKUP(KI$2,职业列表!$B$1:$G$370,6,0))),"★","")</f>
        <v/>
      </c>
      <c r="KJ30" s="929" t="str">
        <f>IF(ISNUMBER(SEARCH($A30,VLOOKUP(KJ$2,职业列表!$B$1:$G$370,6,0))),"★","")</f>
        <v/>
      </c>
      <c r="KK30" s="929" t="str">
        <f>IF(ISNUMBER(SEARCH($A30,VLOOKUP(KK$2,职业列表!$B$1:$G$370,6,0))),"★","")</f>
        <v/>
      </c>
      <c r="KL30" s="929" t="str">
        <f>IF(ISNUMBER(SEARCH($A30,VLOOKUP(KL$2,职业列表!$B$1:$G$370,6,0))),"★","")</f>
        <v/>
      </c>
      <c r="KM30" s="929" t="str">
        <f>IF(ISNUMBER(SEARCH($A30,VLOOKUP(KM$2,职业列表!$B$1:$G$370,6,0))),"★","")</f>
        <v/>
      </c>
      <c r="KN30" s="929" t="str">
        <f>IF(ISNUMBER(SEARCH($A30,VLOOKUP(KN$2,职业列表!$B$1:$G$370,6,0))),"★","")</f>
        <v/>
      </c>
      <c r="KO30" s="929" t="str">
        <f>IF(ISNUMBER(SEARCH($A30,VLOOKUP(KO$2,职业列表!$B$1:$G$370,6,0))),"★","")</f>
        <v/>
      </c>
      <c r="KP30" s="929" t="str">
        <f>IF(ISNUMBER(SEARCH($A30,VLOOKUP(KP$2,职业列表!$B$1:$G$370,6,0))),"★","")</f>
        <v/>
      </c>
      <c r="KQ30" s="929" t="str">
        <f>IF(ISNUMBER(SEARCH($A30,VLOOKUP(KQ$2,职业列表!$B$1:$G$370,6,0))),"★","")</f>
        <v/>
      </c>
      <c r="KR30" s="929" t="str">
        <f>IF(ISNUMBER(SEARCH($A30,VLOOKUP(KR$2,职业列表!$B$1:$G$370,6,0))),"★","")</f>
        <v/>
      </c>
      <c r="KS30" s="929" t="str">
        <f>IF(ISNUMBER(SEARCH($A30,VLOOKUP(KS$2,职业列表!$B$1:$G$370,6,0))),"★","")</f>
        <v/>
      </c>
      <c r="KT30" s="929" t="str">
        <f>IF(ISNUMBER(SEARCH($A30,VLOOKUP(KT$2,职业列表!$B$1:$G$370,6,0))),"★","")</f>
        <v/>
      </c>
      <c r="KU30" s="929" t="str">
        <f>IF(ISNUMBER(SEARCH($A30,VLOOKUP(KU$2,职业列表!$B$1:$G$370,6,0))),"★","")</f>
        <v/>
      </c>
      <c r="KV30" s="929" t="str">
        <f>IF(ISNUMBER(SEARCH($A30,VLOOKUP(KV$2,职业列表!$B$1:$G$370,6,0))),"★","")</f>
        <v/>
      </c>
      <c r="KW30" s="929" t="str">
        <f>IF(ISNUMBER(SEARCH($A30,VLOOKUP(KW$2,职业列表!$B$1:$G$370,6,0))),"★","")</f>
        <v/>
      </c>
      <c r="KX30" s="929" t="str">
        <f>IF(ISNUMBER(SEARCH($A30,VLOOKUP(KX$2,职业列表!$B$1:$G$370,6,0))),"★","")</f>
        <v/>
      </c>
      <c r="KY30" s="929" t="str">
        <f>IF(ISNUMBER(SEARCH($A30,VLOOKUP(KY$2,职业列表!$B$1:$G$370,6,0))),"★","")</f>
        <v/>
      </c>
      <c r="KZ30" s="929" t="str">
        <f>IF(ISNUMBER(SEARCH($A30,VLOOKUP(KZ$2,职业列表!$B$1:$G$370,6,0))),"★","")</f>
        <v/>
      </c>
      <c r="LA30" s="929" t="str">
        <f>IF(ISNUMBER(SEARCH($A30,VLOOKUP(LA$2,职业列表!$B$1:$G$370,6,0))),"★","")</f>
        <v/>
      </c>
      <c r="LB30" s="929" t="str">
        <f>IF(ISNUMBER(SEARCH($A30,VLOOKUP(LB$2,职业列表!$B$1:$G$370,6,0))),"★","")</f>
        <v/>
      </c>
      <c r="LC30" s="929" t="str">
        <f>IF(ISNUMBER(SEARCH($A30,VLOOKUP(LC$2,职业列表!$B$1:$G$370,6,0))),"★","")</f>
        <v/>
      </c>
      <c r="LD30" s="929" t="str">
        <f>IF(ISNUMBER(SEARCH($A30,VLOOKUP(LD$2,职业列表!$B$1:$G$370,6,0))),"★","")</f>
        <v/>
      </c>
      <c r="LE30" s="929" t="str">
        <f>IF(ISNUMBER(SEARCH($A30,VLOOKUP(LE$2,职业列表!$B$1:$G$370,6,0))),"★","")</f>
        <v/>
      </c>
      <c r="LF30" s="929" t="str">
        <f>IF(ISNUMBER(SEARCH($A30,VLOOKUP(LF$2,职业列表!$B$1:$G$370,6,0))),"★","")</f>
        <v/>
      </c>
      <c r="LG30" s="929" t="str">
        <f>IF(ISNUMBER(SEARCH($A30,VLOOKUP(LG$2,职业列表!$B$1:$G$370,6,0))),"★","")</f>
        <v/>
      </c>
      <c r="LH30" s="929" t="str">
        <f>IF(ISNUMBER(SEARCH($A30,VLOOKUP(LH$2,职业列表!$B$1:$G$370,6,0))),"★","")</f>
        <v/>
      </c>
      <c r="LI30" s="929" t="str">
        <f>IF(ISNUMBER(SEARCH($A30,VLOOKUP(LI$2,职业列表!$B$1:$G$370,6,0))),"★","")</f>
        <v/>
      </c>
      <c r="LJ30" s="929" t="str">
        <f>IF(ISNUMBER(SEARCH($A30,VLOOKUP(LJ$2,职业列表!$B$1:$G$370,6,0))),"★","")</f>
        <v>★</v>
      </c>
      <c r="LK30" s="929" t="str">
        <f>IF(ISNUMBER(SEARCH($A30,VLOOKUP(LK$2,职业列表!$B$1:$G$370,6,0))),"★","")</f>
        <v/>
      </c>
      <c r="LL30" s="929" t="str">
        <f>IF(ISNUMBER(SEARCH($A30,VLOOKUP(LL$2,职业列表!$B$1:$G$370,6,0))),"★","")</f>
        <v>★</v>
      </c>
      <c r="LM30" s="929" t="str">
        <f>IF(ISNUMBER(SEARCH($A30,VLOOKUP(LM$2,职业列表!$B$1:$G$370,6,0))),"★","")</f>
        <v/>
      </c>
      <c r="LN30" s="929" t="str">
        <f>IF(ISNUMBER(SEARCH($A30,VLOOKUP(LN$2,职业列表!$B$1:$G$370,6,0))),"★","")</f>
        <v>★</v>
      </c>
      <c r="LO30" s="929" t="str">
        <f>IF(ISNUMBER(SEARCH($A30,VLOOKUP(LO$2,职业列表!$B$1:$G$370,6,0))),"★","")</f>
        <v/>
      </c>
      <c r="LP30" s="929" t="str">
        <f>IF(ISNUMBER(SEARCH($A30,VLOOKUP(LP$2,职业列表!$B$1:$G$370,6,0))),"★","")</f>
        <v>★</v>
      </c>
      <c r="LQ30" s="929" t="str">
        <f>IF(ISNUMBER(SEARCH($A30,VLOOKUP(LQ$2,职业列表!$B$1:$G$370,6,0))),"★","")</f>
        <v>★</v>
      </c>
      <c r="LR30" s="929" t="str">
        <f>IF(ISNUMBER(SEARCH($A30,VLOOKUP(LR$2,职业列表!$B$1:$G$370,6,0))),"★","")</f>
        <v/>
      </c>
      <c r="LS30" s="929" t="str">
        <f>IF(ISNUMBER(SEARCH($A30,VLOOKUP(LS$2,职业列表!$B$1:$G$370,6,0))),"★","")</f>
        <v/>
      </c>
      <c r="LT30" s="929" t="str">
        <f>IF(ISNUMBER(SEARCH($A30,VLOOKUP(LT$2,职业列表!$B$1:$G$370,6,0))),"★","")</f>
        <v/>
      </c>
      <c r="LU30" s="929" t="str">
        <f>IF(ISNUMBER(SEARCH($A30,VLOOKUP(LU$2,职业列表!$B$1:$G$370,6,0))),"★","")</f>
        <v/>
      </c>
      <c r="LV30" s="929" t="str">
        <f>IF(ISNUMBER(SEARCH($A30,VLOOKUP(LV$2,职业列表!$B$1:$G$370,6,0))),"★","")</f>
        <v/>
      </c>
      <c r="LW30" s="929" t="str">
        <f>IF(ISNUMBER(SEARCH($A30,VLOOKUP(LW$2,职业列表!$B$1:$G$370,6,0))),"★","")</f>
        <v/>
      </c>
      <c r="LX30" s="929" t="str">
        <f>IF(ISNUMBER(SEARCH($A30,VLOOKUP(LX$2,职业列表!$B$1:$G$370,6,0))),"★","")</f>
        <v/>
      </c>
      <c r="LY30" s="929" t="str">
        <f>IF(ISNUMBER(SEARCH($A30,VLOOKUP(LY$2,职业列表!$B$1:$G$370,6,0))),"★","")</f>
        <v/>
      </c>
      <c r="LZ30" s="929" t="str">
        <f>IF(ISNUMBER(SEARCH($A30,VLOOKUP(LZ$2,职业列表!$B$1:$G$370,6,0))),"★","")</f>
        <v/>
      </c>
      <c r="MA30" s="929" t="str">
        <f>IF(ISNUMBER(SEARCH($A30,VLOOKUP(MA$2,职业列表!$B$1:$G$370,6,0))),"★","")</f>
        <v/>
      </c>
      <c r="MB30" s="929" t="str">
        <f>IF(ISNUMBER(SEARCH($A30,VLOOKUP(MB$2,职业列表!$B$1:$G$370,6,0))),"★","")</f>
        <v/>
      </c>
      <c r="MC30" s="929" t="str">
        <f>IF(ISNUMBER(SEARCH($A30,VLOOKUP(MC$2,职业列表!$B$1:$G$370,6,0))),"★","")</f>
        <v/>
      </c>
      <c r="MD30" s="929" t="str">
        <f>IF(ISNUMBER(SEARCH($A30,VLOOKUP(MD$2,职业列表!$B$1:$G$370,6,0))),"★","")</f>
        <v/>
      </c>
      <c r="ME30" s="929" t="str">
        <f>IF(ISNUMBER(SEARCH($A30,VLOOKUP(ME$2,职业列表!$B$1:$G$370,6,0))),"★","")</f>
        <v/>
      </c>
      <c r="MF30" s="929" t="str">
        <f>IF(ISNUMBER(SEARCH($A30,VLOOKUP(MF$2,职业列表!$B$1:$G$370,6,0))),"★","")</f>
        <v/>
      </c>
      <c r="MG30" s="929" t="str">
        <f>IF(ISNUMBER(SEARCH($A30,VLOOKUP(MG$2,职业列表!$B$1:$G$370,6,0))),"★","")</f>
        <v/>
      </c>
      <c r="MH30" s="929" t="str">
        <f>IF(ISNUMBER(SEARCH($A30,VLOOKUP(MH$2,职业列表!$B$1:$G$370,6,0))),"★","")</f>
        <v/>
      </c>
      <c r="MI30" s="929" t="str">
        <f>IF(ISNUMBER(SEARCH($A30,VLOOKUP(MI$2,职业列表!$B$1:$G$370,6,0))),"★","")</f>
        <v/>
      </c>
      <c r="MJ30" s="929" t="str">
        <f>IF(ISNUMBER(SEARCH($A30,VLOOKUP(MJ$2,职业列表!$B$1:$G$370,6,0))),"★","")</f>
        <v/>
      </c>
      <c r="MK30" s="929" t="str">
        <f>IF(ISNUMBER(SEARCH($A30,VLOOKUP(MK$2,职业列表!$B$1:$G$370,6,0))),"★","")</f>
        <v/>
      </c>
      <c r="ML30" s="929" t="str">
        <f>IF(ISNUMBER(SEARCH($A30,VLOOKUP(ML$2,职业列表!$B$1:$G$370,6,0))),"★","")</f>
        <v/>
      </c>
      <c r="MM30" s="929" t="str">
        <f>IF(ISNUMBER(SEARCH($A30,VLOOKUP(MM$2,职业列表!$B$1:$G$370,6,0))),"★","")</f>
        <v/>
      </c>
      <c r="MN30" s="929" t="str">
        <f>IF(ISNUMBER(SEARCH($A30,VLOOKUP(MN$2,职业列表!$B$1:$G$370,6,0))),"★","")</f>
        <v/>
      </c>
      <c r="MO30" s="929" t="str">
        <f>IF(ISNUMBER(SEARCH($A30,VLOOKUP(MO$2,职业列表!$B$1:$G$370,6,0))),"★","")</f>
        <v/>
      </c>
      <c r="MP30" s="929" t="str">
        <f>IF(ISNUMBER(SEARCH($A30,VLOOKUP(MP$2,职业列表!$B$1:$G$370,6,0))),"★","")</f>
        <v/>
      </c>
      <c r="MQ30" s="929" t="str">
        <f>IF(ISNUMBER(SEARCH($A30,VLOOKUP(MQ$2,职业列表!$B$1:$G$370,6,0))),"★","")</f>
        <v/>
      </c>
      <c r="MR30" s="929" t="str">
        <f>IF(ISNUMBER(SEARCH($A30,VLOOKUP(MR$2,职业列表!$B$1:$G$370,6,0))),"★","")</f>
        <v/>
      </c>
      <c r="MS30" s="929" t="str">
        <f>IF(ISNUMBER(SEARCH($A30,VLOOKUP(MS$2,职业列表!$B$1:$G$370,6,0))),"★","")</f>
        <v/>
      </c>
      <c r="MT30" s="929" t="str">
        <f>IF(ISNUMBER(SEARCH($A30,VLOOKUP(MT$2,职业列表!$B$1:$G$370,6,0))),"★","")</f>
        <v/>
      </c>
      <c r="MU30" s="929" t="str">
        <f>IF(ISNUMBER(SEARCH($A30,VLOOKUP(MU$2,职业列表!$B$1:$G$370,6,0))),"★","")</f>
        <v/>
      </c>
      <c r="MV30" s="929" t="str">
        <f>IF(ISNUMBER(SEARCH($A30,VLOOKUP(MV$2,职业列表!$B$1:$G$370,6,0))),"★","")</f>
        <v/>
      </c>
      <c r="MW30" s="929" t="str">
        <f>IF(ISNUMBER(SEARCH($A30,VLOOKUP(MW$2,职业列表!$B$1:$G$370,6,0))),"★","")</f>
        <v/>
      </c>
      <c r="MX30" s="929" t="str">
        <f>IF(ISNUMBER(SEARCH($A30,VLOOKUP(MX$2,职业列表!$B$1:$G$370,6,0))),"★","")</f>
        <v/>
      </c>
      <c r="MY30" s="929" t="str">
        <f>IF(ISNUMBER(SEARCH($A30,VLOOKUP(MY$2,职业列表!$B$1:$G$370,6,0))),"★","")</f>
        <v/>
      </c>
      <c r="MZ30" s="929" t="str">
        <f>IF(ISNUMBER(SEARCH($A30,VLOOKUP(MZ$2,职业列表!$B$1:$G$370,6,0))),"★","")</f>
        <v/>
      </c>
      <c r="NA30" s="929" t="str">
        <f>IF(ISNUMBER(SEARCH($A30,VLOOKUP(NA$2,职业列表!$B$1:$G$370,6,0))),"★","")</f>
        <v/>
      </c>
      <c r="NB30" s="929" t="str">
        <f>IF(ISNUMBER(SEARCH($A30,VLOOKUP(NB$2,职业列表!$B$1:$G$370,6,0))),"★","")</f>
        <v/>
      </c>
      <c r="NC30" s="929" t="str">
        <f>IF(ISNUMBER(SEARCH($A30,VLOOKUP(NC$2,职业列表!$B$1:$G$370,6,0))),"★","")</f>
        <v/>
      </c>
      <c r="ND30" s="929" t="str">
        <f>IF(ISNUMBER(SEARCH($A30,VLOOKUP(ND$2,职业列表!$B$1:$G$370,6,0))),"★","")</f>
        <v/>
      </c>
      <c r="NE30" s="929" t="str">
        <f>IF(ISNUMBER(SEARCH($A30,VLOOKUP(NE$2,职业列表!$B$1:$G$370,6,0))),"★","")</f>
        <v/>
      </c>
    </row>
    <row r="31" customFormat="1" ht="14.5" spans="1:369">
      <c r="A31" s="932" t="s">
        <v>139</v>
      </c>
      <c r="B31" s="939" t="str">
        <f>IF(OR(A31="说服",A31="话术",A31="取悦",A31="恐吓"),"☯",IF(ISNUMBER(SEARCH(A31,VLOOKUP(IX$2,职业列表!$B$1:$G$370,6,0))),"★",""))</f>
        <v/>
      </c>
      <c r="C31" s="939" t="str">
        <f>IF(ISTEXT(IFERROR(VLOOKUP(A31,职业列表!I3:J10,1,FALSE),0)),"★","")</f>
        <v/>
      </c>
      <c r="D31" s="939"/>
      <c r="E31" s="939"/>
      <c r="F31" s="939"/>
      <c r="G31" s="939"/>
      <c r="H31" s="939" t="s">
        <v>74</v>
      </c>
      <c r="I31" s="939"/>
      <c r="J31" s="939"/>
      <c r="K31" s="939"/>
      <c r="L31" s="939"/>
      <c r="M31" s="939"/>
      <c r="N31" s="939"/>
      <c r="O31" s="939"/>
      <c r="P31" s="939"/>
      <c r="Q31" s="939"/>
      <c r="R31" s="939"/>
      <c r="S31" s="939"/>
      <c r="T31" s="939" t="s">
        <v>74</v>
      </c>
      <c r="U31" s="939"/>
      <c r="V31" s="939" t="s">
        <v>2717</v>
      </c>
      <c r="W31" s="939"/>
      <c r="X31" s="939"/>
      <c r="Y31" s="939"/>
      <c r="Z31" s="939"/>
      <c r="AA31" s="939"/>
      <c r="AB31" s="939" t="s">
        <v>2717</v>
      </c>
      <c r="AC31" s="939"/>
      <c r="AD31" s="939" t="s">
        <v>74</v>
      </c>
      <c r="AE31" s="939" t="s">
        <v>74</v>
      </c>
      <c r="AF31" s="939" t="s">
        <v>74</v>
      </c>
      <c r="AG31" s="939"/>
      <c r="AH31" s="939"/>
      <c r="AI31" s="939" t="s">
        <v>2717</v>
      </c>
      <c r="AJ31" s="939"/>
      <c r="AK31" s="939"/>
      <c r="AL31" s="939"/>
      <c r="AM31" s="939" t="s">
        <v>74</v>
      </c>
      <c r="AN31" s="939" t="s">
        <v>74</v>
      </c>
      <c r="AO31" s="939"/>
      <c r="AP31" s="939" t="s">
        <v>2716</v>
      </c>
      <c r="AQ31" s="966"/>
      <c r="AR31" s="939" t="s">
        <v>74</v>
      </c>
      <c r="AS31" s="939"/>
      <c r="AT31" s="939"/>
      <c r="AU31" s="939"/>
      <c r="AV31" s="939"/>
      <c r="AW31" s="939"/>
      <c r="AX31" s="939"/>
      <c r="AY31" s="939"/>
      <c r="AZ31" s="939"/>
      <c r="BA31" s="939"/>
      <c r="BB31" s="939"/>
      <c r="BC31" s="939" t="s">
        <v>74</v>
      </c>
      <c r="BD31" s="939"/>
      <c r="BE31" s="939" t="s">
        <v>74</v>
      </c>
      <c r="BF31" s="939"/>
      <c r="BG31" s="939"/>
      <c r="BH31" s="939"/>
      <c r="BI31" s="939"/>
      <c r="BJ31" s="939" t="s">
        <v>74</v>
      </c>
      <c r="BK31" s="939" t="s">
        <v>74</v>
      </c>
      <c r="BL31" s="939"/>
      <c r="BM31" s="939"/>
      <c r="BN31" s="939"/>
      <c r="BO31" s="939"/>
      <c r="BP31" s="939"/>
      <c r="BQ31" s="939"/>
      <c r="BR31" s="939"/>
      <c r="BS31" s="939"/>
      <c r="BT31" s="939"/>
      <c r="BU31" s="939"/>
      <c r="BV31" s="939"/>
      <c r="BW31" s="939"/>
      <c r="BX31" s="939"/>
      <c r="BY31" s="939" t="s">
        <v>74</v>
      </c>
      <c r="BZ31" s="939"/>
      <c r="CA31" s="939"/>
      <c r="CB31" s="939"/>
      <c r="CC31" s="939"/>
      <c r="CD31" s="939"/>
      <c r="CE31" s="939"/>
      <c r="CF31" s="939" t="s">
        <v>74</v>
      </c>
      <c r="CG31" s="939"/>
      <c r="CH31" s="939"/>
      <c r="CI31" s="939"/>
      <c r="CJ31" s="939"/>
      <c r="CK31" s="939"/>
      <c r="CL31" s="939"/>
      <c r="CM31" s="939" t="s">
        <v>74</v>
      </c>
      <c r="CN31" s="939" t="s">
        <v>74</v>
      </c>
      <c r="CO31" s="939"/>
      <c r="CP31" s="939"/>
      <c r="CQ31" s="939"/>
      <c r="CR31" s="939"/>
      <c r="CS31" s="939"/>
      <c r="CT31" s="939"/>
      <c r="CU31" s="939"/>
      <c r="CV31" s="939" t="s">
        <v>74</v>
      </c>
      <c r="CW31" s="939"/>
      <c r="CX31" s="939"/>
      <c r="CY31" s="939"/>
      <c r="CZ31" s="939"/>
      <c r="DA31" s="939"/>
      <c r="DB31" s="939" t="s">
        <v>74</v>
      </c>
      <c r="DC31" s="939" t="s">
        <v>74</v>
      </c>
      <c r="DD31" s="939"/>
      <c r="DE31" s="939"/>
      <c r="DF31" s="939"/>
      <c r="DG31" s="939"/>
      <c r="DH31" s="939"/>
      <c r="DI31" s="939"/>
      <c r="DJ31" s="939"/>
      <c r="DK31" s="939"/>
      <c r="DL31" s="939"/>
      <c r="DM31" s="939"/>
      <c r="DN31" s="939"/>
      <c r="DO31" s="939"/>
      <c r="DP31" s="939"/>
      <c r="DQ31" s="939"/>
      <c r="DR31" s="939"/>
      <c r="DS31" s="939"/>
      <c r="DT31" s="939"/>
      <c r="DU31" s="939"/>
      <c r="DV31" s="939"/>
      <c r="DW31" s="939"/>
      <c r="DX31" s="939"/>
      <c r="DY31" s="939"/>
      <c r="DZ31" s="939"/>
      <c r="EA31" s="939"/>
      <c r="EB31" s="939"/>
      <c r="EC31" s="939"/>
      <c r="ED31" s="939"/>
      <c r="EE31" s="939"/>
      <c r="EF31" s="939"/>
      <c r="EG31" s="939"/>
      <c r="EH31" s="939"/>
      <c r="EI31" s="939"/>
      <c r="EJ31" s="939"/>
      <c r="EK31" s="939"/>
      <c r="EL31" s="939"/>
      <c r="EM31" s="939"/>
      <c r="EN31" s="939"/>
      <c r="EO31" s="939"/>
      <c r="EP31" s="939"/>
      <c r="EQ31" s="939"/>
      <c r="ER31" s="939"/>
      <c r="ES31" s="939"/>
      <c r="ET31" s="939"/>
      <c r="EU31" s="939"/>
      <c r="EV31" s="939"/>
      <c r="EW31" s="939"/>
      <c r="EX31" s="939"/>
      <c r="EY31" s="939"/>
      <c r="EZ31" s="939"/>
      <c r="FA31" s="939"/>
      <c r="FB31" s="939"/>
      <c r="FC31" s="939" t="s">
        <v>74</v>
      </c>
      <c r="FD31" s="939"/>
      <c r="FE31" s="939"/>
      <c r="FF31" s="939"/>
      <c r="FG31" s="939"/>
      <c r="FH31" s="939"/>
      <c r="FI31" s="939"/>
      <c r="FJ31" s="939"/>
      <c r="FK31" s="939"/>
      <c r="FL31" s="939"/>
      <c r="FM31" s="939"/>
      <c r="FN31" s="939"/>
      <c r="FO31" s="939"/>
      <c r="FP31" s="939"/>
      <c r="FQ31" s="939"/>
      <c r="FR31" s="939"/>
      <c r="FS31" s="939"/>
      <c r="FT31" s="939"/>
      <c r="FU31" s="939"/>
      <c r="FV31" s="939"/>
      <c r="FW31" s="939"/>
      <c r="FX31" s="939"/>
      <c r="FY31" s="939"/>
      <c r="FZ31" s="939"/>
      <c r="GA31" s="939" t="s">
        <v>74</v>
      </c>
      <c r="GB31" s="939"/>
      <c r="GC31" s="939" t="s">
        <v>74</v>
      </c>
      <c r="GD31" s="939" t="s">
        <v>74</v>
      </c>
      <c r="GE31" s="939" t="s">
        <v>74</v>
      </c>
      <c r="GF31" s="939"/>
      <c r="GG31" s="939"/>
      <c r="GH31" s="939"/>
      <c r="GI31" s="939"/>
      <c r="GJ31" s="939"/>
      <c r="GK31" s="939"/>
      <c r="GL31" s="939"/>
      <c r="GM31" s="939"/>
      <c r="GN31" s="939"/>
      <c r="GO31" s="939"/>
      <c r="GP31" s="939"/>
      <c r="GQ31" s="939"/>
      <c r="GR31" s="939"/>
      <c r="GS31" s="939"/>
      <c r="GT31" s="939"/>
      <c r="GU31" s="939" t="s">
        <v>74</v>
      </c>
      <c r="GV31" s="939"/>
      <c r="GW31" s="939" t="s">
        <v>74</v>
      </c>
      <c r="GX31" s="939"/>
      <c r="GY31" s="939"/>
      <c r="GZ31" s="940"/>
      <c r="HA31" s="940"/>
      <c r="HB31" s="939"/>
      <c r="HC31" s="939"/>
      <c r="HD31" s="939"/>
      <c r="HE31" s="939"/>
      <c r="HF31" s="939"/>
      <c r="HG31" s="939"/>
      <c r="HH31" s="939"/>
      <c r="HI31" s="939"/>
      <c r="HJ31" s="939"/>
      <c r="HK31" s="940"/>
      <c r="HL31" s="940"/>
      <c r="HM31" s="939"/>
      <c r="HN31" s="939"/>
      <c r="HO31" s="939"/>
      <c r="HP31" s="939"/>
      <c r="HQ31" s="939"/>
      <c r="HR31" s="939"/>
      <c r="HS31" s="939"/>
      <c r="HT31" s="939"/>
      <c r="HU31" s="939"/>
      <c r="HV31" s="939"/>
      <c r="HW31" s="940"/>
      <c r="HX31" s="990"/>
      <c r="HY31" s="1012"/>
      <c r="HZ31" s="1012"/>
      <c r="IA31" s="1012"/>
      <c r="IB31" s="1012"/>
      <c r="IC31" s="1013"/>
      <c r="ID31" s="1013"/>
      <c r="IE31" s="1012"/>
      <c r="IF31" s="1012"/>
      <c r="IG31" s="1012"/>
      <c r="IH31" s="1012"/>
      <c r="II31" s="1012"/>
      <c r="IJ31" s="1012"/>
      <c r="IK31" s="1012"/>
      <c r="IL31" s="1012"/>
      <c r="IM31" s="1012"/>
      <c r="IN31" s="1012"/>
      <c r="IO31" s="1012"/>
      <c r="IP31" s="1013"/>
      <c r="IQ31" s="1013"/>
      <c r="IR31" s="1012"/>
      <c r="IS31" s="1012"/>
      <c r="IT31" s="1012"/>
      <c r="IU31" s="1012"/>
      <c r="IV31" s="1012"/>
      <c r="IW31" s="929"/>
      <c r="IX31" s="929" t="str">
        <f>IF(ISNUMBER(SEARCH($A31,VLOOKUP(IX$2,职业列表!$B$1:$G$370,6,0))),"★","")</f>
        <v/>
      </c>
      <c r="IY31" s="929" t="str">
        <f>IF(ISNUMBER(SEARCH($A31,VLOOKUP(IY$2,职业列表!$B$1:$G$370,6,0))),"★","")</f>
        <v/>
      </c>
      <c r="IZ31" s="929" t="str">
        <f>IF(ISNUMBER(SEARCH($A31,VLOOKUP(IZ$2,职业列表!$B$1:$G$370,6,0))),"★","")</f>
        <v/>
      </c>
      <c r="JA31" s="929" t="str">
        <f>IF(ISNUMBER(SEARCH($A31,VLOOKUP(JA$2,职业列表!$B$1:$G$370,6,0))),"★","")</f>
        <v/>
      </c>
      <c r="JB31" s="929" t="str">
        <f>IF(ISNUMBER(SEARCH($A31,VLOOKUP(JB$2,职业列表!$B$1:$G$370,6,0))),"★","")</f>
        <v/>
      </c>
      <c r="JC31" s="929" t="str">
        <f>IF(ISNUMBER(SEARCH($A31,VLOOKUP(JC$2,职业列表!$B$1:$G$370,6,0))),"★","")</f>
        <v/>
      </c>
      <c r="JD31" s="929" t="str">
        <f>IF(ISNUMBER(SEARCH($A31,VLOOKUP(JD$2,职业列表!$B$1:$G$370,6,0))),"★","")</f>
        <v/>
      </c>
      <c r="JE31" s="929" t="str">
        <f>IF(ISNUMBER(SEARCH($A31,VLOOKUP(JE$2,职业列表!$B$1:$G$370,6,0))),"★","")</f>
        <v/>
      </c>
      <c r="JF31" s="929" t="str">
        <f>IF(ISNUMBER(SEARCH($A31,VLOOKUP(JF$2,职业列表!$B$1:$G$370,6,0))),"★","")</f>
        <v/>
      </c>
      <c r="JG31" s="929" t="str">
        <f>IF(ISNUMBER(SEARCH($A31,VLOOKUP(JG$2,职业列表!$B$1:$G$370,6,0))),"★","")</f>
        <v/>
      </c>
      <c r="JH31" s="929" t="str">
        <f>IF(ISNUMBER(SEARCH($A31,VLOOKUP(JH$2,职业列表!$B$1:$G$370,6,0))),"★","")</f>
        <v/>
      </c>
      <c r="JI31" s="929" t="str">
        <f>IF(ISNUMBER(SEARCH($A31,VLOOKUP(JI$2,职业列表!$B$1:$G$370,6,0))),"★","")</f>
        <v/>
      </c>
      <c r="JJ31" s="929" t="str">
        <f>IF(ISNUMBER(SEARCH($A31,VLOOKUP(JJ$2,职业列表!$B$1:$G$370,6,0))),"★","")</f>
        <v/>
      </c>
      <c r="JK31" s="929" t="str">
        <f>IF(ISNUMBER(SEARCH($A31,VLOOKUP(JK$2,职业列表!$B$1:$G$370,6,0))),"★","")</f>
        <v/>
      </c>
      <c r="JL31" s="929" t="str">
        <f>IF(ISNUMBER(SEARCH($A31,VLOOKUP(JL$2,职业列表!$B$1:$G$370,6,0))),"★","")</f>
        <v/>
      </c>
      <c r="JM31" s="929" t="str">
        <f>IF(ISNUMBER(SEARCH($A31,VLOOKUP(JM$2,职业列表!$B$1:$G$370,6,0))),"★","")</f>
        <v/>
      </c>
      <c r="JN31" s="929" t="str">
        <f>IF(ISNUMBER(SEARCH($A31,VLOOKUP(JN$2,职业列表!$B$1:$G$370,6,0))),"★","")</f>
        <v/>
      </c>
      <c r="JO31" s="929" t="str">
        <f>IF(ISNUMBER(SEARCH($A31,VLOOKUP(JO$2,职业列表!$B$1:$G$370,6,0))),"★","")</f>
        <v/>
      </c>
      <c r="JP31" s="929" t="str">
        <f>IF(ISNUMBER(SEARCH($A31,VLOOKUP(JP$2,职业列表!$B$1:$G$370,6,0))),"★","")</f>
        <v/>
      </c>
      <c r="JQ31" s="929" t="str">
        <f>IF(ISNUMBER(SEARCH($A31,VLOOKUP(JQ$2,职业列表!$B$1:$G$370,6,0))),"★","")</f>
        <v/>
      </c>
      <c r="JR31" s="929" t="str">
        <f>IF(ISNUMBER(SEARCH($A31,VLOOKUP(JR$2,职业列表!$B$1:$G$370,6,0))),"★","")</f>
        <v/>
      </c>
      <c r="JS31" s="929" t="str">
        <f>IF(ISNUMBER(SEARCH($A31,VLOOKUP(JS$2,职业列表!$B$1:$G$370,6,0))),"★","")</f>
        <v/>
      </c>
      <c r="JT31" s="929" t="str">
        <f>IF(ISNUMBER(SEARCH($A31,VLOOKUP(JT$2,职业列表!$B$1:$G$370,6,0))),"★","")</f>
        <v/>
      </c>
      <c r="JU31" s="929" t="str">
        <f>IF(ISNUMBER(SEARCH($A31,VLOOKUP(JU$2,职业列表!$B$1:$G$370,6,0))),"★","")</f>
        <v/>
      </c>
      <c r="JV31" s="929" t="str">
        <f>IF(ISNUMBER(SEARCH($A31,VLOOKUP(JV$2,职业列表!$B$1:$G$370,6,0))),"★","")</f>
        <v/>
      </c>
      <c r="JW31" s="929" t="str">
        <f>IF(ISNUMBER(SEARCH($A31,VLOOKUP(JW$2,职业列表!$B$1:$G$370,6,0))),"★","")</f>
        <v/>
      </c>
      <c r="JX31" s="929" t="str">
        <f>IF(ISNUMBER(SEARCH($A31,VLOOKUP(JX$2,职业列表!$B$1:$G$370,6,0))),"★","")</f>
        <v/>
      </c>
      <c r="JY31" s="929" t="str">
        <f>IF(ISNUMBER(SEARCH($A31,VLOOKUP(JY$2,职业列表!$B$1:$G$370,6,0))),"★","")</f>
        <v/>
      </c>
      <c r="JZ31" s="929" t="str">
        <f>IF(ISNUMBER(SEARCH($A31,VLOOKUP(JZ$2,职业列表!$B$1:$G$370,6,0))),"★","")</f>
        <v/>
      </c>
      <c r="KA31" s="929" t="str">
        <f>IF(ISNUMBER(SEARCH($A31,VLOOKUP(KA$2,职业列表!$B$1:$G$370,6,0))),"★","")</f>
        <v/>
      </c>
      <c r="KB31" s="929" t="str">
        <f>IF(ISNUMBER(SEARCH($A31,VLOOKUP(KB$2,职业列表!$B$1:$G$370,6,0))),"★","")</f>
        <v/>
      </c>
      <c r="KC31" s="929" t="str">
        <f>IF(ISNUMBER(SEARCH($A31,VLOOKUP(KC$2,职业列表!$B$1:$G$370,6,0))),"★","")</f>
        <v/>
      </c>
      <c r="KD31" s="929" t="str">
        <f>IF(ISNUMBER(SEARCH($A31,VLOOKUP(KD$2,职业列表!$B$1:$G$370,6,0))),"★","")</f>
        <v/>
      </c>
      <c r="KE31" s="929" t="str">
        <f>IF(ISNUMBER(SEARCH($A31,VLOOKUP(KE$2,职业列表!$B$1:$G$370,6,0))),"★","")</f>
        <v/>
      </c>
      <c r="KF31" s="929" t="str">
        <f>IF(ISNUMBER(SEARCH($A31,VLOOKUP(KF$2,职业列表!$B$1:$G$370,6,0))),"★","")</f>
        <v/>
      </c>
      <c r="KG31" s="929" t="str">
        <f>IF(ISNUMBER(SEARCH($A31,VLOOKUP(KG$2,职业列表!$B$1:$G$370,6,0))),"★","")</f>
        <v/>
      </c>
      <c r="KH31" s="929" t="str">
        <f>IF(ISNUMBER(SEARCH($A31,VLOOKUP(KH$2,职业列表!$B$1:$G$370,6,0))),"★","")</f>
        <v/>
      </c>
      <c r="KI31" s="929" t="str">
        <f>IF(ISNUMBER(SEARCH($A31,VLOOKUP(KI$2,职业列表!$B$1:$G$370,6,0))),"★","")</f>
        <v/>
      </c>
      <c r="KJ31" s="929" t="str">
        <f>IF(ISNUMBER(SEARCH($A31,VLOOKUP(KJ$2,职业列表!$B$1:$G$370,6,0))),"★","")</f>
        <v/>
      </c>
      <c r="KK31" s="929" t="str">
        <f>IF(ISNUMBER(SEARCH($A31,VLOOKUP(KK$2,职业列表!$B$1:$G$370,6,0))),"★","")</f>
        <v/>
      </c>
      <c r="KL31" s="929" t="str">
        <f>IF(ISNUMBER(SEARCH($A31,VLOOKUP(KL$2,职业列表!$B$1:$G$370,6,0))),"★","")</f>
        <v/>
      </c>
      <c r="KM31" s="929" t="str">
        <f>IF(ISNUMBER(SEARCH($A31,VLOOKUP(KM$2,职业列表!$B$1:$G$370,6,0))),"★","")</f>
        <v/>
      </c>
      <c r="KN31" s="929" t="str">
        <f>IF(ISNUMBER(SEARCH($A31,VLOOKUP(KN$2,职业列表!$B$1:$G$370,6,0))),"★","")</f>
        <v/>
      </c>
      <c r="KO31" s="929" t="str">
        <f>IF(ISNUMBER(SEARCH($A31,VLOOKUP(KO$2,职业列表!$B$1:$G$370,6,0))),"★","")</f>
        <v/>
      </c>
      <c r="KP31" s="929" t="str">
        <f>IF(ISNUMBER(SEARCH($A31,VLOOKUP(KP$2,职业列表!$B$1:$G$370,6,0))),"★","")</f>
        <v/>
      </c>
      <c r="KQ31" s="929" t="str">
        <f>IF(ISNUMBER(SEARCH($A31,VLOOKUP(KQ$2,职业列表!$B$1:$G$370,6,0))),"★","")</f>
        <v/>
      </c>
      <c r="KR31" s="929" t="str">
        <f>IF(ISNUMBER(SEARCH($A31,VLOOKUP(KR$2,职业列表!$B$1:$G$370,6,0))),"★","")</f>
        <v/>
      </c>
      <c r="KS31" s="929" t="str">
        <f>IF(ISNUMBER(SEARCH($A31,VLOOKUP(KS$2,职业列表!$B$1:$G$370,6,0))),"★","")</f>
        <v/>
      </c>
      <c r="KT31" s="929" t="str">
        <f>IF(ISNUMBER(SEARCH($A31,VLOOKUP(KT$2,职业列表!$B$1:$G$370,6,0))),"★","")</f>
        <v/>
      </c>
      <c r="KU31" s="929" t="str">
        <f>IF(ISNUMBER(SEARCH($A31,VLOOKUP(KU$2,职业列表!$B$1:$G$370,6,0))),"★","")</f>
        <v/>
      </c>
      <c r="KV31" s="929" t="str">
        <f>IF(ISNUMBER(SEARCH($A31,VLOOKUP(KV$2,职业列表!$B$1:$G$370,6,0))),"★","")</f>
        <v/>
      </c>
      <c r="KW31" s="929" t="str">
        <f>IF(ISNUMBER(SEARCH($A31,VLOOKUP(KW$2,职业列表!$B$1:$G$370,6,0))),"★","")</f>
        <v/>
      </c>
      <c r="KX31" s="929" t="str">
        <f>IF(ISNUMBER(SEARCH($A31,VLOOKUP(KX$2,职业列表!$B$1:$G$370,6,0))),"★","")</f>
        <v/>
      </c>
      <c r="KY31" s="929" t="str">
        <f>IF(ISNUMBER(SEARCH($A31,VLOOKUP(KY$2,职业列表!$B$1:$G$370,6,0))),"★","")</f>
        <v/>
      </c>
      <c r="KZ31" s="929" t="str">
        <f>IF(ISNUMBER(SEARCH($A31,VLOOKUP(KZ$2,职业列表!$B$1:$G$370,6,0))),"★","")</f>
        <v/>
      </c>
      <c r="LA31" s="929" t="str">
        <f>IF(ISNUMBER(SEARCH($A31,VLOOKUP(LA$2,职业列表!$B$1:$G$370,6,0))),"★","")</f>
        <v/>
      </c>
      <c r="LB31" s="929" t="str">
        <f>IF(ISNUMBER(SEARCH($A31,VLOOKUP(LB$2,职业列表!$B$1:$G$370,6,0))),"★","")</f>
        <v/>
      </c>
      <c r="LC31" s="929" t="str">
        <f>IF(ISNUMBER(SEARCH($A31,VLOOKUP(LC$2,职业列表!$B$1:$G$370,6,0))),"★","")</f>
        <v/>
      </c>
      <c r="LD31" s="929" t="str">
        <f>IF(ISNUMBER(SEARCH($A31,VLOOKUP(LD$2,职业列表!$B$1:$G$370,6,0))),"★","")</f>
        <v/>
      </c>
      <c r="LE31" s="929" t="str">
        <f>IF(ISNUMBER(SEARCH($A31,VLOOKUP(LE$2,职业列表!$B$1:$G$370,6,0))),"★","")</f>
        <v/>
      </c>
      <c r="LF31" s="929" t="str">
        <f>IF(ISNUMBER(SEARCH($A31,VLOOKUP(LF$2,职业列表!$B$1:$G$370,6,0))),"★","")</f>
        <v/>
      </c>
      <c r="LG31" s="929" t="str">
        <f>IF(ISNUMBER(SEARCH($A31,VLOOKUP(LG$2,职业列表!$B$1:$G$370,6,0))),"★","")</f>
        <v/>
      </c>
      <c r="LH31" s="929" t="str">
        <f>IF(ISNUMBER(SEARCH($A31,VLOOKUP(LH$2,职业列表!$B$1:$G$370,6,0))),"★","")</f>
        <v/>
      </c>
      <c r="LI31" s="929" t="str">
        <f>IF(ISNUMBER(SEARCH($A31,VLOOKUP(LI$2,职业列表!$B$1:$G$370,6,0))),"★","")</f>
        <v/>
      </c>
      <c r="LJ31" s="929" t="str">
        <f>IF(ISNUMBER(SEARCH($A31,VLOOKUP(LJ$2,职业列表!$B$1:$G$370,6,0))),"★","")</f>
        <v>★</v>
      </c>
      <c r="LK31" s="929" t="str">
        <f>IF(ISNUMBER(SEARCH($A31,VLOOKUP(LK$2,职业列表!$B$1:$G$370,6,0))),"★","")</f>
        <v/>
      </c>
      <c r="LL31" s="929" t="str">
        <f>IF(ISNUMBER(SEARCH($A31,VLOOKUP(LL$2,职业列表!$B$1:$G$370,6,0))),"★","")</f>
        <v>★</v>
      </c>
      <c r="LM31" s="929" t="str">
        <f>IF(ISNUMBER(SEARCH($A31,VLOOKUP(LM$2,职业列表!$B$1:$G$370,6,0))),"★","")</f>
        <v/>
      </c>
      <c r="LN31" s="929" t="str">
        <f>IF(ISNUMBER(SEARCH($A31,VLOOKUP(LN$2,职业列表!$B$1:$G$370,6,0))),"★","")</f>
        <v>★</v>
      </c>
      <c r="LO31" s="929" t="str">
        <f>IF(ISNUMBER(SEARCH($A31,VLOOKUP(LO$2,职业列表!$B$1:$G$370,6,0))),"★","")</f>
        <v/>
      </c>
      <c r="LP31" s="929" t="str">
        <f>IF(ISNUMBER(SEARCH($A31,VLOOKUP(LP$2,职业列表!$B$1:$G$370,6,0))),"★","")</f>
        <v>★</v>
      </c>
      <c r="LQ31" s="929" t="str">
        <f>IF(ISNUMBER(SEARCH($A31,VLOOKUP(LQ$2,职业列表!$B$1:$G$370,6,0))),"★","")</f>
        <v>★</v>
      </c>
      <c r="LR31" s="929" t="str">
        <f>IF(ISNUMBER(SEARCH($A31,VLOOKUP(LR$2,职业列表!$B$1:$G$370,6,0))),"★","")</f>
        <v/>
      </c>
      <c r="LS31" s="929" t="str">
        <f>IF(ISNUMBER(SEARCH($A31,VLOOKUP(LS$2,职业列表!$B$1:$G$370,6,0))),"★","")</f>
        <v/>
      </c>
      <c r="LT31" s="929" t="str">
        <f>IF(ISNUMBER(SEARCH($A31,VLOOKUP(LT$2,职业列表!$B$1:$G$370,6,0))),"★","")</f>
        <v/>
      </c>
      <c r="LU31" s="929" t="str">
        <f>IF(ISNUMBER(SEARCH($A31,VLOOKUP(LU$2,职业列表!$B$1:$G$370,6,0))),"★","")</f>
        <v/>
      </c>
      <c r="LV31" s="929" t="str">
        <f>IF(ISNUMBER(SEARCH($A31,VLOOKUP(LV$2,职业列表!$B$1:$G$370,6,0))),"★","")</f>
        <v/>
      </c>
      <c r="LW31" s="929" t="str">
        <f>IF(ISNUMBER(SEARCH($A31,VLOOKUP(LW$2,职业列表!$B$1:$G$370,6,0))),"★","")</f>
        <v/>
      </c>
      <c r="LX31" s="929" t="str">
        <f>IF(ISNUMBER(SEARCH($A31,VLOOKUP(LX$2,职业列表!$B$1:$G$370,6,0))),"★","")</f>
        <v/>
      </c>
      <c r="LY31" s="929" t="str">
        <f>IF(ISNUMBER(SEARCH($A31,VLOOKUP(LY$2,职业列表!$B$1:$G$370,6,0))),"★","")</f>
        <v/>
      </c>
      <c r="LZ31" s="929" t="str">
        <f>IF(ISNUMBER(SEARCH($A31,VLOOKUP(LZ$2,职业列表!$B$1:$G$370,6,0))),"★","")</f>
        <v/>
      </c>
      <c r="MA31" s="929" t="str">
        <f>IF(ISNUMBER(SEARCH($A31,VLOOKUP(MA$2,职业列表!$B$1:$G$370,6,0))),"★","")</f>
        <v/>
      </c>
      <c r="MB31" s="929" t="str">
        <f>IF(ISNUMBER(SEARCH($A31,VLOOKUP(MB$2,职业列表!$B$1:$G$370,6,0))),"★","")</f>
        <v/>
      </c>
      <c r="MC31" s="929" t="str">
        <f>IF(ISNUMBER(SEARCH($A31,VLOOKUP(MC$2,职业列表!$B$1:$G$370,6,0))),"★","")</f>
        <v/>
      </c>
      <c r="MD31" s="929" t="str">
        <f>IF(ISNUMBER(SEARCH($A31,VLOOKUP(MD$2,职业列表!$B$1:$G$370,6,0))),"★","")</f>
        <v/>
      </c>
      <c r="ME31" s="929" t="str">
        <f>IF(ISNUMBER(SEARCH($A31,VLOOKUP(ME$2,职业列表!$B$1:$G$370,6,0))),"★","")</f>
        <v/>
      </c>
      <c r="MF31" s="929" t="str">
        <f>IF(ISNUMBER(SEARCH($A31,VLOOKUP(MF$2,职业列表!$B$1:$G$370,6,0))),"★","")</f>
        <v/>
      </c>
      <c r="MG31" s="929" t="str">
        <f>IF(ISNUMBER(SEARCH($A31,VLOOKUP(MG$2,职业列表!$B$1:$G$370,6,0))),"★","")</f>
        <v/>
      </c>
      <c r="MH31" s="929" t="str">
        <f>IF(ISNUMBER(SEARCH($A31,VLOOKUP(MH$2,职业列表!$B$1:$G$370,6,0))),"★","")</f>
        <v/>
      </c>
      <c r="MI31" s="929" t="str">
        <f>IF(ISNUMBER(SEARCH($A31,VLOOKUP(MI$2,职业列表!$B$1:$G$370,6,0))),"★","")</f>
        <v/>
      </c>
      <c r="MJ31" s="929" t="str">
        <f>IF(ISNUMBER(SEARCH($A31,VLOOKUP(MJ$2,职业列表!$B$1:$G$370,6,0))),"★","")</f>
        <v/>
      </c>
      <c r="MK31" s="929" t="str">
        <f>IF(ISNUMBER(SEARCH($A31,VLOOKUP(MK$2,职业列表!$B$1:$G$370,6,0))),"★","")</f>
        <v/>
      </c>
      <c r="ML31" s="929" t="str">
        <f>IF(ISNUMBER(SEARCH($A31,VLOOKUP(ML$2,职业列表!$B$1:$G$370,6,0))),"★","")</f>
        <v/>
      </c>
      <c r="MM31" s="929" t="str">
        <f>IF(ISNUMBER(SEARCH($A31,VLOOKUP(MM$2,职业列表!$B$1:$G$370,6,0))),"★","")</f>
        <v/>
      </c>
      <c r="MN31" s="929" t="str">
        <f>IF(ISNUMBER(SEARCH($A31,VLOOKUP(MN$2,职业列表!$B$1:$G$370,6,0))),"★","")</f>
        <v/>
      </c>
      <c r="MO31" s="929" t="str">
        <f>IF(ISNUMBER(SEARCH($A31,VLOOKUP(MO$2,职业列表!$B$1:$G$370,6,0))),"★","")</f>
        <v/>
      </c>
      <c r="MP31" s="929" t="str">
        <f>IF(ISNUMBER(SEARCH($A31,VLOOKUP(MP$2,职业列表!$B$1:$G$370,6,0))),"★","")</f>
        <v/>
      </c>
      <c r="MQ31" s="929" t="str">
        <f>IF(ISNUMBER(SEARCH($A31,VLOOKUP(MQ$2,职业列表!$B$1:$G$370,6,0))),"★","")</f>
        <v/>
      </c>
      <c r="MR31" s="929" t="str">
        <f>IF(ISNUMBER(SEARCH($A31,VLOOKUP(MR$2,职业列表!$B$1:$G$370,6,0))),"★","")</f>
        <v/>
      </c>
      <c r="MS31" s="929" t="str">
        <f>IF(ISNUMBER(SEARCH($A31,VLOOKUP(MS$2,职业列表!$B$1:$G$370,6,0))),"★","")</f>
        <v/>
      </c>
      <c r="MT31" s="929" t="str">
        <f>IF(ISNUMBER(SEARCH($A31,VLOOKUP(MT$2,职业列表!$B$1:$G$370,6,0))),"★","")</f>
        <v/>
      </c>
      <c r="MU31" s="929" t="str">
        <f>IF(ISNUMBER(SEARCH($A31,VLOOKUP(MU$2,职业列表!$B$1:$G$370,6,0))),"★","")</f>
        <v/>
      </c>
      <c r="MV31" s="929" t="str">
        <f>IF(ISNUMBER(SEARCH($A31,VLOOKUP(MV$2,职业列表!$B$1:$G$370,6,0))),"★","")</f>
        <v/>
      </c>
      <c r="MW31" s="929" t="str">
        <f>IF(ISNUMBER(SEARCH($A31,VLOOKUP(MW$2,职业列表!$B$1:$G$370,6,0))),"★","")</f>
        <v/>
      </c>
      <c r="MX31" s="929" t="str">
        <f>IF(ISNUMBER(SEARCH($A31,VLOOKUP(MX$2,职业列表!$B$1:$G$370,6,0))),"★","")</f>
        <v/>
      </c>
      <c r="MY31" s="929" t="str">
        <f>IF(ISNUMBER(SEARCH($A31,VLOOKUP(MY$2,职业列表!$B$1:$G$370,6,0))),"★","")</f>
        <v/>
      </c>
      <c r="MZ31" s="929" t="str">
        <f>IF(ISNUMBER(SEARCH($A31,VLOOKUP(MZ$2,职业列表!$B$1:$G$370,6,0))),"★","")</f>
        <v/>
      </c>
      <c r="NA31" s="929" t="str">
        <f>IF(ISNUMBER(SEARCH($A31,VLOOKUP(NA$2,职业列表!$B$1:$G$370,6,0))),"★","")</f>
        <v/>
      </c>
      <c r="NB31" s="929" t="str">
        <f>IF(ISNUMBER(SEARCH($A31,VLOOKUP(NB$2,职业列表!$B$1:$G$370,6,0))),"★","")</f>
        <v/>
      </c>
      <c r="NC31" s="929" t="str">
        <f>IF(ISNUMBER(SEARCH($A31,VLOOKUP(NC$2,职业列表!$B$1:$G$370,6,0))),"★","")</f>
        <v/>
      </c>
      <c r="ND31" s="929" t="str">
        <f>IF(ISNUMBER(SEARCH($A31,VLOOKUP(ND$2,职业列表!$B$1:$G$370,6,0))),"★","")</f>
        <v/>
      </c>
      <c r="NE31" s="929" t="str">
        <f>IF(ISNUMBER(SEARCH($A31,VLOOKUP(NE$2,职业列表!$B$1:$G$370,6,0))),"★","")</f>
        <v/>
      </c>
    </row>
    <row r="32" customFormat="1" ht="14.5" spans="1:369">
      <c r="A32" s="932" t="s">
        <v>141</v>
      </c>
      <c r="B32" s="950" t="str">
        <f>IF(OR(A32="说服",A32="话术",A32="取悦",A32="恐吓"),"☯",IF(ISNUMBER(SEARCH(A32,VLOOKUP(IX$2,职业列表!$B$1:$G$370,6,0))),"★",""))</f>
        <v/>
      </c>
      <c r="C32" s="950" t="str">
        <f>IF(ISTEXT(IFERROR(VLOOKUP(A32,职业列表!I3:J10,1,FALSE),0)),"★","")</f>
        <v/>
      </c>
      <c r="D32" s="939"/>
      <c r="E32" s="939"/>
      <c r="F32" s="939"/>
      <c r="G32" s="939"/>
      <c r="H32" s="939" t="s">
        <v>74</v>
      </c>
      <c r="I32" s="939"/>
      <c r="J32" s="939"/>
      <c r="K32" s="939"/>
      <c r="L32" s="939"/>
      <c r="M32" s="939"/>
      <c r="N32" s="939"/>
      <c r="O32" s="939"/>
      <c r="P32" s="939"/>
      <c r="Q32" s="939"/>
      <c r="R32" s="939"/>
      <c r="S32" s="939"/>
      <c r="T32" s="939" t="s">
        <v>74</v>
      </c>
      <c r="U32" s="939"/>
      <c r="V32" s="939" t="s">
        <v>2717</v>
      </c>
      <c r="W32" s="939"/>
      <c r="X32" s="939"/>
      <c r="Y32" s="939"/>
      <c r="Z32" s="939"/>
      <c r="AA32" s="939"/>
      <c r="AB32" s="939" t="s">
        <v>2717</v>
      </c>
      <c r="AC32" s="939"/>
      <c r="AD32" s="939" t="s">
        <v>74</v>
      </c>
      <c r="AE32" s="939" t="s">
        <v>74</v>
      </c>
      <c r="AF32" s="939" t="s">
        <v>74</v>
      </c>
      <c r="AG32" s="939"/>
      <c r="AH32" s="939"/>
      <c r="AI32" s="939" t="s">
        <v>2717</v>
      </c>
      <c r="AJ32" s="939"/>
      <c r="AK32" s="939"/>
      <c r="AL32" s="939"/>
      <c r="AM32" s="939" t="s">
        <v>74</v>
      </c>
      <c r="AN32" s="939" t="s">
        <v>74</v>
      </c>
      <c r="AO32" s="939"/>
      <c r="AP32" s="939" t="s">
        <v>2716</v>
      </c>
      <c r="AQ32" s="966"/>
      <c r="AR32" s="939" t="s">
        <v>74</v>
      </c>
      <c r="AS32" s="939"/>
      <c r="AT32" s="939"/>
      <c r="AU32" s="939"/>
      <c r="AV32" s="939"/>
      <c r="AW32" s="939"/>
      <c r="AX32" s="939"/>
      <c r="AY32" s="939"/>
      <c r="AZ32" s="939"/>
      <c r="BA32" s="939"/>
      <c r="BB32" s="939"/>
      <c r="BC32" s="939" t="s">
        <v>74</v>
      </c>
      <c r="BD32" s="939"/>
      <c r="BE32" s="939" t="s">
        <v>74</v>
      </c>
      <c r="BF32" s="939"/>
      <c r="BG32" s="939"/>
      <c r="BH32" s="939"/>
      <c r="BI32" s="939"/>
      <c r="BJ32" s="939" t="s">
        <v>74</v>
      </c>
      <c r="BK32" s="939" t="s">
        <v>74</v>
      </c>
      <c r="BL32" s="939"/>
      <c r="BM32" s="939"/>
      <c r="BN32" s="939"/>
      <c r="BO32" s="939"/>
      <c r="BP32" s="939"/>
      <c r="BQ32" s="939"/>
      <c r="BR32" s="939"/>
      <c r="BS32" s="939"/>
      <c r="BT32" s="939"/>
      <c r="BU32" s="939"/>
      <c r="BV32" s="939"/>
      <c r="BW32" s="939"/>
      <c r="BX32" s="939"/>
      <c r="BY32" s="939" t="s">
        <v>74</v>
      </c>
      <c r="BZ32" s="939"/>
      <c r="CA32" s="939"/>
      <c r="CB32" s="939"/>
      <c r="CC32" s="939"/>
      <c r="CD32" s="939"/>
      <c r="CE32" s="939"/>
      <c r="CF32" s="939" t="s">
        <v>74</v>
      </c>
      <c r="CG32" s="939"/>
      <c r="CH32" s="939"/>
      <c r="CI32" s="939"/>
      <c r="CJ32" s="939"/>
      <c r="CK32" s="939"/>
      <c r="CL32" s="939"/>
      <c r="CM32" s="939" t="s">
        <v>74</v>
      </c>
      <c r="CN32" s="939" t="s">
        <v>74</v>
      </c>
      <c r="CO32" s="939"/>
      <c r="CP32" s="939"/>
      <c r="CQ32" s="939"/>
      <c r="CR32" s="939"/>
      <c r="CS32" s="939"/>
      <c r="CT32" s="939"/>
      <c r="CU32" s="939"/>
      <c r="CV32" s="939" t="s">
        <v>74</v>
      </c>
      <c r="CW32" s="939"/>
      <c r="CX32" s="939"/>
      <c r="CY32" s="939"/>
      <c r="CZ32" s="939"/>
      <c r="DA32" s="939"/>
      <c r="DB32" s="939" t="s">
        <v>74</v>
      </c>
      <c r="DC32" s="939" t="s">
        <v>74</v>
      </c>
      <c r="DD32" s="939"/>
      <c r="DE32" s="939"/>
      <c r="DF32" s="939"/>
      <c r="DG32" s="939"/>
      <c r="DH32" s="939"/>
      <c r="DI32" s="939"/>
      <c r="DJ32" s="939"/>
      <c r="DK32" s="939"/>
      <c r="DL32" s="939"/>
      <c r="DM32" s="939"/>
      <c r="DN32" s="939"/>
      <c r="DO32" s="939"/>
      <c r="DP32" s="939"/>
      <c r="DQ32" s="939"/>
      <c r="DR32" s="939"/>
      <c r="DS32" s="939"/>
      <c r="DT32" s="939"/>
      <c r="DU32" s="939"/>
      <c r="DV32" s="939"/>
      <c r="DW32" s="939"/>
      <c r="DX32" s="939"/>
      <c r="DY32" s="939"/>
      <c r="DZ32" s="939"/>
      <c r="EA32" s="939"/>
      <c r="EB32" s="939"/>
      <c r="EC32" s="939"/>
      <c r="ED32" s="939"/>
      <c r="EE32" s="939"/>
      <c r="EF32" s="939"/>
      <c r="EG32" s="939"/>
      <c r="EH32" s="939"/>
      <c r="EI32" s="939"/>
      <c r="EJ32" s="939"/>
      <c r="EK32" s="939"/>
      <c r="EL32" s="939"/>
      <c r="EM32" s="939"/>
      <c r="EN32" s="939"/>
      <c r="EO32" s="939"/>
      <c r="EP32" s="939"/>
      <c r="EQ32" s="939"/>
      <c r="ER32" s="939"/>
      <c r="ES32" s="939"/>
      <c r="ET32" s="939"/>
      <c r="EU32" s="939"/>
      <c r="EV32" s="939"/>
      <c r="EW32" s="939"/>
      <c r="EX32" s="939"/>
      <c r="EY32" s="939"/>
      <c r="EZ32" s="939"/>
      <c r="FA32" s="939"/>
      <c r="FB32" s="939"/>
      <c r="FC32" s="939" t="s">
        <v>74</v>
      </c>
      <c r="FD32" s="939"/>
      <c r="FE32" s="939"/>
      <c r="FF32" s="939"/>
      <c r="FG32" s="939"/>
      <c r="FH32" s="939"/>
      <c r="FI32" s="939"/>
      <c r="FJ32" s="939"/>
      <c r="FK32" s="939"/>
      <c r="FL32" s="939"/>
      <c r="FM32" s="939"/>
      <c r="FN32" s="939"/>
      <c r="FO32" s="939"/>
      <c r="FP32" s="939"/>
      <c r="FQ32" s="939"/>
      <c r="FR32" s="939"/>
      <c r="FS32" s="939"/>
      <c r="FT32" s="939"/>
      <c r="FU32" s="939"/>
      <c r="FV32" s="939"/>
      <c r="FW32" s="939"/>
      <c r="FX32" s="939"/>
      <c r="FY32" s="939"/>
      <c r="FZ32" s="939"/>
      <c r="GA32" s="939" t="s">
        <v>74</v>
      </c>
      <c r="GB32" s="939"/>
      <c r="GC32" s="939" t="s">
        <v>74</v>
      </c>
      <c r="GD32" s="939" t="s">
        <v>74</v>
      </c>
      <c r="GE32" s="939" t="s">
        <v>74</v>
      </c>
      <c r="GF32" s="939"/>
      <c r="GG32" s="939"/>
      <c r="GH32" s="939"/>
      <c r="GI32" s="939"/>
      <c r="GJ32" s="939"/>
      <c r="GK32" s="939"/>
      <c r="GL32" s="939"/>
      <c r="GM32" s="939"/>
      <c r="GN32" s="939"/>
      <c r="GO32" s="939"/>
      <c r="GP32" s="939"/>
      <c r="GQ32" s="939"/>
      <c r="GR32" s="939"/>
      <c r="GS32" s="939"/>
      <c r="GT32" s="939"/>
      <c r="GU32" s="939" t="s">
        <v>74</v>
      </c>
      <c r="GV32" s="939"/>
      <c r="GW32" s="939" t="s">
        <v>74</v>
      </c>
      <c r="GX32" s="939"/>
      <c r="GY32" s="939"/>
      <c r="GZ32" s="940"/>
      <c r="HA32" s="940"/>
      <c r="HB32" s="939"/>
      <c r="HC32" s="939"/>
      <c r="HD32" s="939"/>
      <c r="HE32" s="939"/>
      <c r="HF32" s="939"/>
      <c r="HG32" s="939"/>
      <c r="HH32" s="939"/>
      <c r="HI32" s="939"/>
      <c r="HJ32" s="939"/>
      <c r="HK32" s="940"/>
      <c r="HL32" s="940"/>
      <c r="HM32" s="939"/>
      <c r="HN32" s="939"/>
      <c r="HO32" s="939"/>
      <c r="HP32" s="939"/>
      <c r="HQ32" s="939"/>
      <c r="HR32" s="939"/>
      <c r="HS32" s="939"/>
      <c r="HT32" s="939"/>
      <c r="HU32" s="939"/>
      <c r="HV32" s="939"/>
      <c r="HW32" s="940"/>
      <c r="HX32" s="990"/>
      <c r="HY32" s="1012"/>
      <c r="HZ32" s="1012"/>
      <c r="IA32" s="1012"/>
      <c r="IB32" s="1012"/>
      <c r="IC32" s="1013"/>
      <c r="ID32" s="1013"/>
      <c r="IE32" s="1012"/>
      <c r="IF32" s="1012"/>
      <c r="IG32" s="1012"/>
      <c r="IH32" s="1012"/>
      <c r="II32" s="1012"/>
      <c r="IJ32" s="929"/>
      <c r="IK32" s="929"/>
      <c r="IL32" s="929"/>
      <c r="IM32" s="929"/>
      <c r="IN32" s="929"/>
      <c r="IO32" s="929"/>
      <c r="IP32" s="1011"/>
      <c r="IQ32" s="1011"/>
      <c r="IR32" s="929"/>
      <c r="IS32" s="929"/>
      <c r="IT32" s="929"/>
      <c r="IU32" s="929"/>
      <c r="IV32" s="929"/>
      <c r="IW32" s="929"/>
      <c r="IX32" s="929" t="str">
        <f>IF(ISNUMBER(SEARCH($A32,VLOOKUP(IX$2,职业列表!$B$1:$G$370,6,0))),"★","")</f>
        <v/>
      </c>
      <c r="IY32" s="929" t="str">
        <f>IF(ISNUMBER(SEARCH($A32,VLOOKUP(IY$2,职业列表!$B$1:$G$370,6,0))),"★","")</f>
        <v/>
      </c>
      <c r="IZ32" s="929" t="str">
        <f>IF(ISNUMBER(SEARCH($A32,VLOOKUP(IZ$2,职业列表!$B$1:$G$370,6,0))),"★","")</f>
        <v/>
      </c>
      <c r="JA32" s="929" t="str">
        <f>IF(ISNUMBER(SEARCH($A32,VLOOKUP(JA$2,职业列表!$B$1:$G$370,6,0))),"★","")</f>
        <v/>
      </c>
      <c r="JB32" s="929" t="str">
        <f>IF(ISNUMBER(SEARCH($A32,VLOOKUP(JB$2,职业列表!$B$1:$G$370,6,0))),"★","")</f>
        <v/>
      </c>
      <c r="JC32" s="929" t="str">
        <f>IF(ISNUMBER(SEARCH($A32,VLOOKUP(JC$2,职业列表!$B$1:$G$370,6,0))),"★","")</f>
        <v/>
      </c>
      <c r="JD32" s="929" t="str">
        <f>IF(ISNUMBER(SEARCH($A32,VLOOKUP(JD$2,职业列表!$B$1:$G$370,6,0))),"★","")</f>
        <v/>
      </c>
      <c r="JE32" s="929" t="str">
        <f>IF(ISNUMBER(SEARCH($A32,VLOOKUP(JE$2,职业列表!$B$1:$G$370,6,0))),"★","")</f>
        <v/>
      </c>
      <c r="JF32" s="929" t="str">
        <f>IF(ISNUMBER(SEARCH($A32,VLOOKUP(JF$2,职业列表!$B$1:$G$370,6,0))),"★","")</f>
        <v/>
      </c>
      <c r="JG32" s="929" t="str">
        <f>IF(ISNUMBER(SEARCH($A32,VLOOKUP(JG$2,职业列表!$B$1:$G$370,6,0))),"★","")</f>
        <v/>
      </c>
      <c r="JH32" s="929" t="str">
        <f>IF(ISNUMBER(SEARCH($A32,VLOOKUP(JH$2,职业列表!$B$1:$G$370,6,0))),"★","")</f>
        <v/>
      </c>
      <c r="JI32" s="929" t="str">
        <f>IF(ISNUMBER(SEARCH($A32,VLOOKUP(JI$2,职业列表!$B$1:$G$370,6,0))),"★","")</f>
        <v/>
      </c>
      <c r="JJ32" s="929" t="str">
        <f>IF(ISNUMBER(SEARCH($A32,VLOOKUP(JJ$2,职业列表!$B$1:$G$370,6,0))),"★","")</f>
        <v/>
      </c>
      <c r="JK32" s="929" t="str">
        <f>IF(ISNUMBER(SEARCH($A32,VLOOKUP(JK$2,职业列表!$B$1:$G$370,6,0))),"★","")</f>
        <v/>
      </c>
      <c r="JL32" s="929" t="str">
        <f>IF(ISNUMBER(SEARCH($A32,VLOOKUP(JL$2,职业列表!$B$1:$G$370,6,0))),"★","")</f>
        <v/>
      </c>
      <c r="JM32" s="929" t="str">
        <f>IF(ISNUMBER(SEARCH($A32,VLOOKUP(JM$2,职业列表!$B$1:$G$370,6,0))),"★","")</f>
        <v/>
      </c>
      <c r="JN32" s="929" t="str">
        <f>IF(ISNUMBER(SEARCH($A32,VLOOKUP(JN$2,职业列表!$B$1:$G$370,6,0))),"★","")</f>
        <v/>
      </c>
      <c r="JO32" s="929" t="str">
        <f>IF(ISNUMBER(SEARCH($A32,VLOOKUP(JO$2,职业列表!$B$1:$G$370,6,0))),"★","")</f>
        <v/>
      </c>
      <c r="JP32" s="929" t="str">
        <f>IF(ISNUMBER(SEARCH($A32,VLOOKUP(JP$2,职业列表!$B$1:$G$370,6,0))),"★","")</f>
        <v/>
      </c>
      <c r="JQ32" s="929" t="str">
        <f>IF(ISNUMBER(SEARCH($A32,VLOOKUP(JQ$2,职业列表!$B$1:$G$370,6,0))),"★","")</f>
        <v/>
      </c>
      <c r="JR32" s="929" t="str">
        <f>IF(ISNUMBER(SEARCH($A32,VLOOKUP(JR$2,职业列表!$B$1:$G$370,6,0))),"★","")</f>
        <v/>
      </c>
      <c r="JS32" s="929" t="str">
        <f>IF(ISNUMBER(SEARCH($A32,VLOOKUP(JS$2,职业列表!$B$1:$G$370,6,0))),"★","")</f>
        <v/>
      </c>
      <c r="JT32" s="929" t="str">
        <f>IF(ISNUMBER(SEARCH($A32,VLOOKUP(JT$2,职业列表!$B$1:$G$370,6,0))),"★","")</f>
        <v/>
      </c>
      <c r="JU32" s="929" t="str">
        <f>IF(ISNUMBER(SEARCH($A32,VLOOKUP(JU$2,职业列表!$B$1:$G$370,6,0))),"★","")</f>
        <v/>
      </c>
      <c r="JV32" s="929" t="str">
        <f>IF(ISNUMBER(SEARCH($A32,VLOOKUP(JV$2,职业列表!$B$1:$G$370,6,0))),"★","")</f>
        <v/>
      </c>
      <c r="JW32" s="929" t="str">
        <f>IF(ISNUMBER(SEARCH($A32,VLOOKUP(JW$2,职业列表!$B$1:$G$370,6,0))),"★","")</f>
        <v/>
      </c>
      <c r="JX32" s="929" t="str">
        <f>IF(ISNUMBER(SEARCH($A32,VLOOKUP(JX$2,职业列表!$B$1:$G$370,6,0))),"★","")</f>
        <v/>
      </c>
      <c r="JY32" s="929" t="str">
        <f>IF(ISNUMBER(SEARCH($A32,VLOOKUP(JY$2,职业列表!$B$1:$G$370,6,0))),"★","")</f>
        <v/>
      </c>
      <c r="JZ32" s="929" t="str">
        <f>IF(ISNUMBER(SEARCH($A32,VLOOKUP(JZ$2,职业列表!$B$1:$G$370,6,0))),"★","")</f>
        <v/>
      </c>
      <c r="KA32" s="929" t="str">
        <f>IF(ISNUMBER(SEARCH($A32,VLOOKUP(KA$2,职业列表!$B$1:$G$370,6,0))),"★","")</f>
        <v/>
      </c>
      <c r="KB32" s="929" t="str">
        <f>IF(ISNUMBER(SEARCH($A32,VLOOKUP(KB$2,职业列表!$B$1:$G$370,6,0))),"★","")</f>
        <v/>
      </c>
      <c r="KC32" s="929" t="str">
        <f>IF(ISNUMBER(SEARCH($A32,VLOOKUP(KC$2,职业列表!$B$1:$G$370,6,0))),"★","")</f>
        <v/>
      </c>
      <c r="KD32" s="929" t="str">
        <f>IF(ISNUMBER(SEARCH($A32,VLOOKUP(KD$2,职业列表!$B$1:$G$370,6,0))),"★","")</f>
        <v/>
      </c>
      <c r="KE32" s="929" t="str">
        <f>IF(ISNUMBER(SEARCH($A32,VLOOKUP(KE$2,职业列表!$B$1:$G$370,6,0))),"★","")</f>
        <v/>
      </c>
      <c r="KF32" s="929" t="str">
        <f>IF(ISNUMBER(SEARCH($A32,VLOOKUP(KF$2,职业列表!$B$1:$G$370,6,0))),"★","")</f>
        <v/>
      </c>
      <c r="KG32" s="929" t="str">
        <f>IF(ISNUMBER(SEARCH($A32,VLOOKUP(KG$2,职业列表!$B$1:$G$370,6,0))),"★","")</f>
        <v/>
      </c>
      <c r="KH32" s="929" t="str">
        <f>IF(ISNUMBER(SEARCH($A32,VLOOKUP(KH$2,职业列表!$B$1:$G$370,6,0))),"★","")</f>
        <v/>
      </c>
      <c r="KI32" s="929" t="str">
        <f>IF(ISNUMBER(SEARCH($A32,VLOOKUP(KI$2,职业列表!$B$1:$G$370,6,0))),"★","")</f>
        <v/>
      </c>
      <c r="KJ32" s="929" t="str">
        <f>IF(ISNUMBER(SEARCH($A32,VLOOKUP(KJ$2,职业列表!$B$1:$G$370,6,0))),"★","")</f>
        <v/>
      </c>
      <c r="KK32" s="929" t="str">
        <f>IF(ISNUMBER(SEARCH($A32,VLOOKUP(KK$2,职业列表!$B$1:$G$370,6,0))),"★","")</f>
        <v/>
      </c>
      <c r="KL32" s="929" t="str">
        <f>IF(ISNUMBER(SEARCH($A32,VLOOKUP(KL$2,职业列表!$B$1:$G$370,6,0))),"★","")</f>
        <v/>
      </c>
      <c r="KM32" s="929" t="str">
        <f>IF(ISNUMBER(SEARCH($A32,VLOOKUP(KM$2,职业列表!$B$1:$G$370,6,0))),"★","")</f>
        <v/>
      </c>
      <c r="KN32" s="929" t="str">
        <f>IF(ISNUMBER(SEARCH($A32,VLOOKUP(KN$2,职业列表!$B$1:$G$370,6,0))),"★","")</f>
        <v/>
      </c>
      <c r="KO32" s="929" t="str">
        <f>IF(ISNUMBER(SEARCH($A32,VLOOKUP(KO$2,职业列表!$B$1:$G$370,6,0))),"★","")</f>
        <v/>
      </c>
      <c r="KP32" s="929" t="str">
        <f>IF(ISNUMBER(SEARCH($A32,VLOOKUP(KP$2,职业列表!$B$1:$G$370,6,0))),"★","")</f>
        <v/>
      </c>
      <c r="KQ32" s="929" t="str">
        <f>IF(ISNUMBER(SEARCH($A32,VLOOKUP(KQ$2,职业列表!$B$1:$G$370,6,0))),"★","")</f>
        <v/>
      </c>
      <c r="KR32" s="929" t="str">
        <f>IF(ISNUMBER(SEARCH($A32,VLOOKUP(KR$2,职业列表!$B$1:$G$370,6,0))),"★","")</f>
        <v/>
      </c>
      <c r="KS32" s="929" t="str">
        <f>IF(ISNUMBER(SEARCH($A32,VLOOKUP(KS$2,职业列表!$B$1:$G$370,6,0))),"★","")</f>
        <v/>
      </c>
      <c r="KT32" s="929" t="str">
        <f>IF(ISNUMBER(SEARCH($A32,VLOOKUP(KT$2,职业列表!$B$1:$G$370,6,0))),"★","")</f>
        <v/>
      </c>
      <c r="KU32" s="929" t="str">
        <f>IF(ISNUMBER(SEARCH($A32,VLOOKUP(KU$2,职业列表!$B$1:$G$370,6,0))),"★","")</f>
        <v/>
      </c>
      <c r="KV32" s="929" t="str">
        <f>IF(ISNUMBER(SEARCH($A32,VLOOKUP(KV$2,职业列表!$B$1:$G$370,6,0))),"★","")</f>
        <v/>
      </c>
      <c r="KW32" s="929" t="str">
        <f>IF(ISNUMBER(SEARCH($A32,VLOOKUP(KW$2,职业列表!$B$1:$G$370,6,0))),"★","")</f>
        <v/>
      </c>
      <c r="KX32" s="929" t="str">
        <f>IF(ISNUMBER(SEARCH($A32,VLOOKUP(KX$2,职业列表!$B$1:$G$370,6,0))),"★","")</f>
        <v/>
      </c>
      <c r="KY32" s="929" t="str">
        <f>IF(ISNUMBER(SEARCH($A32,VLOOKUP(KY$2,职业列表!$B$1:$G$370,6,0))),"★","")</f>
        <v/>
      </c>
      <c r="KZ32" s="929" t="str">
        <f>IF(ISNUMBER(SEARCH($A32,VLOOKUP(KZ$2,职业列表!$B$1:$G$370,6,0))),"★","")</f>
        <v/>
      </c>
      <c r="LA32" s="929" t="str">
        <f>IF(ISNUMBER(SEARCH($A32,VLOOKUP(LA$2,职业列表!$B$1:$G$370,6,0))),"★","")</f>
        <v/>
      </c>
      <c r="LB32" s="929" t="str">
        <f>IF(ISNUMBER(SEARCH($A32,VLOOKUP(LB$2,职业列表!$B$1:$G$370,6,0))),"★","")</f>
        <v/>
      </c>
      <c r="LC32" s="929" t="str">
        <f>IF(ISNUMBER(SEARCH($A32,VLOOKUP(LC$2,职业列表!$B$1:$G$370,6,0))),"★","")</f>
        <v/>
      </c>
      <c r="LD32" s="929" t="str">
        <f>IF(ISNUMBER(SEARCH($A32,VLOOKUP(LD$2,职业列表!$B$1:$G$370,6,0))),"★","")</f>
        <v/>
      </c>
      <c r="LE32" s="929" t="str">
        <f>IF(ISNUMBER(SEARCH($A32,VLOOKUP(LE$2,职业列表!$B$1:$G$370,6,0))),"★","")</f>
        <v/>
      </c>
      <c r="LF32" s="929" t="str">
        <f>IF(ISNUMBER(SEARCH($A32,VLOOKUP(LF$2,职业列表!$B$1:$G$370,6,0))),"★","")</f>
        <v/>
      </c>
      <c r="LG32" s="929" t="str">
        <f>IF(ISNUMBER(SEARCH($A32,VLOOKUP(LG$2,职业列表!$B$1:$G$370,6,0))),"★","")</f>
        <v/>
      </c>
      <c r="LH32" s="929" t="str">
        <f>IF(ISNUMBER(SEARCH($A32,VLOOKUP(LH$2,职业列表!$B$1:$G$370,6,0))),"★","")</f>
        <v/>
      </c>
      <c r="LI32" s="929" t="str">
        <f>IF(ISNUMBER(SEARCH($A32,VLOOKUP(LI$2,职业列表!$B$1:$G$370,6,0))),"★","")</f>
        <v/>
      </c>
      <c r="LJ32" s="929" t="str">
        <f>IF(ISNUMBER(SEARCH($A32,VLOOKUP(LJ$2,职业列表!$B$1:$G$370,6,0))),"★","")</f>
        <v>★</v>
      </c>
      <c r="LK32" s="929" t="str">
        <f>IF(ISNUMBER(SEARCH($A32,VLOOKUP(LK$2,职业列表!$B$1:$G$370,6,0))),"★","")</f>
        <v/>
      </c>
      <c r="LL32" s="929" t="str">
        <f>IF(ISNUMBER(SEARCH($A32,VLOOKUP(LL$2,职业列表!$B$1:$G$370,6,0))),"★","")</f>
        <v>★</v>
      </c>
      <c r="LM32" s="929" t="str">
        <f>IF(ISNUMBER(SEARCH($A32,VLOOKUP(LM$2,职业列表!$B$1:$G$370,6,0))),"★","")</f>
        <v/>
      </c>
      <c r="LN32" s="929" t="str">
        <f>IF(ISNUMBER(SEARCH($A32,VLOOKUP(LN$2,职业列表!$B$1:$G$370,6,0))),"★","")</f>
        <v>★</v>
      </c>
      <c r="LO32" s="929" t="str">
        <f>IF(ISNUMBER(SEARCH($A32,VLOOKUP(LO$2,职业列表!$B$1:$G$370,6,0))),"★","")</f>
        <v/>
      </c>
      <c r="LP32" s="929" t="str">
        <f>IF(ISNUMBER(SEARCH($A32,VLOOKUP(LP$2,职业列表!$B$1:$G$370,6,0))),"★","")</f>
        <v>★</v>
      </c>
      <c r="LQ32" s="929" t="str">
        <f>IF(ISNUMBER(SEARCH($A32,VLOOKUP(LQ$2,职业列表!$B$1:$G$370,6,0))),"★","")</f>
        <v/>
      </c>
      <c r="LR32" s="929" t="str">
        <f>IF(ISNUMBER(SEARCH($A32,VLOOKUP(LR$2,职业列表!$B$1:$G$370,6,0))),"★","")</f>
        <v/>
      </c>
      <c r="LS32" s="929" t="str">
        <f>IF(ISNUMBER(SEARCH($A32,VLOOKUP(LS$2,职业列表!$B$1:$G$370,6,0))),"★","")</f>
        <v/>
      </c>
      <c r="LT32" s="929" t="str">
        <f>IF(ISNUMBER(SEARCH($A32,VLOOKUP(LT$2,职业列表!$B$1:$G$370,6,0))),"★","")</f>
        <v/>
      </c>
      <c r="LU32" s="929" t="str">
        <f>IF(ISNUMBER(SEARCH($A32,VLOOKUP(LU$2,职业列表!$B$1:$G$370,6,0))),"★","")</f>
        <v/>
      </c>
      <c r="LV32" s="929" t="str">
        <f>IF(ISNUMBER(SEARCH($A32,VLOOKUP(LV$2,职业列表!$B$1:$G$370,6,0))),"★","")</f>
        <v/>
      </c>
      <c r="LW32" s="929" t="str">
        <f>IF(ISNUMBER(SEARCH($A32,VLOOKUP(LW$2,职业列表!$B$1:$G$370,6,0))),"★","")</f>
        <v/>
      </c>
      <c r="LX32" s="929" t="str">
        <f>IF(ISNUMBER(SEARCH($A32,VLOOKUP(LX$2,职业列表!$B$1:$G$370,6,0))),"★","")</f>
        <v/>
      </c>
      <c r="LY32" s="929" t="str">
        <f>IF(ISNUMBER(SEARCH($A32,VLOOKUP(LY$2,职业列表!$B$1:$G$370,6,0))),"★","")</f>
        <v/>
      </c>
      <c r="LZ32" s="929" t="str">
        <f>IF(ISNUMBER(SEARCH($A32,VLOOKUP(LZ$2,职业列表!$B$1:$G$370,6,0))),"★","")</f>
        <v/>
      </c>
      <c r="MA32" s="929" t="str">
        <f>IF(ISNUMBER(SEARCH($A32,VLOOKUP(MA$2,职业列表!$B$1:$G$370,6,0))),"★","")</f>
        <v/>
      </c>
      <c r="MB32" s="929" t="str">
        <f>IF(ISNUMBER(SEARCH($A32,VLOOKUP(MB$2,职业列表!$B$1:$G$370,6,0))),"★","")</f>
        <v/>
      </c>
      <c r="MC32" s="929" t="str">
        <f>IF(ISNUMBER(SEARCH($A32,VLOOKUP(MC$2,职业列表!$B$1:$G$370,6,0))),"★","")</f>
        <v/>
      </c>
      <c r="MD32" s="929" t="str">
        <f>IF(ISNUMBER(SEARCH($A32,VLOOKUP(MD$2,职业列表!$B$1:$G$370,6,0))),"★","")</f>
        <v/>
      </c>
      <c r="ME32" s="929" t="str">
        <f>IF(ISNUMBER(SEARCH($A32,VLOOKUP(ME$2,职业列表!$B$1:$G$370,6,0))),"★","")</f>
        <v/>
      </c>
      <c r="MF32" s="929" t="str">
        <f>IF(ISNUMBER(SEARCH($A32,VLOOKUP(MF$2,职业列表!$B$1:$G$370,6,0))),"★","")</f>
        <v/>
      </c>
      <c r="MG32" s="929" t="str">
        <f>IF(ISNUMBER(SEARCH($A32,VLOOKUP(MG$2,职业列表!$B$1:$G$370,6,0))),"★","")</f>
        <v/>
      </c>
      <c r="MH32" s="929" t="str">
        <f>IF(ISNUMBER(SEARCH($A32,VLOOKUP(MH$2,职业列表!$B$1:$G$370,6,0))),"★","")</f>
        <v/>
      </c>
      <c r="MI32" s="929" t="str">
        <f>IF(ISNUMBER(SEARCH($A32,VLOOKUP(MI$2,职业列表!$B$1:$G$370,6,0))),"★","")</f>
        <v/>
      </c>
      <c r="MJ32" s="929" t="str">
        <f>IF(ISNUMBER(SEARCH($A32,VLOOKUP(MJ$2,职业列表!$B$1:$G$370,6,0))),"★","")</f>
        <v/>
      </c>
      <c r="MK32" s="929" t="str">
        <f>IF(ISNUMBER(SEARCH($A32,VLOOKUP(MK$2,职业列表!$B$1:$G$370,6,0))),"★","")</f>
        <v/>
      </c>
      <c r="ML32" s="929" t="str">
        <f>IF(ISNUMBER(SEARCH($A32,VLOOKUP(ML$2,职业列表!$B$1:$G$370,6,0))),"★","")</f>
        <v/>
      </c>
      <c r="MM32" s="929" t="str">
        <f>IF(ISNUMBER(SEARCH($A32,VLOOKUP(MM$2,职业列表!$B$1:$G$370,6,0))),"★","")</f>
        <v/>
      </c>
      <c r="MN32" s="929" t="str">
        <f>IF(ISNUMBER(SEARCH($A32,VLOOKUP(MN$2,职业列表!$B$1:$G$370,6,0))),"★","")</f>
        <v/>
      </c>
      <c r="MO32" s="929" t="str">
        <f>IF(ISNUMBER(SEARCH($A32,VLOOKUP(MO$2,职业列表!$B$1:$G$370,6,0))),"★","")</f>
        <v/>
      </c>
      <c r="MP32" s="929" t="str">
        <f>IF(ISNUMBER(SEARCH($A32,VLOOKUP(MP$2,职业列表!$B$1:$G$370,6,0))),"★","")</f>
        <v/>
      </c>
      <c r="MQ32" s="929" t="str">
        <f>IF(ISNUMBER(SEARCH($A32,VLOOKUP(MQ$2,职业列表!$B$1:$G$370,6,0))),"★","")</f>
        <v/>
      </c>
      <c r="MR32" s="929" t="str">
        <f>IF(ISNUMBER(SEARCH($A32,VLOOKUP(MR$2,职业列表!$B$1:$G$370,6,0))),"★","")</f>
        <v/>
      </c>
      <c r="MS32" s="929" t="str">
        <f>IF(ISNUMBER(SEARCH($A32,VLOOKUP(MS$2,职业列表!$B$1:$G$370,6,0))),"★","")</f>
        <v/>
      </c>
      <c r="MT32" s="929" t="str">
        <f>IF(ISNUMBER(SEARCH($A32,VLOOKUP(MT$2,职业列表!$B$1:$G$370,6,0))),"★","")</f>
        <v/>
      </c>
      <c r="MU32" s="929" t="str">
        <f>IF(ISNUMBER(SEARCH($A32,VLOOKUP(MU$2,职业列表!$B$1:$G$370,6,0))),"★","")</f>
        <v/>
      </c>
      <c r="MV32" s="929" t="str">
        <f>IF(ISNUMBER(SEARCH($A32,VLOOKUP(MV$2,职业列表!$B$1:$G$370,6,0))),"★","")</f>
        <v/>
      </c>
      <c r="MW32" s="929" t="str">
        <f>IF(ISNUMBER(SEARCH($A32,VLOOKUP(MW$2,职业列表!$B$1:$G$370,6,0))),"★","")</f>
        <v/>
      </c>
      <c r="MX32" s="929" t="str">
        <f>IF(ISNUMBER(SEARCH($A32,VLOOKUP(MX$2,职业列表!$B$1:$G$370,6,0))),"★","")</f>
        <v/>
      </c>
      <c r="MY32" s="929" t="str">
        <f>IF(ISNUMBER(SEARCH($A32,VLOOKUP(MY$2,职业列表!$B$1:$G$370,6,0))),"★","")</f>
        <v/>
      </c>
      <c r="MZ32" s="929" t="str">
        <f>IF(ISNUMBER(SEARCH($A32,VLOOKUP(MZ$2,职业列表!$B$1:$G$370,6,0))),"★","")</f>
        <v/>
      </c>
      <c r="NA32" s="929" t="str">
        <f>IF(ISNUMBER(SEARCH($A32,VLOOKUP(NA$2,职业列表!$B$1:$G$370,6,0))),"★","")</f>
        <v/>
      </c>
      <c r="NB32" s="929" t="str">
        <f>IF(ISNUMBER(SEARCH($A32,VLOOKUP(NB$2,职业列表!$B$1:$G$370,6,0))),"★","")</f>
        <v/>
      </c>
      <c r="NC32" s="929" t="str">
        <f>IF(ISNUMBER(SEARCH($A32,VLOOKUP(NC$2,职业列表!$B$1:$G$370,6,0))),"★","")</f>
        <v/>
      </c>
      <c r="ND32" s="929" t="str">
        <f>IF(ISNUMBER(SEARCH($A32,VLOOKUP(ND$2,职业列表!$B$1:$G$370,6,0))),"★","")</f>
        <v/>
      </c>
      <c r="NE32" s="929" t="str">
        <f>IF(ISNUMBER(SEARCH($A32,VLOOKUP(NE$2,职业列表!$B$1:$G$370,6,0))),"★","")</f>
        <v/>
      </c>
    </row>
    <row r="33" customFormat="1" spans="1:369">
      <c r="A33" s="951" t="s">
        <v>143</v>
      </c>
      <c r="B33" s="952" t="str">
        <f>IF(OR(A33="说服",A33="话术",A33="取悦",A33="恐吓"),"☯",IF(ISNUMBER(SEARCH(A33,VLOOKUP(IX$2,职业列表!$B$1:$G$370,6,0))),"★",""))</f>
        <v/>
      </c>
      <c r="C33" s="952" t="str">
        <f>IF(ISTEXT(IFERROR(VLOOKUP(A33,职业列表!I3:J10,1,FALSE),0)),"★","")</f>
        <v/>
      </c>
      <c r="D33" s="952"/>
      <c r="E33" s="952"/>
      <c r="F33" s="952"/>
      <c r="G33" s="952"/>
      <c r="H33" s="952"/>
      <c r="I33" s="952"/>
      <c r="J33" s="952"/>
      <c r="K33" s="952"/>
      <c r="L33" s="952"/>
      <c r="M33" s="952"/>
      <c r="N33" s="952"/>
      <c r="O33" s="952"/>
      <c r="P33" s="952" t="s">
        <v>74</v>
      </c>
      <c r="Q33" s="952"/>
      <c r="R33" s="952"/>
      <c r="S33" s="952"/>
      <c r="T33" s="952"/>
      <c r="U33" s="952"/>
      <c r="V33" s="952"/>
      <c r="W33" s="952"/>
      <c r="X33" s="952" t="s">
        <v>74</v>
      </c>
      <c r="Y33" s="952"/>
      <c r="Z33" s="952"/>
      <c r="AA33" s="952"/>
      <c r="AB33" s="952" t="s">
        <v>2716</v>
      </c>
      <c r="AC33" s="952"/>
      <c r="AD33" s="952"/>
      <c r="AE33" s="952"/>
      <c r="AF33" s="952"/>
      <c r="AG33" s="952"/>
      <c r="AH33" s="952"/>
      <c r="AI33" s="952"/>
      <c r="AJ33" s="952"/>
      <c r="AK33" s="952"/>
      <c r="AL33" s="952"/>
      <c r="AM33" s="952"/>
      <c r="AN33" s="952"/>
      <c r="AO33" s="952"/>
      <c r="AP33" s="952"/>
      <c r="AQ33" s="952"/>
      <c r="AR33" s="952"/>
      <c r="AS33" s="952" t="s">
        <v>74</v>
      </c>
      <c r="AT33" s="952" t="s">
        <v>74</v>
      </c>
      <c r="AU33" s="952"/>
      <c r="AV33" s="952"/>
      <c r="AW33" s="952"/>
      <c r="AX33" s="952"/>
      <c r="AY33" s="952"/>
      <c r="AZ33" s="952"/>
      <c r="BA33" s="952"/>
      <c r="BB33" s="952"/>
      <c r="BC33" s="952"/>
      <c r="BD33" s="952"/>
      <c r="BE33" s="952"/>
      <c r="BF33" s="952" t="s">
        <v>74</v>
      </c>
      <c r="BG33" s="952"/>
      <c r="BH33" s="952"/>
      <c r="BI33" s="952"/>
      <c r="BJ33" s="952"/>
      <c r="BK33" s="952"/>
      <c r="BL33" s="952"/>
      <c r="BM33" s="952"/>
      <c r="BN33" s="952" t="s">
        <v>74</v>
      </c>
      <c r="BO33" s="952"/>
      <c r="BP33" s="952"/>
      <c r="BQ33" s="952"/>
      <c r="BR33" s="952"/>
      <c r="BS33" s="952" t="s">
        <v>74</v>
      </c>
      <c r="BT33" s="952" t="s">
        <v>74</v>
      </c>
      <c r="BU33" s="952"/>
      <c r="BV33" s="952"/>
      <c r="BW33" s="952"/>
      <c r="BX33" s="952"/>
      <c r="BY33" s="952" t="s">
        <v>74</v>
      </c>
      <c r="BZ33" s="952" t="s">
        <v>74</v>
      </c>
      <c r="CA33" s="952" t="s">
        <v>74</v>
      </c>
      <c r="CB33" s="952"/>
      <c r="CC33" s="952"/>
      <c r="CD33" s="952" t="s">
        <v>74</v>
      </c>
      <c r="CE33" s="952"/>
      <c r="CF33" s="952" t="s">
        <v>74</v>
      </c>
      <c r="CG33" s="952"/>
      <c r="CH33" s="952" t="s">
        <v>74</v>
      </c>
      <c r="CI33" s="952"/>
      <c r="CJ33" s="952"/>
      <c r="CK33" s="952"/>
      <c r="CL33" s="952"/>
      <c r="CM33" s="952"/>
      <c r="CN33" s="952" t="s">
        <v>74</v>
      </c>
      <c r="CO33" s="952"/>
      <c r="CP33" s="952"/>
      <c r="CQ33" s="952" t="s">
        <v>74</v>
      </c>
      <c r="CR33" s="952"/>
      <c r="CS33" s="952"/>
      <c r="CT33" s="952"/>
      <c r="CU33" s="952"/>
      <c r="CV33" s="952" t="s">
        <v>74</v>
      </c>
      <c r="CW33" s="952" t="s">
        <v>74</v>
      </c>
      <c r="CX33" s="952"/>
      <c r="CY33" s="952"/>
      <c r="CZ33" s="952"/>
      <c r="DA33" s="952"/>
      <c r="DB33" s="974" t="s">
        <v>2719</v>
      </c>
      <c r="DC33" s="952"/>
      <c r="DD33" s="952"/>
      <c r="DE33" s="952" t="s">
        <v>74</v>
      </c>
      <c r="DF33" s="952"/>
      <c r="DG33" s="952"/>
      <c r="DH33" s="952"/>
      <c r="DI33" s="952"/>
      <c r="DJ33" s="952"/>
      <c r="DK33" s="952"/>
      <c r="DL33" s="952"/>
      <c r="DM33" s="952" t="s">
        <v>74</v>
      </c>
      <c r="DN33" s="952"/>
      <c r="DO33" s="952"/>
      <c r="DP33" s="952"/>
      <c r="DQ33" s="952"/>
      <c r="DR33" s="952"/>
      <c r="DS33" s="952"/>
      <c r="DT33" s="952"/>
      <c r="DU33" s="952"/>
      <c r="DV33" s="952"/>
      <c r="DW33" s="952"/>
      <c r="DX33" s="952"/>
      <c r="DY33" s="952"/>
      <c r="DZ33" s="952"/>
      <c r="EA33" s="952"/>
      <c r="EB33" s="952"/>
      <c r="EC33" s="952"/>
      <c r="ED33" s="952"/>
      <c r="EE33" s="952"/>
      <c r="EF33" s="952" t="s">
        <v>74</v>
      </c>
      <c r="EG33" s="952" t="s">
        <v>74</v>
      </c>
      <c r="EH33" s="952" t="s">
        <v>74</v>
      </c>
      <c r="EI33" s="952"/>
      <c r="EJ33" s="952" t="s">
        <v>74</v>
      </c>
      <c r="EK33" s="952"/>
      <c r="EL33" s="952"/>
      <c r="EM33" s="952" t="s">
        <v>74</v>
      </c>
      <c r="EN33" s="952"/>
      <c r="EO33" s="952"/>
      <c r="EP33" s="952"/>
      <c r="EQ33" s="952"/>
      <c r="ER33" s="952"/>
      <c r="ES33" s="952"/>
      <c r="ET33" s="952"/>
      <c r="EU33" s="952"/>
      <c r="EV33" s="952"/>
      <c r="EW33" s="952"/>
      <c r="EX33" s="952"/>
      <c r="EY33" s="952"/>
      <c r="EZ33" s="952"/>
      <c r="FA33" s="952" t="s">
        <v>74</v>
      </c>
      <c r="FB33" s="952"/>
      <c r="FC33" s="952"/>
      <c r="FD33" s="952"/>
      <c r="FE33" s="952"/>
      <c r="FF33" s="952"/>
      <c r="FG33" s="952"/>
      <c r="FH33" s="952"/>
      <c r="FI33" s="952"/>
      <c r="FJ33" s="952"/>
      <c r="FK33" s="952"/>
      <c r="FL33" s="952" t="s">
        <v>2716</v>
      </c>
      <c r="FM33" s="952"/>
      <c r="FN33" s="952"/>
      <c r="FO33" s="952"/>
      <c r="FP33" s="952"/>
      <c r="FQ33" s="952"/>
      <c r="FR33" s="952" t="s">
        <v>74</v>
      </c>
      <c r="FS33" s="952" t="s">
        <v>74</v>
      </c>
      <c r="FT33" s="952"/>
      <c r="FU33" s="952" t="s">
        <v>74</v>
      </c>
      <c r="FV33" s="952" t="s">
        <v>74</v>
      </c>
      <c r="FW33" s="952"/>
      <c r="FX33" s="952" t="s">
        <v>74</v>
      </c>
      <c r="FY33" s="952"/>
      <c r="FZ33" s="952"/>
      <c r="GA33" s="952" t="s">
        <v>74</v>
      </c>
      <c r="GB33" s="952" t="s">
        <v>74</v>
      </c>
      <c r="GC33" s="952" t="s">
        <v>2719</v>
      </c>
      <c r="GD33" s="952" t="s">
        <v>2719</v>
      </c>
      <c r="GE33" s="952"/>
      <c r="GF33" s="952"/>
      <c r="GG33" s="952"/>
      <c r="GH33" s="952"/>
      <c r="GI33" s="952"/>
      <c r="GJ33" s="952"/>
      <c r="GK33" s="952"/>
      <c r="GL33" s="952"/>
      <c r="GM33" s="952"/>
      <c r="GN33" s="952"/>
      <c r="GO33" s="952"/>
      <c r="GP33" s="952"/>
      <c r="GQ33" s="952"/>
      <c r="GR33" s="952"/>
      <c r="GS33" s="952"/>
      <c r="GT33" s="952"/>
      <c r="GU33" s="952" t="s">
        <v>2719</v>
      </c>
      <c r="GV33" s="952"/>
      <c r="GW33" s="952" t="s">
        <v>74</v>
      </c>
      <c r="GX33" s="952"/>
      <c r="GY33" s="952" t="s">
        <v>74</v>
      </c>
      <c r="GZ33" s="952"/>
      <c r="HA33" s="952"/>
      <c r="HB33" s="952"/>
      <c r="HC33" s="952"/>
      <c r="HD33" s="952"/>
      <c r="HE33" s="952"/>
      <c r="HF33" s="952" t="s">
        <v>74</v>
      </c>
      <c r="HG33" s="952"/>
      <c r="HH33" s="952"/>
      <c r="HI33" s="952"/>
      <c r="HJ33" s="952"/>
      <c r="HK33" s="974" t="s">
        <v>74</v>
      </c>
      <c r="HL33" s="952" t="s">
        <v>74</v>
      </c>
      <c r="HM33" s="952"/>
      <c r="HN33" s="952"/>
      <c r="HO33" s="974" t="s">
        <v>74</v>
      </c>
      <c r="HP33" s="952"/>
      <c r="HQ33" s="974" t="s">
        <v>74</v>
      </c>
      <c r="HR33" s="952" t="s">
        <v>74</v>
      </c>
      <c r="HS33" s="952"/>
      <c r="HT33" s="952"/>
      <c r="HU33" s="952" t="s">
        <v>2719</v>
      </c>
      <c r="HV33" s="952"/>
      <c r="HW33" s="952" t="s">
        <v>74</v>
      </c>
      <c r="HX33" s="997"/>
      <c r="HY33" s="1023"/>
      <c r="HZ33" s="952" t="s">
        <v>74</v>
      </c>
      <c r="IA33" s="1023"/>
      <c r="IB33" s="1023"/>
      <c r="IC33" s="1024"/>
      <c r="ID33" s="990" t="s">
        <v>74</v>
      </c>
      <c r="IE33" s="939" t="s">
        <v>74</v>
      </c>
      <c r="IF33" s="939" t="s">
        <v>74</v>
      </c>
      <c r="IG33" s="1023"/>
      <c r="IH33" s="1023"/>
      <c r="II33" s="939" t="s">
        <v>74</v>
      </c>
      <c r="IJ33" s="1023"/>
      <c r="IK33" s="1023"/>
      <c r="IL33" s="1023"/>
      <c r="IM33" s="1023"/>
      <c r="IN33" s="939" t="s">
        <v>74</v>
      </c>
      <c r="IO33" s="1023"/>
      <c r="IP33" s="1024"/>
      <c r="IQ33" s="1024"/>
      <c r="IR33" s="1023"/>
      <c r="IS33" s="1023"/>
      <c r="IT33" s="1023"/>
      <c r="IU33" s="1023"/>
      <c r="IV33" s="972" t="s">
        <v>74</v>
      </c>
      <c r="IW33" s="972" t="s">
        <v>74</v>
      </c>
      <c r="IX33" s="929" t="str">
        <f>IF(ISNUMBER(SEARCH($A33,VLOOKUP(IX$2,职业列表!$B$1:$G$370,6,0))),"★","")</f>
        <v/>
      </c>
      <c r="IY33" s="929" t="str">
        <f>IF(ISNUMBER(SEARCH($A33,VLOOKUP(IY$2,职业列表!$B$1:$G$370,6,0))),"★","")</f>
        <v/>
      </c>
      <c r="IZ33" s="929" t="str">
        <f>IF(ISNUMBER(SEARCH($A33,VLOOKUP(IZ$2,职业列表!$B$1:$G$370,6,0))),"★","")</f>
        <v>★</v>
      </c>
      <c r="JA33" s="929" t="str">
        <f>IF(ISNUMBER(SEARCH($A33,VLOOKUP(JA$2,职业列表!$B$1:$G$370,6,0))),"★","")</f>
        <v/>
      </c>
      <c r="JB33" s="929" t="str">
        <f>IF(ISNUMBER(SEARCH($A33,VLOOKUP(JB$2,职业列表!$B$1:$G$370,6,0))),"★","")</f>
        <v/>
      </c>
      <c r="JC33" s="929" t="str">
        <f>IF(ISNUMBER(SEARCH($A33,VLOOKUP(JC$2,职业列表!$B$1:$G$370,6,0))),"★","")</f>
        <v/>
      </c>
      <c r="JD33" s="929" t="str">
        <f>IF(ISNUMBER(SEARCH($A33,VLOOKUP(JD$2,职业列表!$B$1:$G$370,6,0))),"★","")</f>
        <v/>
      </c>
      <c r="JE33" s="929" t="str">
        <f>IF(ISNUMBER(SEARCH($A33,VLOOKUP(JE$2,职业列表!$B$1:$G$370,6,0))),"★","")</f>
        <v/>
      </c>
      <c r="JF33" s="929" t="str">
        <f>IF(ISNUMBER(SEARCH($A33,VLOOKUP(JF$2,职业列表!$B$1:$G$370,6,0))),"★","")</f>
        <v/>
      </c>
      <c r="JG33" s="929" t="str">
        <f>IF(ISNUMBER(SEARCH($A33,VLOOKUP(JG$2,职业列表!$B$1:$G$370,6,0))),"★","")</f>
        <v>★</v>
      </c>
      <c r="JH33" s="929" t="str">
        <f>IF(ISNUMBER(SEARCH($A33,VLOOKUP(JH$2,职业列表!$B$1:$G$370,6,0))),"★","")</f>
        <v/>
      </c>
      <c r="JI33" s="929" t="str">
        <f>IF(ISNUMBER(SEARCH($A33,VLOOKUP(JI$2,职业列表!$B$1:$G$370,6,0))),"★","")</f>
        <v>★</v>
      </c>
      <c r="JJ33" s="929" t="str">
        <f>IF(ISNUMBER(SEARCH($A33,VLOOKUP(JJ$2,职业列表!$B$1:$G$370,6,0))),"★","")</f>
        <v>★</v>
      </c>
      <c r="JK33" s="929" t="str">
        <f>IF(ISNUMBER(SEARCH($A33,VLOOKUP(JK$2,职业列表!$B$1:$G$370,6,0))),"★","")</f>
        <v/>
      </c>
      <c r="JL33" s="929" t="str">
        <f>IF(ISNUMBER(SEARCH($A33,VLOOKUP(JL$2,职业列表!$B$1:$G$370,6,0))),"★","")</f>
        <v/>
      </c>
      <c r="JM33" s="929" t="str">
        <f>IF(ISNUMBER(SEARCH($A33,VLOOKUP(JM$2,职业列表!$B$1:$G$370,6,0))),"★","")</f>
        <v>★</v>
      </c>
      <c r="JN33" s="929" t="str">
        <f>IF(ISNUMBER(SEARCH($A33,VLOOKUP(JN$2,职业列表!$B$1:$G$370,6,0))),"★","")</f>
        <v>★</v>
      </c>
      <c r="JO33" s="929" t="str">
        <f>IF(ISNUMBER(SEARCH($A33,VLOOKUP(JO$2,职业列表!$B$1:$G$370,6,0))),"★","")</f>
        <v>★</v>
      </c>
      <c r="JP33" s="929" t="str">
        <f>IF(ISNUMBER(SEARCH($A33,VLOOKUP(JP$2,职业列表!$B$1:$G$370,6,0))),"★","")</f>
        <v/>
      </c>
      <c r="JQ33" s="929" t="str">
        <f>IF(ISNUMBER(SEARCH($A33,VLOOKUP(JQ$2,职业列表!$B$1:$G$370,6,0))),"★","")</f>
        <v/>
      </c>
      <c r="JR33" s="929" t="str">
        <f>IF(ISNUMBER(SEARCH($A33,VLOOKUP(JR$2,职业列表!$B$1:$G$370,6,0))),"★","")</f>
        <v/>
      </c>
      <c r="JS33" s="929" t="str">
        <f>IF(ISNUMBER(SEARCH($A33,VLOOKUP(JS$2,职业列表!$B$1:$G$370,6,0))),"★","")</f>
        <v>★</v>
      </c>
      <c r="JT33" s="929" t="str">
        <f>IF(ISNUMBER(SEARCH($A33,VLOOKUP(JT$2,职业列表!$B$1:$G$370,6,0))),"★","")</f>
        <v>★</v>
      </c>
      <c r="JU33" s="929" t="str">
        <f>IF(ISNUMBER(SEARCH($A33,VLOOKUP(JU$2,职业列表!$B$1:$G$370,6,0))),"★","")</f>
        <v/>
      </c>
      <c r="JV33" s="929" t="str">
        <f>IF(ISNUMBER(SEARCH($A33,VLOOKUP(JV$2,职业列表!$B$1:$G$370,6,0))),"★","")</f>
        <v>★</v>
      </c>
      <c r="JW33" s="929" t="str">
        <f>IF(ISNUMBER(SEARCH($A33,VLOOKUP(JW$2,职业列表!$B$1:$G$370,6,0))),"★","")</f>
        <v/>
      </c>
      <c r="JX33" s="929" t="str">
        <f>IF(ISNUMBER(SEARCH($A33,VLOOKUP(JX$2,职业列表!$B$1:$G$370,6,0))),"★","")</f>
        <v/>
      </c>
      <c r="JY33" s="929" t="str">
        <f>IF(ISNUMBER(SEARCH($A33,VLOOKUP(JY$2,职业列表!$B$1:$G$370,6,0))),"★","")</f>
        <v>★</v>
      </c>
      <c r="JZ33" s="929" t="str">
        <f>IF(ISNUMBER(SEARCH($A33,VLOOKUP(JZ$2,职业列表!$B$1:$G$370,6,0))),"★","")</f>
        <v>★</v>
      </c>
      <c r="KA33" s="929" t="str">
        <f>IF(ISNUMBER(SEARCH($A33,VLOOKUP(KA$2,职业列表!$B$1:$G$370,6,0))),"★","")</f>
        <v/>
      </c>
      <c r="KB33" s="929" t="str">
        <f>IF(ISNUMBER(SEARCH($A33,VLOOKUP(KB$2,职业列表!$B$1:$G$370,6,0))),"★","")</f>
        <v>★</v>
      </c>
      <c r="KC33" s="929" t="str">
        <f>IF(ISNUMBER(SEARCH($A33,VLOOKUP(KC$2,职业列表!$B$1:$G$370,6,0))),"★","")</f>
        <v/>
      </c>
      <c r="KD33" s="929" t="str">
        <f>IF(ISNUMBER(SEARCH($A33,VLOOKUP(KD$2,职业列表!$B$1:$G$370,6,0))),"★","")</f>
        <v>★</v>
      </c>
      <c r="KE33" s="929" t="str">
        <f>IF(ISNUMBER(SEARCH($A33,VLOOKUP(KE$2,职业列表!$B$1:$G$370,6,0))),"★","")</f>
        <v/>
      </c>
      <c r="KF33" s="929" t="str">
        <f>IF(ISNUMBER(SEARCH($A33,VLOOKUP(KF$2,职业列表!$B$1:$G$370,6,0))),"★","")</f>
        <v/>
      </c>
      <c r="KG33" s="929" t="str">
        <f>IF(ISNUMBER(SEARCH($A33,VLOOKUP(KG$2,职业列表!$B$1:$G$370,6,0))),"★","")</f>
        <v/>
      </c>
      <c r="KH33" s="929" t="str">
        <f>IF(ISNUMBER(SEARCH($A33,VLOOKUP(KH$2,职业列表!$B$1:$G$370,6,0))),"★","")</f>
        <v/>
      </c>
      <c r="KI33" s="929" t="str">
        <f>IF(ISNUMBER(SEARCH($A33,VLOOKUP(KI$2,职业列表!$B$1:$G$370,6,0))),"★","")</f>
        <v>★</v>
      </c>
      <c r="KJ33" s="929" t="str">
        <f>IF(ISNUMBER(SEARCH($A33,VLOOKUP(KJ$2,职业列表!$B$1:$G$370,6,0))),"★","")</f>
        <v/>
      </c>
      <c r="KK33" s="929" t="str">
        <f>IF(ISNUMBER(SEARCH($A33,VLOOKUP(KK$2,职业列表!$B$1:$G$370,6,0))),"★","")</f>
        <v/>
      </c>
      <c r="KL33" s="929" t="str">
        <f>IF(ISNUMBER(SEARCH($A33,VLOOKUP(KL$2,职业列表!$B$1:$G$370,6,0))),"★","")</f>
        <v/>
      </c>
      <c r="KM33" s="929" t="str">
        <f>IF(ISNUMBER(SEARCH($A33,VLOOKUP(KM$2,职业列表!$B$1:$G$370,6,0))),"★","")</f>
        <v>★</v>
      </c>
      <c r="KN33" s="929" t="str">
        <f>IF(ISNUMBER(SEARCH($A33,VLOOKUP(KN$2,职业列表!$B$1:$G$370,6,0))),"★","")</f>
        <v/>
      </c>
      <c r="KO33" s="929" t="str">
        <f>IF(ISNUMBER(SEARCH($A33,VLOOKUP(KO$2,职业列表!$B$1:$G$370,6,0))),"★","")</f>
        <v/>
      </c>
      <c r="KP33" s="929" t="str">
        <f>IF(ISNUMBER(SEARCH($A33,VLOOKUP(KP$2,职业列表!$B$1:$G$370,6,0))),"★","")</f>
        <v/>
      </c>
      <c r="KQ33" s="929" t="str">
        <f>IF(ISNUMBER(SEARCH($A33,VLOOKUP(KQ$2,职业列表!$B$1:$G$370,6,0))),"★","")</f>
        <v>★</v>
      </c>
      <c r="KR33" s="929" t="str">
        <f>IF(ISNUMBER(SEARCH($A33,VLOOKUP(KR$2,职业列表!$B$1:$G$370,6,0))),"★","")</f>
        <v/>
      </c>
      <c r="KS33" s="929" t="str">
        <f>IF(ISNUMBER(SEARCH($A33,VLOOKUP(KS$2,职业列表!$B$1:$G$370,6,0))),"★","")</f>
        <v/>
      </c>
      <c r="KT33" s="929" t="str">
        <f>IF(ISNUMBER(SEARCH($A33,VLOOKUP(KT$2,职业列表!$B$1:$G$370,6,0))),"★","")</f>
        <v/>
      </c>
      <c r="KU33" s="929" t="str">
        <f>IF(ISNUMBER(SEARCH($A33,VLOOKUP(KU$2,职业列表!$B$1:$G$370,6,0))),"★","")</f>
        <v>★</v>
      </c>
      <c r="KV33" s="929" t="str">
        <f>IF(ISNUMBER(SEARCH($A33,VLOOKUP(KV$2,职业列表!$B$1:$G$370,6,0))),"★","")</f>
        <v>★</v>
      </c>
      <c r="KW33" s="929" t="str">
        <f>IF(ISNUMBER(SEARCH($A33,VLOOKUP(KW$2,职业列表!$B$1:$G$370,6,0))),"★","")</f>
        <v/>
      </c>
      <c r="KX33" s="929" t="str">
        <f>IF(ISNUMBER(SEARCH($A33,VLOOKUP(KX$2,职业列表!$B$1:$G$370,6,0))),"★","")</f>
        <v>★</v>
      </c>
      <c r="KY33" s="929" t="str">
        <f>IF(ISNUMBER(SEARCH($A33,VLOOKUP(KY$2,职业列表!$B$1:$G$370,6,0))),"★","")</f>
        <v/>
      </c>
      <c r="KZ33" s="929" t="str">
        <f>IF(ISNUMBER(SEARCH($A33,VLOOKUP(KZ$2,职业列表!$B$1:$G$370,6,0))),"★","")</f>
        <v>★</v>
      </c>
      <c r="LA33" s="929" t="str">
        <f>IF(ISNUMBER(SEARCH($A33,VLOOKUP(LA$2,职业列表!$B$1:$G$370,6,0))),"★","")</f>
        <v/>
      </c>
      <c r="LB33" s="929" t="str">
        <f>IF(ISNUMBER(SEARCH($A33,VLOOKUP(LB$2,职业列表!$B$1:$G$370,6,0))),"★","")</f>
        <v/>
      </c>
      <c r="LC33" s="929" t="str">
        <f>IF(ISNUMBER(SEARCH($A33,VLOOKUP(LC$2,职业列表!$B$1:$G$370,6,0))),"★","")</f>
        <v/>
      </c>
      <c r="LD33" s="929" t="str">
        <f>IF(ISNUMBER(SEARCH($A33,VLOOKUP(LD$2,职业列表!$B$1:$G$370,6,0))),"★","")</f>
        <v/>
      </c>
      <c r="LE33" s="929" t="str">
        <f>IF(ISNUMBER(SEARCH($A33,VLOOKUP(LE$2,职业列表!$B$1:$G$370,6,0))),"★","")</f>
        <v/>
      </c>
      <c r="LF33" s="929" t="str">
        <f>IF(ISNUMBER(SEARCH($A33,VLOOKUP(LF$2,职业列表!$B$1:$G$370,6,0))),"★","")</f>
        <v/>
      </c>
      <c r="LG33" s="929" t="str">
        <f>IF(ISNUMBER(SEARCH($A33,VLOOKUP(LG$2,职业列表!$B$1:$G$370,6,0))),"★","")</f>
        <v/>
      </c>
      <c r="LH33" s="929" t="str">
        <f>IF(ISNUMBER(SEARCH($A33,VLOOKUP(LH$2,职业列表!$B$1:$G$370,6,0))),"★","")</f>
        <v/>
      </c>
      <c r="LI33" s="929" t="str">
        <f>IF(ISNUMBER(SEARCH($A33,VLOOKUP(LI$2,职业列表!$B$1:$G$370,6,0))),"★","")</f>
        <v/>
      </c>
      <c r="LJ33" s="929" t="str">
        <f>IF(ISNUMBER(SEARCH($A33,VLOOKUP(LJ$2,职业列表!$B$1:$G$370,6,0))),"★","")</f>
        <v/>
      </c>
      <c r="LK33" s="929" t="str">
        <f>IF(ISNUMBER(SEARCH($A33,VLOOKUP(LK$2,职业列表!$B$1:$G$370,6,0))),"★","")</f>
        <v/>
      </c>
      <c r="LL33" s="929" t="str">
        <f>IF(ISNUMBER(SEARCH($A33,VLOOKUP(LL$2,职业列表!$B$1:$G$370,6,0))),"★","")</f>
        <v/>
      </c>
      <c r="LM33" s="929" t="str">
        <f>IF(ISNUMBER(SEARCH($A33,VLOOKUP(LM$2,职业列表!$B$1:$G$370,6,0))),"★","")</f>
        <v>★</v>
      </c>
      <c r="LN33" s="929" t="str">
        <f>IF(ISNUMBER(SEARCH($A33,VLOOKUP(LN$2,职业列表!$B$1:$G$370,6,0))),"★","")</f>
        <v>★</v>
      </c>
      <c r="LO33" s="929" t="str">
        <f>IF(ISNUMBER(SEARCH($A33,VLOOKUP(LO$2,职业列表!$B$1:$G$370,6,0))),"★","")</f>
        <v/>
      </c>
      <c r="LP33" s="929" t="str">
        <f>IF(ISNUMBER(SEARCH($A33,VLOOKUP(LP$2,职业列表!$B$1:$G$370,6,0))),"★","")</f>
        <v>★</v>
      </c>
      <c r="LQ33" s="929" t="str">
        <f>IF(ISNUMBER(SEARCH($A33,VLOOKUP(LQ$2,职业列表!$B$1:$G$370,6,0))),"★","")</f>
        <v>★</v>
      </c>
      <c r="LR33" s="929" t="str">
        <f>IF(ISNUMBER(SEARCH($A33,VLOOKUP(LR$2,职业列表!$B$1:$G$370,6,0))),"★","")</f>
        <v>★</v>
      </c>
      <c r="LS33" s="929" t="str">
        <f>IF(ISNUMBER(SEARCH($A33,VLOOKUP(LS$2,职业列表!$B$1:$G$370,6,0))),"★","")</f>
        <v/>
      </c>
      <c r="LT33" s="929" t="str">
        <f>IF(ISNUMBER(SEARCH($A33,VLOOKUP(LT$2,职业列表!$B$1:$G$370,6,0))),"★","")</f>
        <v/>
      </c>
      <c r="LU33" s="929" t="str">
        <f>IF(ISNUMBER(SEARCH($A33,VLOOKUP(LU$2,职业列表!$B$1:$G$370,6,0))),"★","")</f>
        <v>★</v>
      </c>
      <c r="LV33" s="929" t="str">
        <f>IF(ISNUMBER(SEARCH($A33,VLOOKUP(LV$2,职业列表!$B$1:$G$370,6,0))),"★","")</f>
        <v/>
      </c>
      <c r="LW33" s="929" t="str">
        <f>IF(ISNUMBER(SEARCH($A33,VLOOKUP(LW$2,职业列表!$B$1:$G$370,6,0))),"★","")</f>
        <v/>
      </c>
      <c r="LX33" s="929" t="str">
        <f>IF(ISNUMBER(SEARCH($A33,VLOOKUP(LX$2,职业列表!$B$1:$G$370,6,0))),"★","")</f>
        <v>★</v>
      </c>
      <c r="LY33" s="929" t="str">
        <f>IF(ISNUMBER(SEARCH($A33,VLOOKUP(LY$2,职业列表!$B$1:$G$370,6,0))),"★","")</f>
        <v/>
      </c>
      <c r="LZ33" s="929" t="str">
        <f>IF(ISNUMBER(SEARCH($A33,VLOOKUP(LZ$2,职业列表!$B$1:$G$370,6,0))),"★","")</f>
        <v/>
      </c>
      <c r="MA33" s="929" t="str">
        <f>IF(ISNUMBER(SEARCH($A33,VLOOKUP(MA$2,职业列表!$B$1:$G$370,6,0))),"★","")</f>
        <v/>
      </c>
      <c r="MB33" s="929" t="str">
        <f>IF(ISNUMBER(SEARCH($A33,VLOOKUP(MB$2,职业列表!$B$1:$G$370,6,0))),"★","")</f>
        <v>★</v>
      </c>
      <c r="MC33" s="929" t="str">
        <f>IF(ISNUMBER(SEARCH($A33,VLOOKUP(MC$2,职业列表!$B$1:$G$370,6,0))),"★","")</f>
        <v/>
      </c>
      <c r="MD33" s="929" t="str">
        <f>IF(ISNUMBER(SEARCH($A33,VLOOKUP(MD$2,职业列表!$B$1:$G$370,6,0))),"★","")</f>
        <v/>
      </c>
      <c r="ME33" s="929" t="str">
        <f>IF(ISNUMBER(SEARCH($A33,VLOOKUP(ME$2,职业列表!$B$1:$G$370,6,0))),"★","")</f>
        <v/>
      </c>
      <c r="MF33" s="929" t="str">
        <f>IF(ISNUMBER(SEARCH($A33,VLOOKUP(MF$2,职业列表!$B$1:$G$370,6,0))),"★","")</f>
        <v/>
      </c>
      <c r="MG33" s="929" t="str">
        <f>IF(ISNUMBER(SEARCH($A33,VLOOKUP(MG$2,职业列表!$B$1:$G$370,6,0))),"★","")</f>
        <v/>
      </c>
      <c r="MH33" s="929" t="str">
        <f>IF(ISNUMBER(SEARCH($A33,VLOOKUP(MH$2,职业列表!$B$1:$G$370,6,0))),"★","")</f>
        <v/>
      </c>
      <c r="MI33" s="929" t="str">
        <f>IF(ISNUMBER(SEARCH($A33,VLOOKUP(MI$2,职业列表!$B$1:$G$370,6,0))),"★","")</f>
        <v/>
      </c>
      <c r="MJ33" s="929" t="str">
        <f>IF(ISNUMBER(SEARCH($A33,VLOOKUP(MJ$2,职业列表!$B$1:$G$370,6,0))),"★","")</f>
        <v/>
      </c>
      <c r="MK33" s="929" t="str">
        <f>IF(ISNUMBER(SEARCH($A33,VLOOKUP(MK$2,职业列表!$B$1:$G$370,6,0))),"★","")</f>
        <v/>
      </c>
      <c r="ML33" s="929" t="str">
        <f>IF(ISNUMBER(SEARCH($A33,VLOOKUP(ML$2,职业列表!$B$1:$G$370,6,0))),"★","")</f>
        <v/>
      </c>
      <c r="MM33" s="929" t="str">
        <f>IF(ISNUMBER(SEARCH($A33,VLOOKUP(MM$2,职业列表!$B$1:$G$370,6,0))),"★","")</f>
        <v/>
      </c>
      <c r="MN33" s="929" t="str">
        <f>IF(ISNUMBER(SEARCH($A33,VLOOKUP(MN$2,职业列表!$B$1:$G$370,6,0))),"★","")</f>
        <v/>
      </c>
      <c r="MO33" s="929" t="str">
        <f>IF(ISNUMBER(SEARCH($A33,VLOOKUP(MO$2,职业列表!$B$1:$G$370,6,0))),"★","")</f>
        <v>★</v>
      </c>
      <c r="MP33" s="929" t="str">
        <f>IF(ISNUMBER(SEARCH($A33,VLOOKUP(MP$2,职业列表!$B$1:$G$370,6,0))),"★","")</f>
        <v/>
      </c>
      <c r="MQ33" s="929" t="str">
        <f>IF(ISNUMBER(SEARCH($A33,VLOOKUP(MQ$2,职业列表!$B$1:$G$370,6,0))),"★","")</f>
        <v/>
      </c>
      <c r="MR33" s="929" t="str">
        <f>IF(ISNUMBER(SEARCH($A33,VLOOKUP(MR$2,职业列表!$B$1:$G$370,6,0))),"★","")</f>
        <v/>
      </c>
      <c r="MS33" s="929" t="str">
        <f>IF(ISNUMBER(SEARCH($A33,VLOOKUP(MS$2,职业列表!$B$1:$G$370,6,0))),"★","")</f>
        <v/>
      </c>
      <c r="MT33" s="929" t="str">
        <f>IF(ISNUMBER(SEARCH($A33,VLOOKUP(MT$2,职业列表!$B$1:$G$370,6,0))),"★","")</f>
        <v/>
      </c>
      <c r="MU33" s="929" t="str">
        <f>IF(ISNUMBER(SEARCH($A33,VLOOKUP(MU$2,职业列表!$B$1:$G$370,6,0))),"★","")</f>
        <v>★</v>
      </c>
      <c r="MV33" s="929" t="str">
        <f>IF(ISNUMBER(SEARCH($A33,VLOOKUP(MV$2,职业列表!$B$1:$G$370,6,0))),"★","")</f>
        <v/>
      </c>
      <c r="MW33" s="929" t="str">
        <f>IF(ISNUMBER(SEARCH($A33,VLOOKUP(MW$2,职业列表!$B$1:$G$370,6,0))),"★","")</f>
        <v/>
      </c>
      <c r="MX33" s="929" t="str">
        <f>IF(ISNUMBER(SEARCH($A33,VLOOKUP(MX$2,职业列表!$B$1:$G$370,6,0))),"★","")</f>
        <v>★</v>
      </c>
      <c r="MY33" s="929" t="str">
        <f>IF(ISNUMBER(SEARCH($A33,VLOOKUP(MY$2,职业列表!$B$1:$G$370,6,0))),"★","")</f>
        <v/>
      </c>
      <c r="MZ33" s="929" t="str">
        <f>IF(ISNUMBER(SEARCH($A33,VLOOKUP(MZ$2,职业列表!$B$1:$G$370,6,0))),"★","")</f>
        <v/>
      </c>
      <c r="NA33" s="929" t="str">
        <f>IF(ISNUMBER(SEARCH($A33,VLOOKUP(NA$2,职业列表!$B$1:$G$370,6,0))),"★","")</f>
        <v/>
      </c>
      <c r="NB33" s="929" t="str">
        <f>IF(ISNUMBER(SEARCH($A33,VLOOKUP(NB$2,职业列表!$B$1:$G$370,6,0))),"★","")</f>
        <v/>
      </c>
      <c r="NC33" s="929" t="str">
        <f>IF(ISNUMBER(SEARCH($A33,VLOOKUP(NC$2,职业列表!$B$1:$G$370,6,0))),"★","")</f>
        <v/>
      </c>
      <c r="ND33" s="929" t="str">
        <f>IF(ISNUMBER(SEARCH($A33,VLOOKUP(ND$2,职业列表!$B$1:$G$370,6,0))),"★","")</f>
        <v/>
      </c>
      <c r="NE33" s="929" t="str">
        <f>IF(ISNUMBER(SEARCH($A33,VLOOKUP(NE$2,职业列表!$B$1:$G$370,6,0))),"★","")</f>
        <v>★</v>
      </c>
    </row>
    <row r="34" customFormat="1" spans="1:369">
      <c r="A34" s="932" t="s">
        <v>145</v>
      </c>
      <c r="B34" s="939" t="str">
        <f>IF(OR(A34="说服",A34="话术",A34="取悦",A34="恐吓"),"☯",IF(ISNUMBER(SEARCH(A34,VLOOKUP(IX$2,职业列表!$B$1:$G$370,6,0))),"★",""))</f>
        <v/>
      </c>
      <c r="C34" s="940" t="str">
        <f>IF(ISTEXT(IFERROR(VLOOKUP(A34,职业列表!I3:J10,1,FALSE),0)),"★","")</f>
        <v/>
      </c>
      <c r="D34" s="939"/>
      <c r="E34" s="939"/>
      <c r="F34" s="939" t="s">
        <v>74</v>
      </c>
      <c r="G34" s="939"/>
      <c r="H34" s="939"/>
      <c r="I34" s="939"/>
      <c r="J34" s="939"/>
      <c r="K34" s="939" t="s">
        <v>74</v>
      </c>
      <c r="L34" s="939" t="s">
        <v>74</v>
      </c>
      <c r="M34" s="939" t="s">
        <v>74</v>
      </c>
      <c r="N34" s="939"/>
      <c r="O34" s="939" t="s">
        <v>2716</v>
      </c>
      <c r="P34" s="939"/>
      <c r="Q34" s="939"/>
      <c r="R34" s="939" t="s">
        <v>74</v>
      </c>
      <c r="S34" s="939"/>
      <c r="T34" s="939"/>
      <c r="U34" s="939" t="s">
        <v>74</v>
      </c>
      <c r="V34" s="939"/>
      <c r="W34" s="939"/>
      <c r="X34" s="939"/>
      <c r="Y34" s="939" t="s">
        <v>74</v>
      </c>
      <c r="Z34" s="939"/>
      <c r="AA34" s="939"/>
      <c r="AB34" s="939"/>
      <c r="AC34" s="939"/>
      <c r="AD34" s="939"/>
      <c r="AE34" s="939"/>
      <c r="AF34" s="939"/>
      <c r="AG34" s="939"/>
      <c r="AH34" s="939"/>
      <c r="AI34" s="939"/>
      <c r="AJ34" s="939"/>
      <c r="AK34" s="939" t="s">
        <v>74</v>
      </c>
      <c r="AL34" s="939" t="s">
        <v>74</v>
      </c>
      <c r="AM34" s="939"/>
      <c r="AN34" s="939"/>
      <c r="AO34" s="939"/>
      <c r="AP34" s="939" t="s">
        <v>74</v>
      </c>
      <c r="AQ34" s="939"/>
      <c r="AR34" s="939"/>
      <c r="AS34" s="939"/>
      <c r="AT34" s="939"/>
      <c r="AU34" s="939"/>
      <c r="AV34" s="939"/>
      <c r="AW34" s="939"/>
      <c r="AX34" s="939"/>
      <c r="AY34" s="939" t="s">
        <v>74</v>
      </c>
      <c r="AZ34" s="939" t="s">
        <v>74</v>
      </c>
      <c r="BA34" s="939"/>
      <c r="BB34" s="939"/>
      <c r="BC34" s="939" t="s">
        <v>74</v>
      </c>
      <c r="BD34" s="939"/>
      <c r="BE34" s="939"/>
      <c r="BF34" s="939"/>
      <c r="BG34" s="939" t="s">
        <v>74</v>
      </c>
      <c r="BH34" s="939"/>
      <c r="BI34" s="939"/>
      <c r="BJ34" s="939"/>
      <c r="BK34" s="939"/>
      <c r="BL34" s="939" t="s">
        <v>74</v>
      </c>
      <c r="BM34" s="939"/>
      <c r="BN34" s="939"/>
      <c r="BO34" s="939" t="s">
        <v>74</v>
      </c>
      <c r="BP34" s="939" t="s">
        <v>74</v>
      </c>
      <c r="BQ34" s="939" t="s">
        <v>74</v>
      </c>
      <c r="BR34" s="939"/>
      <c r="BS34" s="939"/>
      <c r="BT34" s="939"/>
      <c r="BU34" s="939"/>
      <c r="BV34" s="939"/>
      <c r="BW34" s="939"/>
      <c r="BX34" s="939"/>
      <c r="BY34" s="939"/>
      <c r="BZ34" s="939"/>
      <c r="CA34" s="939"/>
      <c r="CB34" s="939" t="s">
        <v>74</v>
      </c>
      <c r="CC34" s="939"/>
      <c r="CD34" s="939"/>
      <c r="CE34" s="939" t="s">
        <v>74</v>
      </c>
      <c r="CF34" s="939"/>
      <c r="CG34" s="939" t="s">
        <v>74</v>
      </c>
      <c r="CH34" s="939"/>
      <c r="CI34" s="939"/>
      <c r="CJ34" s="939"/>
      <c r="CK34" s="939"/>
      <c r="CL34" s="939"/>
      <c r="CM34" s="939"/>
      <c r="CN34" s="939"/>
      <c r="CO34" s="939"/>
      <c r="CP34" s="939"/>
      <c r="CQ34" s="939" t="s">
        <v>74</v>
      </c>
      <c r="CR34" s="939"/>
      <c r="CS34" s="939"/>
      <c r="CT34" s="939"/>
      <c r="CU34" s="939" t="s">
        <v>74</v>
      </c>
      <c r="CV34" s="939"/>
      <c r="CW34" s="939"/>
      <c r="CX34" s="939"/>
      <c r="CY34" s="939"/>
      <c r="CZ34" s="939"/>
      <c r="DA34" s="939"/>
      <c r="DB34" s="939"/>
      <c r="DC34" s="939"/>
      <c r="DD34" s="939"/>
      <c r="DE34" s="939"/>
      <c r="DF34" s="939"/>
      <c r="DG34" s="939" t="s">
        <v>74</v>
      </c>
      <c r="DH34" s="939"/>
      <c r="DI34" s="939"/>
      <c r="DJ34" s="939"/>
      <c r="DK34" s="939"/>
      <c r="DL34" s="939" t="s">
        <v>74</v>
      </c>
      <c r="DM34" s="939"/>
      <c r="DN34" s="939" t="s">
        <v>74</v>
      </c>
      <c r="DO34" s="939"/>
      <c r="DP34" s="939"/>
      <c r="DQ34" s="939"/>
      <c r="DR34" s="939"/>
      <c r="DS34" s="939"/>
      <c r="DT34" s="939"/>
      <c r="DU34" s="939"/>
      <c r="DV34" s="939" t="s">
        <v>74</v>
      </c>
      <c r="DW34" s="939" t="s">
        <v>74</v>
      </c>
      <c r="DX34" s="939" t="s">
        <v>74</v>
      </c>
      <c r="DY34" s="939"/>
      <c r="DZ34" s="939" t="s">
        <v>74</v>
      </c>
      <c r="EA34" s="939"/>
      <c r="EB34" s="939"/>
      <c r="EC34" s="939"/>
      <c r="ED34" s="939"/>
      <c r="EE34" s="939"/>
      <c r="EF34" s="939"/>
      <c r="EG34" s="939"/>
      <c r="EH34" s="939"/>
      <c r="EI34" s="939"/>
      <c r="EJ34" s="939"/>
      <c r="EK34" s="939"/>
      <c r="EL34" s="939"/>
      <c r="EM34" s="939"/>
      <c r="EN34" s="939"/>
      <c r="EO34" s="939"/>
      <c r="EP34" s="939"/>
      <c r="EQ34" s="939"/>
      <c r="ER34" s="939"/>
      <c r="ES34" s="939"/>
      <c r="ET34" s="939"/>
      <c r="EU34" s="939"/>
      <c r="EV34" s="939"/>
      <c r="EW34" s="939"/>
      <c r="EX34" s="939"/>
      <c r="EY34" s="939"/>
      <c r="EZ34" s="939"/>
      <c r="FA34" s="939"/>
      <c r="FB34" s="939" t="s">
        <v>74</v>
      </c>
      <c r="FC34" s="939"/>
      <c r="FD34" s="939"/>
      <c r="FE34" s="939" t="s">
        <v>2716</v>
      </c>
      <c r="FF34" s="939"/>
      <c r="FG34" s="939"/>
      <c r="FH34" s="939"/>
      <c r="FI34" s="939" t="s">
        <v>2716</v>
      </c>
      <c r="FJ34" s="939" t="s">
        <v>74</v>
      </c>
      <c r="FK34" s="939" t="s">
        <v>2716</v>
      </c>
      <c r="FL34" s="939"/>
      <c r="FM34" s="939" t="s">
        <v>74</v>
      </c>
      <c r="FN34" s="939"/>
      <c r="FO34" s="939"/>
      <c r="FP34" s="939"/>
      <c r="FQ34" s="939"/>
      <c r="FR34" s="939"/>
      <c r="FS34" s="939"/>
      <c r="FT34" s="939"/>
      <c r="FU34" s="939"/>
      <c r="FV34" s="939"/>
      <c r="FW34" s="939"/>
      <c r="FX34" s="939"/>
      <c r="FY34" s="939"/>
      <c r="FZ34" s="939"/>
      <c r="GA34" s="939"/>
      <c r="GB34" s="939"/>
      <c r="GC34" s="939"/>
      <c r="GD34" s="939"/>
      <c r="GE34" s="939" t="s">
        <v>74</v>
      </c>
      <c r="GF34" s="939" t="s">
        <v>2716</v>
      </c>
      <c r="GG34" s="939"/>
      <c r="GH34" s="939"/>
      <c r="GI34" s="939"/>
      <c r="GJ34" s="939"/>
      <c r="GK34" s="939"/>
      <c r="GL34" s="939"/>
      <c r="GM34" s="939"/>
      <c r="GN34" s="939"/>
      <c r="GO34" s="939"/>
      <c r="GP34" s="939"/>
      <c r="GQ34" s="939" t="s">
        <v>74</v>
      </c>
      <c r="GR34" s="939"/>
      <c r="GS34" s="939"/>
      <c r="GT34" s="939"/>
      <c r="GU34" s="939"/>
      <c r="GV34" s="939"/>
      <c r="GW34" s="939"/>
      <c r="GX34" s="939"/>
      <c r="GY34" s="939"/>
      <c r="GZ34" s="940" t="s">
        <v>74</v>
      </c>
      <c r="HA34" s="939"/>
      <c r="HB34" s="940" t="s">
        <v>74</v>
      </c>
      <c r="HC34" s="940" t="s">
        <v>74</v>
      </c>
      <c r="HD34" s="939"/>
      <c r="HE34" s="940" t="s">
        <v>74</v>
      </c>
      <c r="HF34" s="939" t="s">
        <v>74</v>
      </c>
      <c r="HG34" s="939"/>
      <c r="HH34" s="939"/>
      <c r="HI34" s="939"/>
      <c r="HJ34" s="939"/>
      <c r="HK34" s="939"/>
      <c r="HL34" s="939"/>
      <c r="HM34" s="939"/>
      <c r="HN34" s="939"/>
      <c r="HO34" s="939"/>
      <c r="HP34" s="940" t="s">
        <v>74</v>
      </c>
      <c r="HQ34" s="939"/>
      <c r="HR34" s="939"/>
      <c r="HS34" s="939"/>
      <c r="HT34" s="939" t="s">
        <v>74</v>
      </c>
      <c r="HU34" s="939"/>
      <c r="HV34" s="939"/>
      <c r="HW34" s="939"/>
      <c r="HX34" s="990" t="s">
        <v>74</v>
      </c>
      <c r="HY34" s="1012"/>
      <c r="HZ34" s="1012"/>
      <c r="IA34" s="939" t="s">
        <v>74</v>
      </c>
      <c r="IB34" s="1012"/>
      <c r="IC34" s="1013"/>
      <c r="ID34" s="1013"/>
      <c r="IE34" s="1012"/>
      <c r="IF34" s="1012"/>
      <c r="IG34" s="939"/>
      <c r="IH34" s="1012"/>
      <c r="II34" s="1012"/>
      <c r="IJ34" s="1012"/>
      <c r="IK34" s="1012"/>
      <c r="IL34" s="939" t="s">
        <v>74</v>
      </c>
      <c r="IM34" s="1012"/>
      <c r="IN34" s="1012"/>
      <c r="IO34" s="1012"/>
      <c r="IP34" s="1013"/>
      <c r="IQ34" s="1013"/>
      <c r="IR34" s="1012"/>
      <c r="IS34" s="1012"/>
      <c r="IT34" s="1012"/>
      <c r="IU34" s="1012"/>
      <c r="IV34" s="1012"/>
      <c r="IW34" s="929"/>
      <c r="IX34" s="929" t="str">
        <f>IF(ISNUMBER(SEARCH($A34,VLOOKUP(IX$2,职业列表!$B$1:$G$370,6,0))),"★","")</f>
        <v/>
      </c>
      <c r="IY34" s="929" t="str">
        <f>IF(ISNUMBER(SEARCH($A34,VLOOKUP(IY$2,职业列表!$B$1:$G$370,6,0))),"★","")</f>
        <v/>
      </c>
      <c r="IZ34" s="929" t="str">
        <f>IF(ISNUMBER(SEARCH($A34,VLOOKUP(IZ$2,职业列表!$B$1:$G$370,6,0))),"★","")</f>
        <v/>
      </c>
      <c r="JA34" s="929" t="str">
        <f>IF(ISNUMBER(SEARCH($A34,VLOOKUP(JA$2,职业列表!$B$1:$G$370,6,0))),"★","")</f>
        <v/>
      </c>
      <c r="JB34" s="929" t="str">
        <f>IF(ISNUMBER(SEARCH($A34,VLOOKUP(JB$2,职业列表!$B$1:$G$370,6,0))),"★","")</f>
        <v/>
      </c>
      <c r="JC34" s="929" t="str">
        <f>IF(ISNUMBER(SEARCH($A34,VLOOKUP(JC$2,职业列表!$B$1:$G$370,6,0))),"★","")</f>
        <v/>
      </c>
      <c r="JD34" s="929" t="str">
        <f>IF(ISNUMBER(SEARCH($A34,VLOOKUP(JD$2,职业列表!$B$1:$G$370,6,0))),"★","")</f>
        <v/>
      </c>
      <c r="JE34" s="929" t="str">
        <f>IF(ISNUMBER(SEARCH($A34,VLOOKUP(JE$2,职业列表!$B$1:$G$370,6,0))),"★","")</f>
        <v/>
      </c>
      <c r="JF34" s="929" t="str">
        <f>IF(ISNUMBER(SEARCH($A34,VLOOKUP(JF$2,职业列表!$B$1:$G$370,6,0))),"★","")</f>
        <v/>
      </c>
      <c r="JG34" s="929" t="str">
        <f>IF(ISNUMBER(SEARCH($A34,VLOOKUP(JG$2,职业列表!$B$1:$G$370,6,0))),"★","")</f>
        <v/>
      </c>
      <c r="JH34" s="929" t="str">
        <f>IF(ISNUMBER(SEARCH($A34,VLOOKUP(JH$2,职业列表!$B$1:$G$370,6,0))),"★","")</f>
        <v/>
      </c>
      <c r="JI34" s="929" t="str">
        <f>IF(ISNUMBER(SEARCH($A34,VLOOKUP(JI$2,职业列表!$B$1:$G$370,6,0))),"★","")</f>
        <v/>
      </c>
      <c r="JJ34" s="929" t="str">
        <f>IF(ISNUMBER(SEARCH($A34,VLOOKUP(JJ$2,职业列表!$B$1:$G$370,6,0))),"★","")</f>
        <v/>
      </c>
      <c r="JK34" s="929" t="str">
        <f>IF(ISNUMBER(SEARCH($A34,VLOOKUP(JK$2,职业列表!$B$1:$G$370,6,0))),"★","")</f>
        <v>★</v>
      </c>
      <c r="JL34" s="929" t="str">
        <f>IF(ISNUMBER(SEARCH($A34,VLOOKUP(JL$2,职业列表!$B$1:$G$370,6,0))),"★","")</f>
        <v/>
      </c>
      <c r="JM34" s="929" t="str">
        <f>IF(ISNUMBER(SEARCH($A34,VLOOKUP(JM$2,职业列表!$B$1:$G$370,6,0))),"★","")</f>
        <v/>
      </c>
      <c r="JN34" s="929" t="str">
        <f>IF(ISNUMBER(SEARCH($A34,VLOOKUP(JN$2,职业列表!$B$1:$G$370,6,0))),"★","")</f>
        <v/>
      </c>
      <c r="JO34" s="929" t="str">
        <f>IF(ISNUMBER(SEARCH($A34,VLOOKUP(JO$2,职业列表!$B$1:$G$370,6,0))),"★","")</f>
        <v/>
      </c>
      <c r="JP34" s="929" t="str">
        <f>IF(ISNUMBER(SEARCH($A34,VLOOKUP(JP$2,职业列表!$B$1:$G$370,6,0))),"★","")</f>
        <v>★</v>
      </c>
      <c r="JQ34" s="929" t="str">
        <f>IF(ISNUMBER(SEARCH($A34,VLOOKUP(JQ$2,职业列表!$B$1:$G$370,6,0))),"★","")</f>
        <v/>
      </c>
      <c r="JR34" s="929" t="str">
        <f>IF(ISNUMBER(SEARCH($A34,VLOOKUP(JR$2,职业列表!$B$1:$G$370,6,0))),"★","")</f>
        <v/>
      </c>
      <c r="JS34" s="929" t="str">
        <f>IF(ISNUMBER(SEARCH($A34,VLOOKUP(JS$2,职业列表!$B$1:$G$370,6,0))),"★","")</f>
        <v/>
      </c>
      <c r="JT34" s="929" t="str">
        <f>IF(ISNUMBER(SEARCH($A34,VLOOKUP(JT$2,职业列表!$B$1:$G$370,6,0))),"★","")</f>
        <v/>
      </c>
      <c r="JU34" s="929" t="str">
        <f>IF(ISNUMBER(SEARCH($A34,VLOOKUP(JU$2,职业列表!$B$1:$G$370,6,0))),"★","")</f>
        <v>★</v>
      </c>
      <c r="JV34" s="929" t="str">
        <f>IF(ISNUMBER(SEARCH($A34,VLOOKUP(JV$2,职业列表!$B$1:$G$370,6,0))),"★","")</f>
        <v/>
      </c>
      <c r="JW34" s="929" t="str">
        <f>IF(ISNUMBER(SEARCH($A34,VLOOKUP(JW$2,职业列表!$B$1:$G$370,6,0))),"★","")</f>
        <v/>
      </c>
      <c r="JX34" s="929" t="str">
        <f>IF(ISNUMBER(SEARCH($A34,VLOOKUP(JX$2,职业列表!$B$1:$G$370,6,0))),"★","")</f>
        <v/>
      </c>
      <c r="JY34" s="929" t="str">
        <f>IF(ISNUMBER(SEARCH($A34,VLOOKUP(JY$2,职业列表!$B$1:$G$370,6,0))),"★","")</f>
        <v/>
      </c>
      <c r="JZ34" s="929" t="str">
        <f>IF(ISNUMBER(SEARCH($A34,VLOOKUP(JZ$2,职业列表!$B$1:$G$370,6,0))),"★","")</f>
        <v/>
      </c>
      <c r="KA34" s="929" t="str">
        <f>IF(ISNUMBER(SEARCH($A34,VLOOKUP(KA$2,职业列表!$B$1:$G$370,6,0))),"★","")</f>
        <v>★</v>
      </c>
      <c r="KB34" s="929" t="str">
        <f>IF(ISNUMBER(SEARCH($A34,VLOOKUP(KB$2,职业列表!$B$1:$G$370,6,0))),"★","")</f>
        <v/>
      </c>
      <c r="KC34" s="929" t="str">
        <f>IF(ISNUMBER(SEARCH($A34,VLOOKUP(KC$2,职业列表!$B$1:$G$370,6,0))),"★","")</f>
        <v/>
      </c>
      <c r="KD34" s="929" t="str">
        <f>IF(ISNUMBER(SEARCH($A34,VLOOKUP(KD$2,职业列表!$B$1:$G$370,6,0))),"★","")</f>
        <v/>
      </c>
      <c r="KE34" s="929" t="str">
        <f>IF(ISNUMBER(SEARCH($A34,VLOOKUP(KE$2,职业列表!$B$1:$G$370,6,0))),"★","")</f>
        <v>★</v>
      </c>
      <c r="KF34" s="929" t="str">
        <f>IF(ISNUMBER(SEARCH($A34,VLOOKUP(KF$2,职业列表!$B$1:$G$370,6,0))),"★","")</f>
        <v/>
      </c>
      <c r="KG34" s="929" t="str">
        <f>IF(ISNUMBER(SEARCH($A34,VLOOKUP(KG$2,职业列表!$B$1:$G$370,6,0))),"★","")</f>
        <v/>
      </c>
      <c r="KH34" s="929" t="str">
        <f>IF(ISNUMBER(SEARCH($A34,VLOOKUP(KH$2,职业列表!$B$1:$G$370,6,0))),"★","")</f>
        <v/>
      </c>
      <c r="KI34" s="929" t="str">
        <f>IF(ISNUMBER(SEARCH($A34,VLOOKUP(KI$2,职业列表!$B$1:$G$370,6,0))),"★","")</f>
        <v/>
      </c>
      <c r="KJ34" s="929" t="str">
        <f>IF(ISNUMBER(SEARCH($A34,VLOOKUP(KJ$2,职业列表!$B$1:$G$370,6,0))),"★","")</f>
        <v/>
      </c>
      <c r="KK34" s="929" t="str">
        <f>IF(ISNUMBER(SEARCH($A34,VLOOKUP(KK$2,职业列表!$B$1:$G$370,6,0))),"★","")</f>
        <v>★</v>
      </c>
      <c r="KL34" s="929" t="str">
        <f>IF(ISNUMBER(SEARCH($A34,VLOOKUP(KL$2,职业列表!$B$1:$G$370,6,0))),"★","")</f>
        <v/>
      </c>
      <c r="KM34" s="929" t="str">
        <f>IF(ISNUMBER(SEARCH($A34,VLOOKUP(KM$2,职业列表!$B$1:$G$370,6,0))),"★","")</f>
        <v/>
      </c>
      <c r="KN34" s="929" t="str">
        <f>IF(ISNUMBER(SEARCH($A34,VLOOKUP(KN$2,职业列表!$B$1:$G$370,6,0))),"★","")</f>
        <v/>
      </c>
      <c r="KO34" s="929" t="str">
        <f>IF(ISNUMBER(SEARCH($A34,VLOOKUP(KO$2,职业列表!$B$1:$G$370,6,0))),"★","")</f>
        <v/>
      </c>
      <c r="KP34" s="929" t="str">
        <f>IF(ISNUMBER(SEARCH($A34,VLOOKUP(KP$2,职业列表!$B$1:$G$370,6,0))),"★","")</f>
        <v/>
      </c>
      <c r="KQ34" s="929" t="str">
        <f>IF(ISNUMBER(SEARCH($A34,VLOOKUP(KQ$2,职业列表!$B$1:$G$370,6,0))),"★","")</f>
        <v/>
      </c>
      <c r="KR34" s="929" t="str">
        <f>IF(ISNUMBER(SEARCH($A34,VLOOKUP(KR$2,职业列表!$B$1:$G$370,6,0))),"★","")</f>
        <v/>
      </c>
      <c r="KS34" s="929" t="str">
        <f>IF(ISNUMBER(SEARCH($A34,VLOOKUP(KS$2,职业列表!$B$1:$G$370,6,0))),"★","")</f>
        <v/>
      </c>
      <c r="KT34" s="929" t="str">
        <f>IF(ISNUMBER(SEARCH($A34,VLOOKUP(KT$2,职业列表!$B$1:$G$370,6,0))),"★","")</f>
        <v>★</v>
      </c>
      <c r="KU34" s="929" t="str">
        <f>IF(ISNUMBER(SEARCH($A34,VLOOKUP(KU$2,职业列表!$B$1:$G$370,6,0))),"★","")</f>
        <v/>
      </c>
      <c r="KV34" s="929" t="str">
        <f>IF(ISNUMBER(SEARCH($A34,VLOOKUP(KV$2,职业列表!$B$1:$G$370,6,0))),"★","")</f>
        <v/>
      </c>
      <c r="KW34" s="929" t="str">
        <f>IF(ISNUMBER(SEARCH($A34,VLOOKUP(KW$2,职业列表!$B$1:$G$370,6,0))),"★","")</f>
        <v/>
      </c>
      <c r="KX34" s="929" t="str">
        <f>IF(ISNUMBER(SEARCH($A34,VLOOKUP(KX$2,职业列表!$B$1:$G$370,6,0))),"★","")</f>
        <v/>
      </c>
      <c r="KY34" s="929" t="str">
        <f>IF(ISNUMBER(SEARCH($A34,VLOOKUP(KY$2,职业列表!$B$1:$G$370,6,0))),"★","")</f>
        <v/>
      </c>
      <c r="KZ34" s="929" t="str">
        <f>IF(ISNUMBER(SEARCH($A34,VLOOKUP(KZ$2,职业列表!$B$1:$G$370,6,0))),"★","")</f>
        <v/>
      </c>
      <c r="LA34" s="929" t="str">
        <f>IF(ISNUMBER(SEARCH($A34,VLOOKUP(LA$2,职业列表!$B$1:$G$370,6,0))),"★","")</f>
        <v/>
      </c>
      <c r="LB34" s="929" t="str">
        <f>IF(ISNUMBER(SEARCH($A34,VLOOKUP(LB$2,职业列表!$B$1:$G$370,6,0))),"★","")</f>
        <v/>
      </c>
      <c r="LC34" s="929" t="str">
        <f>IF(ISNUMBER(SEARCH($A34,VLOOKUP(LC$2,职业列表!$B$1:$G$370,6,0))),"★","")</f>
        <v/>
      </c>
      <c r="LD34" s="929" t="str">
        <f>IF(ISNUMBER(SEARCH($A34,VLOOKUP(LD$2,职业列表!$B$1:$G$370,6,0))),"★","")</f>
        <v/>
      </c>
      <c r="LE34" s="929" t="str">
        <f>IF(ISNUMBER(SEARCH($A34,VLOOKUP(LE$2,职业列表!$B$1:$G$370,6,0))),"★","")</f>
        <v/>
      </c>
      <c r="LF34" s="929" t="str">
        <f>IF(ISNUMBER(SEARCH($A34,VLOOKUP(LF$2,职业列表!$B$1:$G$370,6,0))),"★","")</f>
        <v/>
      </c>
      <c r="LG34" s="929" t="str">
        <f>IF(ISNUMBER(SEARCH($A34,VLOOKUP(LG$2,职业列表!$B$1:$G$370,6,0))),"★","")</f>
        <v/>
      </c>
      <c r="LH34" s="929" t="str">
        <f>IF(ISNUMBER(SEARCH($A34,VLOOKUP(LH$2,职业列表!$B$1:$G$370,6,0))),"★","")</f>
        <v/>
      </c>
      <c r="LI34" s="929" t="str">
        <f>IF(ISNUMBER(SEARCH($A34,VLOOKUP(LI$2,职业列表!$B$1:$G$370,6,0))),"★","")</f>
        <v>★</v>
      </c>
      <c r="LJ34" s="929" t="str">
        <f>IF(ISNUMBER(SEARCH($A34,VLOOKUP(LJ$2,职业列表!$B$1:$G$370,6,0))),"★","")</f>
        <v/>
      </c>
      <c r="LK34" s="929" t="str">
        <f>IF(ISNUMBER(SEARCH($A34,VLOOKUP(LK$2,职业列表!$B$1:$G$370,6,0))),"★","")</f>
        <v/>
      </c>
      <c r="LL34" s="929" t="str">
        <f>IF(ISNUMBER(SEARCH($A34,VLOOKUP(LL$2,职业列表!$B$1:$G$370,6,0))),"★","")</f>
        <v/>
      </c>
      <c r="LM34" s="929" t="str">
        <f>IF(ISNUMBER(SEARCH($A34,VLOOKUP(LM$2,职业列表!$B$1:$G$370,6,0))),"★","")</f>
        <v/>
      </c>
      <c r="LN34" s="929" t="str">
        <f>IF(ISNUMBER(SEARCH($A34,VLOOKUP(LN$2,职业列表!$B$1:$G$370,6,0))),"★","")</f>
        <v/>
      </c>
      <c r="LO34" s="929" t="str">
        <f>IF(ISNUMBER(SEARCH($A34,VLOOKUP(LO$2,职业列表!$B$1:$G$370,6,0))),"★","")</f>
        <v/>
      </c>
      <c r="LP34" s="929" t="str">
        <f>IF(ISNUMBER(SEARCH($A34,VLOOKUP(LP$2,职业列表!$B$1:$G$370,6,0))),"★","")</f>
        <v/>
      </c>
      <c r="LQ34" s="929" t="str">
        <f>IF(ISNUMBER(SEARCH($A34,VLOOKUP(LQ$2,职业列表!$B$1:$G$370,6,0))),"★","")</f>
        <v/>
      </c>
      <c r="LR34" s="929" t="str">
        <f>IF(ISNUMBER(SEARCH($A34,VLOOKUP(LR$2,职业列表!$B$1:$G$370,6,0))),"★","")</f>
        <v/>
      </c>
      <c r="LS34" s="929" t="str">
        <f>IF(ISNUMBER(SEARCH($A34,VLOOKUP(LS$2,职业列表!$B$1:$G$370,6,0))),"★","")</f>
        <v/>
      </c>
      <c r="LT34" s="929" t="str">
        <f>IF(ISNUMBER(SEARCH($A34,VLOOKUP(LT$2,职业列表!$B$1:$G$370,6,0))),"★","")</f>
        <v/>
      </c>
      <c r="LU34" s="929" t="str">
        <f>IF(ISNUMBER(SEARCH($A34,VLOOKUP(LU$2,职业列表!$B$1:$G$370,6,0))),"★","")</f>
        <v/>
      </c>
      <c r="LV34" s="929" t="str">
        <f>IF(ISNUMBER(SEARCH($A34,VLOOKUP(LV$2,职业列表!$B$1:$G$370,6,0))),"★","")</f>
        <v>★</v>
      </c>
      <c r="LW34" s="929" t="str">
        <f>IF(ISNUMBER(SEARCH($A34,VLOOKUP(LW$2,职业列表!$B$1:$G$370,6,0))),"★","")</f>
        <v>★</v>
      </c>
      <c r="LX34" s="929" t="str">
        <f>IF(ISNUMBER(SEARCH($A34,VLOOKUP(LX$2,职业列表!$B$1:$G$370,6,0))),"★","")</f>
        <v/>
      </c>
      <c r="LY34" s="929" t="str">
        <f>IF(ISNUMBER(SEARCH($A34,VLOOKUP(LY$2,职业列表!$B$1:$G$370,6,0))),"★","")</f>
        <v/>
      </c>
      <c r="LZ34" s="929" t="str">
        <f>IF(ISNUMBER(SEARCH($A34,VLOOKUP(LZ$2,职业列表!$B$1:$G$370,6,0))),"★","")</f>
        <v/>
      </c>
      <c r="MA34" s="929" t="str">
        <f>IF(ISNUMBER(SEARCH($A34,VLOOKUP(MA$2,职业列表!$B$1:$G$370,6,0))),"★","")</f>
        <v/>
      </c>
      <c r="MB34" s="929" t="str">
        <f>IF(ISNUMBER(SEARCH($A34,VLOOKUP(MB$2,职业列表!$B$1:$G$370,6,0))),"★","")</f>
        <v/>
      </c>
      <c r="MC34" s="929" t="str">
        <f>IF(ISNUMBER(SEARCH($A34,VLOOKUP(MC$2,职业列表!$B$1:$G$370,6,0))),"★","")</f>
        <v/>
      </c>
      <c r="MD34" s="929" t="str">
        <f>IF(ISNUMBER(SEARCH($A34,VLOOKUP(MD$2,职业列表!$B$1:$G$370,6,0))),"★","")</f>
        <v/>
      </c>
      <c r="ME34" s="929" t="str">
        <f>IF(ISNUMBER(SEARCH($A34,VLOOKUP(ME$2,职业列表!$B$1:$G$370,6,0))),"★","")</f>
        <v/>
      </c>
      <c r="MF34" s="929" t="str">
        <f>IF(ISNUMBER(SEARCH($A34,VLOOKUP(MF$2,职业列表!$B$1:$G$370,6,0))),"★","")</f>
        <v/>
      </c>
      <c r="MG34" s="929" t="str">
        <f>IF(ISNUMBER(SEARCH($A34,VLOOKUP(MG$2,职业列表!$B$1:$G$370,6,0))),"★","")</f>
        <v/>
      </c>
      <c r="MH34" s="929" t="str">
        <f>IF(ISNUMBER(SEARCH($A34,VLOOKUP(MH$2,职业列表!$B$1:$G$370,6,0))),"★","")</f>
        <v/>
      </c>
      <c r="MI34" s="929" t="str">
        <f>IF(ISNUMBER(SEARCH($A34,VLOOKUP(MI$2,职业列表!$B$1:$G$370,6,0))),"★","")</f>
        <v/>
      </c>
      <c r="MJ34" s="929" t="str">
        <f>IF(ISNUMBER(SEARCH($A34,VLOOKUP(MJ$2,职业列表!$B$1:$G$370,6,0))),"★","")</f>
        <v/>
      </c>
      <c r="MK34" s="929" t="str">
        <f>IF(ISNUMBER(SEARCH($A34,VLOOKUP(MK$2,职业列表!$B$1:$G$370,6,0))),"★","")</f>
        <v/>
      </c>
      <c r="ML34" s="929" t="str">
        <f>IF(ISNUMBER(SEARCH($A34,VLOOKUP(ML$2,职业列表!$B$1:$G$370,6,0))),"★","")</f>
        <v>★</v>
      </c>
      <c r="MM34" s="929" t="str">
        <f>IF(ISNUMBER(SEARCH($A34,VLOOKUP(MM$2,职业列表!$B$1:$G$370,6,0))),"★","")</f>
        <v>★</v>
      </c>
      <c r="MN34" s="929" t="str">
        <f>IF(ISNUMBER(SEARCH($A34,VLOOKUP(MN$2,职业列表!$B$1:$G$370,6,0))),"★","")</f>
        <v>★</v>
      </c>
      <c r="MO34" s="929" t="str">
        <f>IF(ISNUMBER(SEARCH($A34,VLOOKUP(MO$2,职业列表!$B$1:$G$370,6,0))),"★","")</f>
        <v/>
      </c>
      <c r="MP34" s="929" t="str">
        <f>IF(ISNUMBER(SEARCH($A34,VLOOKUP(MP$2,职业列表!$B$1:$G$370,6,0))),"★","")</f>
        <v>★</v>
      </c>
      <c r="MQ34" s="929" t="str">
        <f>IF(ISNUMBER(SEARCH($A34,VLOOKUP(MQ$2,职业列表!$B$1:$G$370,6,0))),"★","")</f>
        <v/>
      </c>
      <c r="MR34" s="929" t="str">
        <f>IF(ISNUMBER(SEARCH($A34,VLOOKUP(MR$2,职业列表!$B$1:$G$370,6,0))),"★","")</f>
        <v/>
      </c>
      <c r="MS34" s="929" t="str">
        <f>IF(ISNUMBER(SEARCH($A34,VLOOKUP(MS$2,职业列表!$B$1:$G$370,6,0))),"★","")</f>
        <v/>
      </c>
      <c r="MT34" s="929" t="str">
        <f>IF(ISNUMBER(SEARCH($A34,VLOOKUP(MT$2,职业列表!$B$1:$G$370,6,0))),"★","")</f>
        <v/>
      </c>
      <c r="MU34" s="929" t="str">
        <f>IF(ISNUMBER(SEARCH($A34,VLOOKUP(MU$2,职业列表!$B$1:$G$370,6,0))),"★","")</f>
        <v/>
      </c>
      <c r="MV34" s="929" t="str">
        <f>IF(ISNUMBER(SEARCH($A34,VLOOKUP(MV$2,职业列表!$B$1:$G$370,6,0))),"★","")</f>
        <v/>
      </c>
      <c r="MW34" s="929" t="str">
        <f>IF(ISNUMBER(SEARCH($A34,VLOOKUP(MW$2,职业列表!$B$1:$G$370,6,0))),"★","")</f>
        <v>★</v>
      </c>
      <c r="MX34" s="929" t="str">
        <f>IF(ISNUMBER(SEARCH($A34,VLOOKUP(MX$2,职业列表!$B$1:$G$370,6,0))),"★","")</f>
        <v/>
      </c>
      <c r="MY34" s="929" t="str">
        <f>IF(ISNUMBER(SEARCH($A34,VLOOKUP(MY$2,职业列表!$B$1:$G$370,6,0))),"★","")</f>
        <v>★</v>
      </c>
      <c r="MZ34" s="929" t="str">
        <f>IF(ISNUMBER(SEARCH($A34,VLOOKUP(MZ$2,职业列表!$B$1:$G$370,6,0))),"★","")</f>
        <v/>
      </c>
      <c r="NA34" s="929" t="str">
        <f>IF(ISNUMBER(SEARCH($A34,VLOOKUP(NA$2,职业列表!$B$1:$G$370,6,0))),"★","")</f>
        <v>★</v>
      </c>
      <c r="NB34" s="929" t="str">
        <f>IF(ISNUMBER(SEARCH($A34,VLOOKUP(NB$2,职业列表!$B$1:$G$370,6,0))),"★","")</f>
        <v/>
      </c>
      <c r="NC34" s="929" t="str">
        <f>IF(ISNUMBER(SEARCH($A34,VLOOKUP(NC$2,职业列表!$B$1:$G$370,6,0))),"★","")</f>
        <v/>
      </c>
      <c r="ND34" s="929" t="str">
        <f>IF(ISNUMBER(SEARCH($A34,VLOOKUP(ND$2,职业列表!$B$1:$G$370,6,0))),"★","")</f>
        <v/>
      </c>
      <c r="NE34" s="929" t="str">
        <f>IF(ISNUMBER(SEARCH($A34,VLOOKUP(NE$2,职业列表!$B$1:$G$370,6,0))),"★","")</f>
        <v/>
      </c>
    </row>
    <row r="35" customFormat="1" spans="1:369">
      <c r="A35" s="944" t="s">
        <v>147</v>
      </c>
      <c r="B35" s="945" t="str">
        <f>IF(OR(A35="说服",A35="话术",A35="取悦",A35="恐吓"),"☯",IF(ISNUMBER(SEARCH(A35,VLOOKUP(IX$2,职业列表!$B$1:$G$370,6,0))),"★",""))</f>
        <v>☯</v>
      </c>
      <c r="C35" s="946" t="str">
        <f>IF(ISTEXT(IFERROR(VLOOKUP(A35,职业列表!I3:J10,1,FALSE),0)),"★","")</f>
        <v/>
      </c>
      <c r="D35" s="945"/>
      <c r="E35" s="945"/>
      <c r="F35" s="946" t="s">
        <v>2718</v>
      </c>
      <c r="G35" s="945" t="s">
        <v>2718</v>
      </c>
      <c r="H35" s="945" t="s">
        <v>2718</v>
      </c>
      <c r="I35" s="945"/>
      <c r="J35" s="945"/>
      <c r="K35" s="945" t="s">
        <v>2718</v>
      </c>
      <c r="L35" s="945" t="s">
        <v>2718</v>
      </c>
      <c r="M35" s="945"/>
      <c r="N35" s="945"/>
      <c r="O35" s="945" t="s">
        <v>2718</v>
      </c>
      <c r="P35" s="945" t="s">
        <v>2718</v>
      </c>
      <c r="Q35" s="945" t="s">
        <v>2718</v>
      </c>
      <c r="R35" s="945"/>
      <c r="S35" s="945" t="s">
        <v>2718</v>
      </c>
      <c r="T35" s="945"/>
      <c r="U35" s="945" t="s">
        <v>2718</v>
      </c>
      <c r="V35" s="945" t="s">
        <v>2718</v>
      </c>
      <c r="W35" s="945" t="s">
        <v>74</v>
      </c>
      <c r="X35" s="945"/>
      <c r="Y35" s="945" t="s">
        <v>2718</v>
      </c>
      <c r="Z35" s="945"/>
      <c r="AA35" s="945" t="s">
        <v>2718</v>
      </c>
      <c r="AB35" s="945"/>
      <c r="AC35" s="945"/>
      <c r="AD35" s="945"/>
      <c r="AE35" s="945" t="s">
        <v>74</v>
      </c>
      <c r="AF35" s="945" t="s">
        <v>2718</v>
      </c>
      <c r="AG35" s="945"/>
      <c r="AH35" s="945" t="s">
        <v>2718</v>
      </c>
      <c r="AI35" s="945" t="s">
        <v>2718</v>
      </c>
      <c r="AJ35" s="945" t="s">
        <v>2718</v>
      </c>
      <c r="AK35" s="945" t="s">
        <v>2718</v>
      </c>
      <c r="AL35" s="945"/>
      <c r="AM35" s="945" t="s">
        <v>2718</v>
      </c>
      <c r="AN35" s="945" t="s">
        <v>2718</v>
      </c>
      <c r="AO35" s="945" t="s">
        <v>2718</v>
      </c>
      <c r="AP35" s="945" t="s">
        <v>2718</v>
      </c>
      <c r="AQ35" s="964"/>
      <c r="AR35" s="945" t="s">
        <v>2718</v>
      </c>
      <c r="AS35" s="945"/>
      <c r="AT35" s="945"/>
      <c r="AU35" s="945" t="s">
        <v>2718</v>
      </c>
      <c r="AV35" s="945" t="s">
        <v>2718</v>
      </c>
      <c r="AW35" s="945" t="s">
        <v>2718</v>
      </c>
      <c r="AX35" s="945"/>
      <c r="AY35" s="945" t="s">
        <v>2718</v>
      </c>
      <c r="AZ35" s="945" t="s">
        <v>74</v>
      </c>
      <c r="BA35" s="945"/>
      <c r="BB35" s="945" t="s">
        <v>2718</v>
      </c>
      <c r="BC35" s="945"/>
      <c r="BD35" s="945" t="s">
        <v>2718</v>
      </c>
      <c r="BE35" s="945"/>
      <c r="BF35" s="945"/>
      <c r="BG35" s="945" t="s">
        <v>2718</v>
      </c>
      <c r="BH35" s="945"/>
      <c r="BI35" s="945" t="s">
        <v>2718</v>
      </c>
      <c r="BJ35" s="945" t="s">
        <v>2718</v>
      </c>
      <c r="BK35" s="945" t="s">
        <v>2718</v>
      </c>
      <c r="BL35" s="945" t="s">
        <v>2718</v>
      </c>
      <c r="BM35" s="945"/>
      <c r="BN35" s="945" t="s">
        <v>2718</v>
      </c>
      <c r="BO35" s="945" t="s">
        <v>2718</v>
      </c>
      <c r="BP35" s="945" t="s">
        <v>2718</v>
      </c>
      <c r="BQ35" s="945" t="s">
        <v>74</v>
      </c>
      <c r="BR35" s="945"/>
      <c r="BS35" s="945"/>
      <c r="BT35" s="945"/>
      <c r="BU35" s="964"/>
      <c r="BV35" s="945" t="s">
        <v>2718</v>
      </c>
      <c r="BW35" s="945"/>
      <c r="BX35" s="945"/>
      <c r="BY35" s="945" t="s">
        <v>2718</v>
      </c>
      <c r="BZ35" s="945" t="s">
        <v>2718</v>
      </c>
      <c r="CA35" s="945"/>
      <c r="CB35" s="945"/>
      <c r="CC35" s="945" t="s">
        <v>2718</v>
      </c>
      <c r="CD35" s="945" t="s">
        <v>2718</v>
      </c>
      <c r="CE35" s="945" t="s">
        <v>2718</v>
      </c>
      <c r="CF35" s="945"/>
      <c r="CG35" s="945"/>
      <c r="CH35" s="945" t="s">
        <v>2718</v>
      </c>
      <c r="CI35" s="945" t="s">
        <v>2718</v>
      </c>
      <c r="CJ35" s="945" t="s">
        <v>2718</v>
      </c>
      <c r="CK35" s="945"/>
      <c r="CL35" s="945"/>
      <c r="CM35" s="945" t="s">
        <v>2718</v>
      </c>
      <c r="CN35" s="945" t="s">
        <v>2718</v>
      </c>
      <c r="CO35" s="945" t="s">
        <v>2718</v>
      </c>
      <c r="CP35" s="945"/>
      <c r="CQ35" s="945"/>
      <c r="CR35" s="945" t="s">
        <v>2718</v>
      </c>
      <c r="CS35" s="945"/>
      <c r="CT35" s="945"/>
      <c r="CU35" s="945" t="s">
        <v>2718</v>
      </c>
      <c r="CV35" s="945"/>
      <c r="CW35" s="945" t="s">
        <v>2718</v>
      </c>
      <c r="CX35" s="945" t="s">
        <v>2718</v>
      </c>
      <c r="CY35" s="945" t="s">
        <v>2718</v>
      </c>
      <c r="CZ35" s="945" t="s">
        <v>2718</v>
      </c>
      <c r="DA35" s="945" t="s">
        <v>2718</v>
      </c>
      <c r="DB35" s="945"/>
      <c r="DC35" s="945" t="s">
        <v>2718</v>
      </c>
      <c r="DD35" s="945"/>
      <c r="DE35" s="945"/>
      <c r="DF35" s="945"/>
      <c r="DG35" s="945" t="s">
        <v>2718</v>
      </c>
      <c r="DH35" s="945" t="s">
        <v>2718</v>
      </c>
      <c r="DI35" s="945" t="s">
        <v>2718</v>
      </c>
      <c r="DJ35" s="945" t="s">
        <v>2718</v>
      </c>
      <c r="DK35" s="945" t="s">
        <v>2718</v>
      </c>
      <c r="DL35" s="945" t="s">
        <v>2718</v>
      </c>
      <c r="DM35" s="945"/>
      <c r="DN35" s="945" t="s">
        <v>74</v>
      </c>
      <c r="DO35" s="945" t="s">
        <v>2718</v>
      </c>
      <c r="DP35" s="945" t="s">
        <v>2718</v>
      </c>
      <c r="DQ35" s="945" t="s">
        <v>2718</v>
      </c>
      <c r="DR35" s="945" t="s">
        <v>2718</v>
      </c>
      <c r="DS35" s="945" t="s">
        <v>2718</v>
      </c>
      <c r="DT35" s="945" t="s">
        <v>2718</v>
      </c>
      <c r="DU35" s="945" t="s">
        <v>2718</v>
      </c>
      <c r="DV35" s="945" t="s">
        <v>2718</v>
      </c>
      <c r="DW35" s="945" t="s">
        <v>2718</v>
      </c>
      <c r="DX35" s="945" t="s">
        <v>2718</v>
      </c>
      <c r="DY35" s="945" t="s">
        <v>2718</v>
      </c>
      <c r="DZ35" s="945" t="s">
        <v>2718</v>
      </c>
      <c r="EA35" s="945" t="s">
        <v>2718</v>
      </c>
      <c r="EB35" s="945" t="s">
        <v>2718</v>
      </c>
      <c r="EC35" s="945" t="s">
        <v>2718</v>
      </c>
      <c r="ED35" s="945"/>
      <c r="EE35" s="945" t="s">
        <v>2718</v>
      </c>
      <c r="EF35" s="945"/>
      <c r="EG35" s="945"/>
      <c r="EH35" s="945"/>
      <c r="EI35" s="945" t="s">
        <v>2718</v>
      </c>
      <c r="EJ35" s="945" t="s">
        <v>2718</v>
      </c>
      <c r="EK35" s="945" t="s">
        <v>2718</v>
      </c>
      <c r="EL35" s="945"/>
      <c r="EM35" s="945" t="s">
        <v>2718</v>
      </c>
      <c r="EN35" s="945"/>
      <c r="EO35" s="945" t="s">
        <v>2718</v>
      </c>
      <c r="EP35" s="945"/>
      <c r="EQ35" s="945"/>
      <c r="ER35" s="945" t="s">
        <v>2718</v>
      </c>
      <c r="ES35" s="945" t="s">
        <v>2718</v>
      </c>
      <c r="ET35" s="945" t="s">
        <v>2718</v>
      </c>
      <c r="EU35" s="945" t="s">
        <v>2718</v>
      </c>
      <c r="EV35" s="945" t="s">
        <v>2718</v>
      </c>
      <c r="EW35" s="945"/>
      <c r="EX35" s="945" t="s">
        <v>2718</v>
      </c>
      <c r="EY35" s="945" t="s">
        <v>2718</v>
      </c>
      <c r="EZ35" s="945"/>
      <c r="FA35" s="945" t="s">
        <v>2718</v>
      </c>
      <c r="FB35" s="945" t="s">
        <v>2718</v>
      </c>
      <c r="FC35" s="945"/>
      <c r="FD35" s="945" t="s">
        <v>74</v>
      </c>
      <c r="FE35" s="945" t="s">
        <v>2718</v>
      </c>
      <c r="FF35" s="945" t="s">
        <v>2718</v>
      </c>
      <c r="FG35" s="945" t="s">
        <v>2718</v>
      </c>
      <c r="FH35" s="945"/>
      <c r="FI35" s="945"/>
      <c r="FJ35" s="945"/>
      <c r="FK35" s="945"/>
      <c r="FL35" s="945"/>
      <c r="FM35" s="945" t="s">
        <v>2718</v>
      </c>
      <c r="FN35" s="945"/>
      <c r="FO35" s="945" t="s">
        <v>74</v>
      </c>
      <c r="FP35" s="945"/>
      <c r="FQ35" s="945" t="s">
        <v>2718</v>
      </c>
      <c r="FR35" s="945" t="s">
        <v>2718</v>
      </c>
      <c r="FS35" s="945"/>
      <c r="FT35" s="945"/>
      <c r="FU35" s="945"/>
      <c r="FV35" s="945" t="s">
        <v>2718</v>
      </c>
      <c r="FW35" s="945"/>
      <c r="FX35" s="945"/>
      <c r="FY35" s="945" t="s">
        <v>2718</v>
      </c>
      <c r="FZ35" s="945"/>
      <c r="GA35" s="945"/>
      <c r="GB35" s="945" t="s">
        <v>2718</v>
      </c>
      <c r="GC35" s="945"/>
      <c r="GD35" s="945"/>
      <c r="GE35" s="945"/>
      <c r="GF35" s="945" t="s">
        <v>2718</v>
      </c>
      <c r="GG35" s="945" t="s">
        <v>2718</v>
      </c>
      <c r="GH35" s="945" t="s">
        <v>2718</v>
      </c>
      <c r="GI35" s="945" t="s">
        <v>2718</v>
      </c>
      <c r="GJ35" s="945"/>
      <c r="GK35" s="945"/>
      <c r="GL35" s="945"/>
      <c r="GM35" s="945"/>
      <c r="GN35" s="945" t="s">
        <v>2718</v>
      </c>
      <c r="GO35" s="945" t="s">
        <v>2718</v>
      </c>
      <c r="GP35" s="945" t="s">
        <v>2718</v>
      </c>
      <c r="GQ35" s="945" t="s">
        <v>2718</v>
      </c>
      <c r="GR35" s="945"/>
      <c r="GS35" s="945"/>
      <c r="GT35" s="945" t="s">
        <v>2718</v>
      </c>
      <c r="GU35" s="945"/>
      <c r="GV35" s="945"/>
      <c r="GW35" s="945" t="s">
        <v>2718</v>
      </c>
      <c r="GX35" s="945" t="s">
        <v>2718</v>
      </c>
      <c r="GY35" s="945" t="s">
        <v>2718</v>
      </c>
      <c r="GZ35" s="946" t="s">
        <v>2718</v>
      </c>
      <c r="HA35" s="946" t="s">
        <v>2718</v>
      </c>
      <c r="HB35" s="945"/>
      <c r="HC35" s="946" t="s">
        <v>2718</v>
      </c>
      <c r="HD35" s="945"/>
      <c r="HE35" s="946" t="s">
        <v>2718</v>
      </c>
      <c r="HF35" s="945"/>
      <c r="HG35" s="945" t="s">
        <v>2718</v>
      </c>
      <c r="HH35" s="945" t="s">
        <v>2718</v>
      </c>
      <c r="HI35" s="945"/>
      <c r="HJ35" s="945" t="s">
        <v>2718</v>
      </c>
      <c r="HK35" s="945" t="s">
        <v>2718</v>
      </c>
      <c r="HL35" s="945"/>
      <c r="HM35" s="945" t="s">
        <v>2718</v>
      </c>
      <c r="HN35" s="945" t="s">
        <v>2718</v>
      </c>
      <c r="HO35" s="945" t="s">
        <v>2718</v>
      </c>
      <c r="HP35" s="945" t="s">
        <v>2718</v>
      </c>
      <c r="HQ35" s="945"/>
      <c r="HR35" s="946" t="s">
        <v>2718</v>
      </c>
      <c r="HS35" s="945" t="s">
        <v>2718</v>
      </c>
      <c r="HT35" s="945" t="s">
        <v>2718</v>
      </c>
      <c r="HU35" s="945"/>
      <c r="HV35" s="945" t="s">
        <v>2718</v>
      </c>
      <c r="HW35" s="945"/>
      <c r="HX35" s="993" t="s">
        <v>2718</v>
      </c>
      <c r="HY35" s="945" t="s">
        <v>2718</v>
      </c>
      <c r="HZ35" s="945" t="s">
        <v>2718</v>
      </c>
      <c r="IA35" s="1016"/>
      <c r="IB35" s="1016"/>
      <c r="IC35" s="993" t="s">
        <v>2718</v>
      </c>
      <c r="ID35" s="993" t="s">
        <v>2718</v>
      </c>
      <c r="IE35" s="1016"/>
      <c r="IF35" s="993" t="s">
        <v>2718</v>
      </c>
      <c r="IG35" s="945" t="s">
        <v>2718</v>
      </c>
      <c r="IH35" s="1016"/>
      <c r="II35" s="1016"/>
      <c r="IJ35" s="1016"/>
      <c r="IK35" s="1016"/>
      <c r="IL35" s="1016"/>
      <c r="IM35" s="1016"/>
      <c r="IN35" s="1016"/>
      <c r="IO35" s="1016"/>
      <c r="IP35" s="993" t="s">
        <v>2718</v>
      </c>
      <c r="IQ35" s="993" t="s">
        <v>2718</v>
      </c>
      <c r="IR35" s="1016"/>
      <c r="IS35" s="945" t="s">
        <v>2718</v>
      </c>
      <c r="IT35" s="945" t="s">
        <v>2718</v>
      </c>
      <c r="IU35" s="945" t="s">
        <v>2718</v>
      </c>
      <c r="IV35" s="945" t="s">
        <v>2718</v>
      </c>
      <c r="IW35" s="1040"/>
      <c r="IX35" s="929" t="str">
        <f>IF(ISNUMBER(SEARCH($A35,VLOOKUP(IX$2,职业列表!$B$1:$G$370,6,0))),"★","")</f>
        <v>★</v>
      </c>
      <c r="IY35" s="929" t="str">
        <f>IF(ISNUMBER(SEARCH($A35,VLOOKUP(IY$2,职业列表!$B$1:$G$370,6,0))),"★","")</f>
        <v>★</v>
      </c>
      <c r="IZ35" s="929" t="str">
        <f>IF(ISNUMBER(SEARCH($A35,VLOOKUP(IZ$2,职业列表!$B$1:$G$370,6,0))),"★","")</f>
        <v/>
      </c>
      <c r="JA35" s="929" t="str">
        <f>IF(ISNUMBER(SEARCH($A35,VLOOKUP(JA$2,职业列表!$B$1:$G$370,6,0))),"★","")</f>
        <v/>
      </c>
      <c r="JB35" s="929" t="str">
        <f>IF(ISNUMBER(SEARCH($A35,VLOOKUP(JB$2,职业列表!$B$1:$G$370,6,0))),"★","")</f>
        <v/>
      </c>
      <c r="JC35" s="929" t="str">
        <f>IF(ISNUMBER(SEARCH($A35,VLOOKUP(JC$2,职业列表!$B$1:$G$370,6,0))),"★","")</f>
        <v/>
      </c>
      <c r="JD35" s="929" t="str">
        <f>IF(ISNUMBER(SEARCH($A35,VLOOKUP(JD$2,职业列表!$B$1:$G$370,6,0))),"★","")</f>
        <v/>
      </c>
      <c r="JE35" s="929" t="str">
        <f>IF(ISNUMBER(SEARCH($A35,VLOOKUP(JE$2,职业列表!$B$1:$G$370,6,0))),"★","")</f>
        <v/>
      </c>
      <c r="JF35" s="929" t="str">
        <f>IF(ISNUMBER(SEARCH($A35,VLOOKUP(JF$2,职业列表!$B$1:$G$370,6,0))),"★","")</f>
        <v/>
      </c>
      <c r="JG35" s="929" t="str">
        <f>IF(ISNUMBER(SEARCH($A35,VLOOKUP(JG$2,职业列表!$B$1:$G$370,6,0))),"★","")</f>
        <v/>
      </c>
      <c r="JH35" s="929" t="str">
        <f>IF(ISNUMBER(SEARCH($A35,VLOOKUP(JH$2,职业列表!$B$1:$G$370,6,0))),"★","")</f>
        <v/>
      </c>
      <c r="JI35" s="929" t="str">
        <f>IF(ISNUMBER(SEARCH($A35,VLOOKUP(JI$2,职业列表!$B$1:$G$370,6,0))),"★","")</f>
        <v/>
      </c>
      <c r="JJ35" s="929" t="str">
        <f>IF(ISNUMBER(SEARCH($A35,VLOOKUP(JJ$2,职业列表!$B$1:$G$370,6,0))),"★","")</f>
        <v/>
      </c>
      <c r="JK35" s="929" t="str">
        <f>IF(ISNUMBER(SEARCH($A35,VLOOKUP(JK$2,职业列表!$B$1:$G$370,6,0))),"★","")</f>
        <v/>
      </c>
      <c r="JL35" s="929" t="str">
        <f>IF(ISNUMBER(SEARCH($A35,VLOOKUP(JL$2,职业列表!$B$1:$G$370,6,0))),"★","")</f>
        <v/>
      </c>
      <c r="JM35" s="929" t="str">
        <f>IF(ISNUMBER(SEARCH($A35,VLOOKUP(JM$2,职业列表!$B$1:$G$370,6,0))),"★","")</f>
        <v/>
      </c>
      <c r="JN35" s="929" t="str">
        <f>IF(ISNUMBER(SEARCH($A35,VLOOKUP(JN$2,职业列表!$B$1:$G$370,6,0))),"★","")</f>
        <v/>
      </c>
      <c r="JO35" s="929" t="str">
        <f>IF(ISNUMBER(SEARCH($A35,VLOOKUP(JO$2,职业列表!$B$1:$G$370,6,0))),"★","")</f>
        <v/>
      </c>
      <c r="JP35" s="929" t="str">
        <f>IF(ISNUMBER(SEARCH($A35,VLOOKUP(JP$2,职业列表!$B$1:$G$370,6,0))),"★","")</f>
        <v/>
      </c>
      <c r="JQ35" s="929" t="str">
        <f>IF(ISNUMBER(SEARCH($A35,VLOOKUP(JQ$2,职业列表!$B$1:$G$370,6,0))),"★","")</f>
        <v/>
      </c>
      <c r="JR35" s="929" t="str">
        <f>IF(ISNUMBER(SEARCH($A35,VLOOKUP(JR$2,职业列表!$B$1:$G$370,6,0))),"★","")</f>
        <v>★</v>
      </c>
      <c r="JS35" s="929" t="str">
        <f>IF(ISNUMBER(SEARCH($A35,VLOOKUP(JS$2,职业列表!$B$1:$G$370,6,0))),"★","")</f>
        <v/>
      </c>
      <c r="JT35" s="929" t="str">
        <f>IF(ISNUMBER(SEARCH($A35,VLOOKUP(JT$2,职业列表!$B$1:$G$370,6,0))),"★","")</f>
        <v/>
      </c>
      <c r="JU35" s="929" t="str">
        <f>IF(ISNUMBER(SEARCH($A35,VLOOKUP(JU$2,职业列表!$B$1:$G$370,6,0))),"★","")</f>
        <v/>
      </c>
      <c r="JV35" s="929" t="str">
        <f>IF(ISNUMBER(SEARCH($A35,VLOOKUP(JV$2,职业列表!$B$1:$G$370,6,0))),"★","")</f>
        <v/>
      </c>
      <c r="JW35" s="929" t="str">
        <f>IF(ISNUMBER(SEARCH($A35,VLOOKUP(JW$2,职业列表!$B$1:$G$370,6,0))),"★","")</f>
        <v/>
      </c>
      <c r="JX35" s="929" t="str">
        <f>IF(ISNUMBER(SEARCH($A35,VLOOKUP(JX$2,职业列表!$B$1:$G$370,6,0))),"★","")</f>
        <v/>
      </c>
      <c r="JY35" s="929" t="str">
        <f>IF(ISNUMBER(SEARCH($A35,VLOOKUP(JY$2,职业列表!$B$1:$G$370,6,0))),"★","")</f>
        <v>★</v>
      </c>
      <c r="JZ35" s="929" t="str">
        <f>IF(ISNUMBER(SEARCH($A35,VLOOKUP(JZ$2,职业列表!$B$1:$G$370,6,0))),"★","")</f>
        <v/>
      </c>
      <c r="KA35" s="929" t="str">
        <f>IF(ISNUMBER(SEARCH($A35,VLOOKUP(KA$2,职业列表!$B$1:$G$370,6,0))),"★","")</f>
        <v/>
      </c>
      <c r="KB35" s="929" t="str">
        <f>IF(ISNUMBER(SEARCH($A35,VLOOKUP(KB$2,职业列表!$B$1:$G$370,6,0))),"★","")</f>
        <v/>
      </c>
      <c r="KC35" s="929" t="str">
        <f>IF(ISNUMBER(SEARCH($A35,VLOOKUP(KC$2,职业列表!$B$1:$G$370,6,0))),"★","")</f>
        <v/>
      </c>
      <c r="KD35" s="929" t="str">
        <f>IF(ISNUMBER(SEARCH($A35,VLOOKUP(KD$2,职业列表!$B$1:$G$370,6,0))),"★","")</f>
        <v/>
      </c>
      <c r="KE35" s="929" t="str">
        <f>IF(ISNUMBER(SEARCH($A35,VLOOKUP(KE$2,职业列表!$B$1:$G$370,6,0))),"★","")</f>
        <v/>
      </c>
      <c r="KF35" s="929" t="str">
        <f>IF(ISNUMBER(SEARCH($A35,VLOOKUP(KF$2,职业列表!$B$1:$G$370,6,0))),"★","")</f>
        <v/>
      </c>
      <c r="KG35" s="929" t="str">
        <f>IF(ISNUMBER(SEARCH($A35,VLOOKUP(KG$2,职业列表!$B$1:$G$370,6,0))),"★","")</f>
        <v/>
      </c>
      <c r="KH35" s="929" t="str">
        <f>IF(ISNUMBER(SEARCH($A35,VLOOKUP(KH$2,职业列表!$B$1:$G$370,6,0))),"★","")</f>
        <v/>
      </c>
      <c r="KI35" s="929" t="str">
        <f>IF(ISNUMBER(SEARCH($A35,VLOOKUP(KI$2,职业列表!$B$1:$G$370,6,0))),"★","")</f>
        <v/>
      </c>
      <c r="KJ35" s="929" t="str">
        <f>IF(ISNUMBER(SEARCH($A35,VLOOKUP(KJ$2,职业列表!$B$1:$G$370,6,0))),"★","")</f>
        <v/>
      </c>
      <c r="KK35" s="929" t="str">
        <f>IF(ISNUMBER(SEARCH($A35,VLOOKUP(KK$2,职业列表!$B$1:$G$370,6,0))),"★","")</f>
        <v/>
      </c>
      <c r="KL35" s="929" t="str">
        <f>IF(ISNUMBER(SEARCH($A35,VLOOKUP(KL$2,职业列表!$B$1:$G$370,6,0))),"★","")</f>
        <v/>
      </c>
      <c r="KM35" s="929" t="str">
        <f>IF(ISNUMBER(SEARCH($A35,VLOOKUP(KM$2,职业列表!$B$1:$G$370,6,0))),"★","")</f>
        <v/>
      </c>
      <c r="KN35" s="929" t="str">
        <f>IF(ISNUMBER(SEARCH($A35,VLOOKUP(KN$2,职业列表!$B$1:$G$370,6,0))),"★","")</f>
        <v/>
      </c>
      <c r="KO35" s="929" t="str">
        <f>IF(ISNUMBER(SEARCH($A35,VLOOKUP(KO$2,职业列表!$B$1:$G$370,6,0))),"★","")</f>
        <v/>
      </c>
      <c r="KP35" s="929" t="str">
        <f>IF(ISNUMBER(SEARCH($A35,VLOOKUP(KP$2,职业列表!$B$1:$G$370,6,0))),"★","")</f>
        <v/>
      </c>
      <c r="KQ35" s="929" t="str">
        <f>IF(ISNUMBER(SEARCH($A35,VLOOKUP(KQ$2,职业列表!$B$1:$G$370,6,0))),"★","")</f>
        <v/>
      </c>
      <c r="KR35" s="929" t="str">
        <f>IF(ISNUMBER(SEARCH($A35,VLOOKUP(KR$2,职业列表!$B$1:$G$370,6,0))),"★","")</f>
        <v/>
      </c>
      <c r="KS35" s="929" t="str">
        <f>IF(ISNUMBER(SEARCH($A35,VLOOKUP(KS$2,职业列表!$B$1:$G$370,6,0))),"★","")</f>
        <v/>
      </c>
      <c r="KT35" s="929" t="str">
        <f>IF(ISNUMBER(SEARCH($A35,VLOOKUP(KT$2,职业列表!$B$1:$G$370,6,0))),"★","")</f>
        <v/>
      </c>
      <c r="KU35" s="929" t="str">
        <f>IF(ISNUMBER(SEARCH($A35,VLOOKUP(KU$2,职业列表!$B$1:$G$370,6,0))),"★","")</f>
        <v/>
      </c>
      <c r="KV35" s="929" t="str">
        <f>IF(ISNUMBER(SEARCH($A35,VLOOKUP(KV$2,职业列表!$B$1:$G$370,6,0))),"★","")</f>
        <v/>
      </c>
      <c r="KW35" s="929" t="str">
        <f>IF(ISNUMBER(SEARCH($A35,VLOOKUP(KW$2,职业列表!$B$1:$G$370,6,0))),"★","")</f>
        <v/>
      </c>
      <c r="KX35" s="929" t="str">
        <f>IF(ISNUMBER(SEARCH($A35,VLOOKUP(KX$2,职业列表!$B$1:$G$370,6,0))),"★","")</f>
        <v/>
      </c>
      <c r="KY35" s="929" t="str">
        <f>IF(ISNUMBER(SEARCH($A35,VLOOKUP(KY$2,职业列表!$B$1:$G$370,6,0))),"★","")</f>
        <v/>
      </c>
      <c r="KZ35" s="929" t="str">
        <f>IF(ISNUMBER(SEARCH($A35,VLOOKUP(KZ$2,职业列表!$B$1:$G$370,6,0))),"★","")</f>
        <v/>
      </c>
      <c r="LA35" s="929" t="str">
        <f>IF(ISNUMBER(SEARCH($A35,VLOOKUP(LA$2,职业列表!$B$1:$G$370,6,0))),"★","")</f>
        <v/>
      </c>
      <c r="LB35" s="929" t="str">
        <f>IF(ISNUMBER(SEARCH($A35,VLOOKUP(LB$2,职业列表!$B$1:$G$370,6,0))),"★","")</f>
        <v/>
      </c>
      <c r="LC35" s="929" t="str">
        <f>IF(ISNUMBER(SEARCH($A35,VLOOKUP(LC$2,职业列表!$B$1:$G$370,6,0))),"★","")</f>
        <v/>
      </c>
      <c r="LD35" s="929" t="str">
        <f>IF(ISNUMBER(SEARCH($A35,VLOOKUP(LD$2,职业列表!$B$1:$G$370,6,0))),"★","")</f>
        <v/>
      </c>
      <c r="LE35" s="929" t="str">
        <f>IF(ISNUMBER(SEARCH($A35,VLOOKUP(LE$2,职业列表!$B$1:$G$370,6,0))),"★","")</f>
        <v/>
      </c>
      <c r="LF35" s="929" t="str">
        <f>IF(ISNUMBER(SEARCH($A35,VLOOKUP(LF$2,职业列表!$B$1:$G$370,6,0))),"★","")</f>
        <v>★</v>
      </c>
      <c r="LG35" s="929" t="str">
        <f>IF(ISNUMBER(SEARCH($A35,VLOOKUP(LG$2,职业列表!$B$1:$G$370,6,0))),"★","")</f>
        <v/>
      </c>
      <c r="LH35" s="929" t="str">
        <f>IF(ISNUMBER(SEARCH($A35,VLOOKUP(LH$2,职业列表!$B$1:$G$370,6,0))),"★","")</f>
        <v/>
      </c>
      <c r="LI35" s="929" t="str">
        <f>IF(ISNUMBER(SEARCH($A35,VLOOKUP(LI$2,职业列表!$B$1:$G$370,6,0))),"★","")</f>
        <v/>
      </c>
      <c r="LJ35" s="929" t="str">
        <f>IF(ISNUMBER(SEARCH($A35,VLOOKUP(LJ$2,职业列表!$B$1:$G$370,6,0))),"★","")</f>
        <v/>
      </c>
      <c r="LK35" s="929" t="str">
        <f>IF(ISNUMBER(SEARCH($A35,VLOOKUP(LK$2,职业列表!$B$1:$G$370,6,0))),"★","")</f>
        <v/>
      </c>
      <c r="LL35" s="929" t="str">
        <f>IF(ISNUMBER(SEARCH($A35,VLOOKUP(LL$2,职业列表!$B$1:$G$370,6,0))),"★","")</f>
        <v>★</v>
      </c>
      <c r="LM35" s="929" t="str">
        <f>IF(ISNUMBER(SEARCH($A35,VLOOKUP(LM$2,职业列表!$B$1:$G$370,6,0))),"★","")</f>
        <v/>
      </c>
      <c r="LN35" s="929" t="str">
        <f>IF(ISNUMBER(SEARCH($A35,VLOOKUP(LN$2,职业列表!$B$1:$G$370,6,0))),"★","")</f>
        <v/>
      </c>
      <c r="LO35" s="929" t="str">
        <f>IF(ISNUMBER(SEARCH($A35,VLOOKUP(LO$2,职业列表!$B$1:$G$370,6,0))),"★","")</f>
        <v/>
      </c>
      <c r="LP35" s="929" t="str">
        <f>IF(ISNUMBER(SEARCH($A35,VLOOKUP(LP$2,职业列表!$B$1:$G$370,6,0))),"★","")</f>
        <v/>
      </c>
      <c r="LQ35" s="929" t="str">
        <f>IF(ISNUMBER(SEARCH($A35,VLOOKUP(LQ$2,职业列表!$B$1:$G$370,6,0))),"★","")</f>
        <v/>
      </c>
      <c r="LR35" s="929" t="str">
        <f>IF(ISNUMBER(SEARCH($A35,VLOOKUP(LR$2,职业列表!$B$1:$G$370,6,0))),"★","")</f>
        <v/>
      </c>
      <c r="LS35" s="929" t="str">
        <f>IF(ISNUMBER(SEARCH($A35,VLOOKUP(LS$2,职业列表!$B$1:$G$370,6,0))),"★","")</f>
        <v/>
      </c>
      <c r="LT35" s="929" t="str">
        <f>IF(ISNUMBER(SEARCH($A35,VLOOKUP(LT$2,职业列表!$B$1:$G$370,6,0))),"★","")</f>
        <v/>
      </c>
      <c r="LU35" s="929" t="str">
        <f>IF(ISNUMBER(SEARCH($A35,VLOOKUP(LU$2,职业列表!$B$1:$G$370,6,0))),"★","")</f>
        <v/>
      </c>
      <c r="LV35" s="929" t="str">
        <f>IF(ISNUMBER(SEARCH($A35,VLOOKUP(LV$2,职业列表!$B$1:$G$370,6,0))),"★","")</f>
        <v>★</v>
      </c>
      <c r="LW35" s="929" t="str">
        <f>IF(ISNUMBER(SEARCH($A35,VLOOKUP(LW$2,职业列表!$B$1:$G$370,6,0))),"★","")</f>
        <v/>
      </c>
      <c r="LX35" s="929" t="str">
        <f>IF(ISNUMBER(SEARCH($A35,VLOOKUP(LX$2,职业列表!$B$1:$G$370,6,0))),"★","")</f>
        <v/>
      </c>
      <c r="LY35" s="929" t="str">
        <f>IF(ISNUMBER(SEARCH($A35,VLOOKUP(LY$2,职业列表!$B$1:$G$370,6,0))),"★","")</f>
        <v/>
      </c>
      <c r="LZ35" s="929" t="str">
        <f>IF(ISNUMBER(SEARCH($A35,VLOOKUP(LZ$2,职业列表!$B$1:$G$370,6,0))),"★","")</f>
        <v/>
      </c>
      <c r="MA35" s="929" t="str">
        <f>IF(ISNUMBER(SEARCH($A35,VLOOKUP(MA$2,职业列表!$B$1:$G$370,6,0))),"★","")</f>
        <v/>
      </c>
      <c r="MB35" s="929" t="str">
        <f>IF(ISNUMBER(SEARCH($A35,VLOOKUP(MB$2,职业列表!$B$1:$G$370,6,0))),"★","")</f>
        <v/>
      </c>
      <c r="MC35" s="929" t="str">
        <f>IF(ISNUMBER(SEARCH($A35,VLOOKUP(MC$2,职业列表!$B$1:$G$370,6,0))),"★","")</f>
        <v/>
      </c>
      <c r="MD35" s="929" t="str">
        <f>IF(ISNUMBER(SEARCH($A35,VLOOKUP(MD$2,职业列表!$B$1:$G$370,6,0))),"★","")</f>
        <v/>
      </c>
      <c r="ME35" s="929" t="str">
        <f>IF(ISNUMBER(SEARCH($A35,VLOOKUP(ME$2,职业列表!$B$1:$G$370,6,0))),"★","")</f>
        <v/>
      </c>
      <c r="MF35" s="929" t="str">
        <f>IF(ISNUMBER(SEARCH($A35,VLOOKUP(MF$2,职业列表!$B$1:$G$370,6,0))),"★","")</f>
        <v/>
      </c>
      <c r="MG35" s="929" t="str">
        <f>IF(ISNUMBER(SEARCH($A35,VLOOKUP(MG$2,职业列表!$B$1:$G$370,6,0))),"★","")</f>
        <v/>
      </c>
      <c r="MH35" s="929" t="str">
        <f>IF(ISNUMBER(SEARCH($A35,VLOOKUP(MH$2,职业列表!$B$1:$G$370,6,0))),"★","")</f>
        <v/>
      </c>
      <c r="MI35" s="929" t="str">
        <f>IF(ISNUMBER(SEARCH($A35,VLOOKUP(MI$2,职业列表!$B$1:$G$370,6,0))),"★","")</f>
        <v/>
      </c>
      <c r="MJ35" s="929" t="str">
        <f>IF(ISNUMBER(SEARCH($A35,VLOOKUP(MJ$2,职业列表!$B$1:$G$370,6,0))),"★","")</f>
        <v/>
      </c>
      <c r="MK35" s="929" t="str">
        <f>IF(ISNUMBER(SEARCH($A35,VLOOKUP(MK$2,职业列表!$B$1:$G$370,6,0))),"★","")</f>
        <v/>
      </c>
      <c r="ML35" s="929" t="str">
        <f>IF(ISNUMBER(SEARCH($A35,VLOOKUP(ML$2,职业列表!$B$1:$G$370,6,0))),"★","")</f>
        <v/>
      </c>
      <c r="MM35" s="929" t="str">
        <f>IF(ISNUMBER(SEARCH($A35,VLOOKUP(MM$2,职业列表!$B$1:$G$370,6,0))),"★","")</f>
        <v/>
      </c>
      <c r="MN35" s="929" t="str">
        <f>IF(ISNUMBER(SEARCH($A35,VLOOKUP(MN$2,职业列表!$B$1:$G$370,6,0))),"★","")</f>
        <v/>
      </c>
      <c r="MO35" s="929" t="str">
        <f>IF(ISNUMBER(SEARCH($A35,VLOOKUP(MO$2,职业列表!$B$1:$G$370,6,0))),"★","")</f>
        <v/>
      </c>
      <c r="MP35" s="929" t="str">
        <f>IF(ISNUMBER(SEARCH($A35,VLOOKUP(MP$2,职业列表!$B$1:$G$370,6,0))),"★","")</f>
        <v/>
      </c>
      <c r="MQ35" s="929" t="str">
        <f>IF(ISNUMBER(SEARCH($A35,VLOOKUP(MQ$2,职业列表!$B$1:$G$370,6,0))),"★","")</f>
        <v/>
      </c>
      <c r="MR35" s="929" t="str">
        <f>IF(ISNUMBER(SEARCH($A35,VLOOKUP(MR$2,职业列表!$B$1:$G$370,6,0))),"★","")</f>
        <v/>
      </c>
      <c r="MS35" s="929" t="str">
        <f>IF(ISNUMBER(SEARCH($A35,VLOOKUP(MS$2,职业列表!$B$1:$G$370,6,0))),"★","")</f>
        <v/>
      </c>
      <c r="MT35" s="929" t="str">
        <f>IF(ISNUMBER(SEARCH($A35,VLOOKUP(MT$2,职业列表!$B$1:$G$370,6,0))),"★","")</f>
        <v/>
      </c>
      <c r="MU35" s="929" t="str">
        <f>IF(ISNUMBER(SEARCH($A35,VLOOKUP(MU$2,职业列表!$B$1:$G$370,6,0))),"★","")</f>
        <v/>
      </c>
      <c r="MV35" s="929" t="str">
        <f>IF(ISNUMBER(SEARCH($A35,VLOOKUP(MV$2,职业列表!$B$1:$G$370,6,0))),"★","")</f>
        <v/>
      </c>
      <c r="MW35" s="929" t="str">
        <f>IF(ISNUMBER(SEARCH($A35,VLOOKUP(MW$2,职业列表!$B$1:$G$370,6,0))),"★","")</f>
        <v/>
      </c>
      <c r="MX35" s="929" t="str">
        <f>IF(ISNUMBER(SEARCH($A35,VLOOKUP(MX$2,职业列表!$B$1:$G$370,6,0))),"★","")</f>
        <v/>
      </c>
      <c r="MY35" s="929" t="str">
        <f>IF(ISNUMBER(SEARCH($A35,VLOOKUP(MY$2,职业列表!$B$1:$G$370,6,0))),"★","")</f>
        <v/>
      </c>
      <c r="MZ35" s="929" t="str">
        <f>IF(ISNUMBER(SEARCH($A35,VLOOKUP(MZ$2,职业列表!$B$1:$G$370,6,0))),"★","")</f>
        <v>★</v>
      </c>
      <c r="NA35" s="929" t="str">
        <f>IF(ISNUMBER(SEARCH($A35,VLOOKUP(NA$2,职业列表!$B$1:$G$370,6,0))),"★","")</f>
        <v/>
      </c>
      <c r="NB35" s="929" t="str">
        <f>IF(ISNUMBER(SEARCH($A35,VLOOKUP(NB$2,职业列表!$B$1:$G$370,6,0))),"★","")</f>
        <v/>
      </c>
      <c r="NC35" s="929" t="str">
        <f>IF(ISNUMBER(SEARCH($A35,VLOOKUP(NC$2,职业列表!$B$1:$G$370,6,0))),"★","")</f>
        <v/>
      </c>
      <c r="ND35" s="929" t="str">
        <f>IF(ISNUMBER(SEARCH($A35,VLOOKUP(ND$2,职业列表!$B$1:$G$370,6,0))),"★","")</f>
        <v/>
      </c>
      <c r="NE35" s="929" t="str">
        <f>IF(ISNUMBER(SEARCH($A35,VLOOKUP(NE$2,职业列表!$B$1:$G$370,6,0))),"★","")</f>
        <v/>
      </c>
    </row>
    <row r="36" customFormat="1" spans="1:369">
      <c r="A36" s="932" t="s">
        <v>150</v>
      </c>
      <c r="B36" s="939" t="str">
        <f>IF(OR(A36="说服",A36="话术",A36="取悦",A36="恐吓"),"☯",IF(ISNUMBER(SEARCH(A36,VLOOKUP(IX$2,职业列表!$B$1:$G$370,6,0))),"★",""))</f>
        <v/>
      </c>
      <c r="C36" s="940" t="str">
        <f>IF(ISTEXT(IFERROR(VLOOKUP(A36,职业列表!I3:J10,1,FALSE),0)),"★","")</f>
        <v/>
      </c>
      <c r="D36" s="939"/>
      <c r="E36" s="939" t="s">
        <v>74</v>
      </c>
      <c r="F36" s="939"/>
      <c r="G36" s="939"/>
      <c r="H36" s="939"/>
      <c r="I36" s="939"/>
      <c r="J36" s="939" t="s">
        <v>74</v>
      </c>
      <c r="K36" s="939"/>
      <c r="L36" s="939"/>
      <c r="M36" s="939"/>
      <c r="N36" s="939"/>
      <c r="O36" s="939"/>
      <c r="P36" s="939"/>
      <c r="Q36" s="939" t="s">
        <v>74</v>
      </c>
      <c r="R36" s="939"/>
      <c r="S36" s="939"/>
      <c r="T36" s="939"/>
      <c r="U36" s="939"/>
      <c r="V36" s="939"/>
      <c r="W36" s="939" t="s">
        <v>74</v>
      </c>
      <c r="X36" s="939"/>
      <c r="Y36" s="939"/>
      <c r="Z36" s="939"/>
      <c r="AA36" s="939"/>
      <c r="AB36" s="939" t="s">
        <v>74</v>
      </c>
      <c r="AC36" s="939"/>
      <c r="AD36" s="939"/>
      <c r="AE36" s="939"/>
      <c r="AF36" s="939"/>
      <c r="AG36" s="939"/>
      <c r="AH36" s="939"/>
      <c r="AI36" s="939"/>
      <c r="AJ36" s="939"/>
      <c r="AK36" s="939"/>
      <c r="AL36" s="939"/>
      <c r="AM36" s="939"/>
      <c r="AN36" s="939" t="s">
        <v>74</v>
      </c>
      <c r="AO36" s="939"/>
      <c r="AP36" s="939"/>
      <c r="AQ36" s="939"/>
      <c r="AR36" s="939"/>
      <c r="AS36" s="939"/>
      <c r="AT36" s="939"/>
      <c r="AU36" s="939" t="s">
        <v>74</v>
      </c>
      <c r="AV36" s="939"/>
      <c r="AW36" s="939"/>
      <c r="AX36" s="939"/>
      <c r="AY36" s="939"/>
      <c r="AZ36" s="939"/>
      <c r="BA36" s="939"/>
      <c r="BB36" s="939"/>
      <c r="BC36" s="939" t="s">
        <v>74</v>
      </c>
      <c r="BD36" s="954"/>
      <c r="BE36" s="939"/>
      <c r="BF36" s="939" t="s">
        <v>74</v>
      </c>
      <c r="BG36" s="939"/>
      <c r="BH36" s="939"/>
      <c r="BI36" s="939"/>
      <c r="BJ36" s="939"/>
      <c r="BK36" s="939"/>
      <c r="BL36" s="939"/>
      <c r="BM36" s="939" t="s">
        <v>74</v>
      </c>
      <c r="BN36" s="939"/>
      <c r="BO36" s="939"/>
      <c r="BP36" s="939"/>
      <c r="BQ36" s="939"/>
      <c r="BR36" s="939"/>
      <c r="BS36" s="939"/>
      <c r="BT36" s="939" t="s">
        <v>74</v>
      </c>
      <c r="BU36" s="939" t="s">
        <v>74</v>
      </c>
      <c r="BV36" s="939"/>
      <c r="BW36" s="939"/>
      <c r="BX36" s="939"/>
      <c r="BY36" s="939"/>
      <c r="BZ36" s="939"/>
      <c r="CA36" s="939" t="s">
        <v>74</v>
      </c>
      <c r="CB36" s="939"/>
      <c r="CC36" s="939"/>
      <c r="CD36" s="939"/>
      <c r="CE36" s="939"/>
      <c r="CF36" s="939"/>
      <c r="CG36" s="939"/>
      <c r="CH36" s="939"/>
      <c r="CI36" s="939"/>
      <c r="CJ36" s="939"/>
      <c r="CK36" s="939"/>
      <c r="CL36" s="939"/>
      <c r="CM36" s="939"/>
      <c r="CN36" s="939"/>
      <c r="CO36" s="939"/>
      <c r="CP36" s="939"/>
      <c r="CQ36" s="939"/>
      <c r="CR36" s="939"/>
      <c r="CS36" s="939"/>
      <c r="CT36" s="939"/>
      <c r="CU36" s="939"/>
      <c r="CV36" s="939"/>
      <c r="CW36" s="939"/>
      <c r="CX36" s="939"/>
      <c r="CY36" s="939"/>
      <c r="CZ36" s="939"/>
      <c r="DA36" s="939"/>
      <c r="DB36" s="939"/>
      <c r="DC36" s="939"/>
      <c r="DD36" s="939"/>
      <c r="DE36" s="939" t="s">
        <v>74</v>
      </c>
      <c r="DF36" s="939"/>
      <c r="DG36" s="939"/>
      <c r="DH36" s="939"/>
      <c r="DI36" s="939"/>
      <c r="DJ36" s="939"/>
      <c r="DK36" s="939"/>
      <c r="DL36" s="939"/>
      <c r="DM36" s="939"/>
      <c r="DN36" s="939"/>
      <c r="DO36" s="939" t="s">
        <v>74</v>
      </c>
      <c r="DP36" s="939" t="s">
        <v>74</v>
      </c>
      <c r="DQ36" s="939" t="s">
        <v>74</v>
      </c>
      <c r="DR36" s="939" t="s">
        <v>74</v>
      </c>
      <c r="DS36" s="939"/>
      <c r="DT36" s="939"/>
      <c r="DU36" s="939"/>
      <c r="DV36" s="939"/>
      <c r="DW36" s="939"/>
      <c r="DX36" s="939"/>
      <c r="DY36" s="939"/>
      <c r="DZ36" s="939"/>
      <c r="EA36" s="939"/>
      <c r="EB36" s="939"/>
      <c r="EC36" s="939"/>
      <c r="ED36" s="939"/>
      <c r="EE36" s="939"/>
      <c r="EF36" s="939"/>
      <c r="EG36" s="939"/>
      <c r="EH36" s="939"/>
      <c r="EI36" s="939"/>
      <c r="EJ36" s="939" t="s">
        <v>2716</v>
      </c>
      <c r="EK36" s="939"/>
      <c r="EL36" s="939"/>
      <c r="EM36" s="939"/>
      <c r="EN36" s="939" t="s">
        <v>74</v>
      </c>
      <c r="EO36" s="939"/>
      <c r="EP36" s="939"/>
      <c r="EQ36" s="939"/>
      <c r="ER36" s="939"/>
      <c r="ES36" s="939"/>
      <c r="ET36" s="939"/>
      <c r="EU36" s="939"/>
      <c r="EV36" s="939"/>
      <c r="EW36" s="939"/>
      <c r="EX36" s="939"/>
      <c r="EY36" s="939"/>
      <c r="EZ36" s="939"/>
      <c r="FA36" s="939"/>
      <c r="FB36" s="939" t="s">
        <v>74</v>
      </c>
      <c r="FC36" s="939"/>
      <c r="FD36" s="939"/>
      <c r="FE36" s="939"/>
      <c r="FF36" s="939"/>
      <c r="FG36" s="939"/>
      <c r="FH36" s="939"/>
      <c r="FI36" s="939" t="s">
        <v>74</v>
      </c>
      <c r="FJ36" s="939"/>
      <c r="FK36" s="939"/>
      <c r="FL36" s="939"/>
      <c r="FM36" s="939"/>
      <c r="FN36" s="939"/>
      <c r="FO36" s="939" t="s">
        <v>74</v>
      </c>
      <c r="FP36" s="939"/>
      <c r="FQ36" s="939"/>
      <c r="FR36" s="939"/>
      <c r="FS36" s="939"/>
      <c r="FT36" s="939" t="s">
        <v>74</v>
      </c>
      <c r="FU36" s="939" t="s">
        <v>74</v>
      </c>
      <c r="FV36" s="939"/>
      <c r="FW36" s="939"/>
      <c r="FX36" s="939" t="s">
        <v>74</v>
      </c>
      <c r="FY36" s="939"/>
      <c r="FZ36" s="939"/>
      <c r="GA36" s="939"/>
      <c r="GB36" s="939"/>
      <c r="GC36" s="939"/>
      <c r="GD36" s="939"/>
      <c r="GE36" s="939" t="s">
        <v>74</v>
      </c>
      <c r="GF36" s="939"/>
      <c r="GG36" s="939"/>
      <c r="GH36" s="939"/>
      <c r="GI36" s="939"/>
      <c r="GJ36" s="939" t="s">
        <v>74</v>
      </c>
      <c r="GK36" s="939"/>
      <c r="GL36" s="939"/>
      <c r="GM36" s="939"/>
      <c r="GN36" s="939"/>
      <c r="GO36" s="939"/>
      <c r="GP36" s="939"/>
      <c r="GQ36" s="939"/>
      <c r="GR36" s="939"/>
      <c r="GS36" s="939"/>
      <c r="GT36" s="939"/>
      <c r="GU36" s="939"/>
      <c r="GV36" s="939"/>
      <c r="GW36" s="939"/>
      <c r="GX36" s="939"/>
      <c r="GY36" s="939"/>
      <c r="GZ36" s="939"/>
      <c r="HA36" s="939"/>
      <c r="HB36" s="939"/>
      <c r="HC36" s="939"/>
      <c r="HD36" s="939" t="s">
        <v>74</v>
      </c>
      <c r="HE36" s="939"/>
      <c r="HF36" s="939"/>
      <c r="HG36" s="939"/>
      <c r="HH36" s="939"/>
      <c r="HI36" s="939"/>
      <c r="HJ36" s="939"/>
      <c r="HK36" s="939"/>
      <c r="HL36" s="939"/>
      <c r="HM36" s="939"/>
      <c r="HN36" s="939"/>
      <c r="HO36" s="939"/>
      <c r="HP36" s="939"/>
      <c r="HQ36" s="939"/>
      <c r="HR36" s="939"/>
      <c r="HS36" s="939"/>
      <c r="HT36" s="939"/>
      <c r="HU36" s="939"/>
      <c r="HV36" s="939"/>
      <c r="HW36" s="939"/>
      <c r="HX36" s="990"/>
      <c r="HY36" s="1012"/>
      <c r="HZ36" s="1012"/>
      <c r="IA36" s="1012"/>
      <c r="IB36" s="1012"/>
      <c r="IC36" s="1013"/>
      <c r="ID36" s="990" t="s">
        <v>74</v>
      </c>
      <c r="IE36" s="939" t="s">
        <v>74</v>
      </c>
      <c r="IF36" s="1012"/>
      <c r="IG36" s="1012"/>
      <c r="IH36" s="1012"/>
      <c r="II36" s="1012"/>
      <c r="IJ36" s="1012"/>
      <c r="IK36" s="1012"/>
      <c r="IL36" s="1012"/>
      <c r="IM36" s="1012"/>
      <c r="IN36" s="939" t="s">
        <v>74</v>
      </c>
      <c r="IO36" s="1012"/>
      <c r="IP36" s="1013"/>
      <c r="IQ36" s="1013"/>
      <c r="IR36" s="1012"/>
      <c r="IS36" s="1012"/>
      <c r="IT36" s="1012"/>
      <c r="IU36" s="1012"/>
      <c r="IV36" s="1012"/>
      <c r="IW36" s="929"/>
      <c r="IX36" s="929" t="str">
        <f>IF(ISNUMBER(SEARCH($A36,VLOOKUP(IX$2,职业列表!$B$1:$G$370,6,0))),"★","")</f>
        <v/>
      </c>
      <c r="IY36" s="929" t="str">
        <f>IF(ISNUMBER(SEARCH($A36,VLOOKUP(IY$2,职业列表!$B$1:$G$370,6,0))),"★","")</f>
        <v/>
      </c>
      <c r="IZ36" s="929" t="str">
        <f>IF(ISNUMBER(SEARCH($A36,VLOOKUP(IZ$2,职业列表!$B$1:$G$370,6,0))),"★","")</f>
        <v>★</v>
      </c>
      <c r="JA36" s="929" t="str">
        <f>IF(ISNUMBER(SEARCH($A36,VLOOKUP(JA$2,职业列表!$B$1:$G$370,6,0))),"★","")</f>
        <v/>
      </c>
      <c r="JB36" s="929" t="str">
        <f>IF(ISNUMBER(SEARCH($A36,VLOOKUP(JB$2,职业列表!$B$1:$G$370,6,0))),"★","")</f>
        <v/>
      </c>
      <c r="JC36" s="929" t="str">
        <f>IF(ISNUMBER(SEARCH($A36,VLOOKUP(JC$2,职业列表!$B$1:$G$370,6,0))),"★","")</f>
        <v>★</v>
      </c>
      <c r="JD36" s="929" t="str">
        <f>IF(ISNUMBER(SEARCH($A36,VLOOKUP(JD$2,职业列表!$B$1:$G$370,6,0))),"★","")</f>
        <v/>
      </c>
      <c r="JE36" s="929" t="str">
        <f>IF(ISNUMBER(SEARCH($A36,VLOOKUP(JE$2,职业列表!$B$1:$G$370,6,0))),"★","")</f>
        <v/>
      </c>
      <c r="JF36" s="929" t="str">
        <f>IF(ISNUMBER(SEARCH($A36,VLOOKUP(JF$2,职业列表!$B$1:$G$370,6,0))),"★","")</f>
        <v/>
      </c>
      <c r="JG36" s="929" t="str">
        <f>IF(ISNUMBER(SEARCH($A36,VLOOKUP(JG$2,职业列表!$B$1:$G$370,6,0))),"★","")</f>
        <v/>
      </c>
      <c r="JH36" s="929" t="str">
        <f>IF(ISNUMBER(SEARCH($A36,VLOOKUP(JH$2,职业列表!$B$1:$G$370,6,0))),"★","")</f>
        <v/>
      </c>
      <c r="JI36" s="929" t="str">
        <f>IF(ISNUMBER(SEARCH($A36,VLOOKUP(JI$2,职业列表!$B$1:$G$370,6,0))),"★","")</f>
        <v/>
      </c>
      <c r="JJ36" s="929" t="str">
        <f>IF(ISNUMBER(SEARCH($A36,VLOOKUP(JJ$2,职业列表!$B$1:$G$370,6,0))),"★","")</f>
        <v/>
      </c>
      <c r="JK36" s="929" t="str">
        <f>IF(ISNUMBER(SEARCH($A36,VLOOKUP(JK$2,职业列表!$B$1:$G$370,6,0))),"★","")</f>
        <v/>
      </c>
      <c r="JL36" s="929" t="str">
        <f>IF(ISNUMBER(SEARCH($A36,VLOOKUP(JL$2,职业列表!$B$1:$G$370,6,0))),"★","")</f>
        <v/>
      </c>
      <c r="JM36" s="929" t="str">
        <f>IF(ISNUMBER(SEARCH($A36,VLOOKUP(JM$2,职业列表!$B$1:$G$370,6,0))),"★","")</f>
        <v/>
      </c>
      <c r="JN36" s="929" t="str">
        <f>IF(ISNUMBER(SEARCH($A36,VLOOKUP(JN$2,职业列表!$B$1:$G$370,6,0))),"★","")</f>
        <v/>
      </c>
      <c r="JO36" s="929" t="str">
        <f>IF(ISNUMBER(SEARCH($A36,VLOOKUP(JO$2,职业列表!$B$1:$G$370,6,0))),"★","")</f>
        <v/>
      </c>
      <c r="JP36" s="929" t="str">
        <f>IF(ISNUMBER(SEARCH($A36,VLOOKUP(JP$2,职业列表!$B$1:$G$370,6,0))),"★","")</f>
        <v/>
      </c>
      <c r="JQ36" s="929" t="str">
        <f>IF(ISNUMBER(SEARCH($A36,VLOOKUP(JQ$2,职业列表!$B$1:$G$370,6,0))),"★","")</f>
        <v/>
      </c>
      <c r="JR36" s="929" t="str">
        <f>IF(ISNUMBER(SEARCH($A36,VLOOKUP(JR$2,职业列表!$B$1:$G$370,6,0))),"★","")</f>
        <v/>
      </c>
      <c r="JS36" s="929" t="str">
        <f>IF(ISNUMBER(SEARCH($A36,VLOOKUP(JS$2,职业列表!$B$1:$G$370,6,0))),"★","")</f>
        <v/>
      </c>
      <c r="JT36" s="929" t="str">
        <f>IF(ISNUMBER(SEARCH($A36,VLOOKUP(JT$2,职业列表!$B$1:$G$370,6,0))),"★","")</f>
        <v>★</v>
      </c>
      <c r="JU36" s="929" t="str">
        <f>IF(ISNUMBER(SEARCH($A36,VLOOKUP(JU$2,职业列表!$B$1:$G$370,6,0))),"★","")</f>
        <v/>
      </c>
      <c r="JV36" s="929" t="str">
        <f>IF(ISNUMBER(SEARCH($A36,VLOOKUP(JV$2,职业列表!$B$1:$G$370,6,0))),"★","")</f>
        <v/>
      </c>
      <c r="JW36" s="929" t="str">
        <f>IF(ISNUMBER(SEARCH($A36,VLOOKUP(JW$2,职业列表!$B$1:$G$370,6,0))),"★","")</f>
        <v/>
      </c>
      <c r="JX36" s="929" t="str">
        <f>IF(ISNUMBER(SEARCH($A36,VLOOKUP(JX$2,职业列表!$B$1:$G$370,6,0))),"★","")</f>
        <v/>
      </c>
      <c r="JY36" s="929" t="str">
        <f>IF(ISNUMBER(SEARCH($A36,VLOOKUP(JY$2,职业列表!$B$1:$G$370,6,0))),"★","")</f>
        <v/>
      </c>
      <c r="JZ36" s="929" t="str">
        <f>IF(ISNUMBER(SEARCH($A36,VLOOKUP(JZ$2,职业列表!$B$1:$G$370,6,0))),"★","")</f>
        <v/>
      </c>
      <c r="KA36" s="929" t="str">
        <f>IF(ISNUMBER(SEARCH($A36,VLOOKUP(KA$2,职业列表!$B$1:$G$370,6,0))),"★","")</f>
        <v/>
      </c>
      <c r="KB36" s="929" t="str">
        <f>IF(ISNUMBER(SEARCH($A36,VLOOKUP(KB$2,职业列表!$B$1:$G$370,6,0))),"★","")</f>
        <v/>
      </c>
      <c r="KC36" s="929" t="str">
        <f>IF(ISNUMBER(SEARCH($A36,VLOOKUP(KC$2,职业列表!$B$1:$G$370,6,0))),"★","")</f>
        <v/>
      </c>
      <c r="KD36" s="929" t="str">
        <f>IF(ISNUMBER(SEARCH($A36,VLOOKUP(KD$2,职业列表!$B$1:$G$370,6,0))),"★","")</f>
        <v>★</v>
      </c>
      <c r="KE36" s="929" t="str">
        <f>IF(ISNUMBER(SEARCH($A36,VLOOKUP(KE$2,职业列表!$B$1:$G$370,6,0))),"★","")</f>
        <v/>
      </c>
      <c r="KF36" s="929" t="str">
        <f>IF(ISNUMBER(SEARCH($A36,VLOOKUP(KF$2,职业列表!$B$1:$G$370,6,0))),"★","")</f>
        <v/>
      </c>
      <c r="KG36" s="929" t="str">
        <f>IF(ISNUMBER(SEARCH($A36,VLOOKUP(KG$2,职业列表!$B$1:$G$370,6,0))),"★","")</f>
        <v/>
      </c>
      <c r="KH36" s="929" t="str">
        <f>IF(ISNUMBER(SEARCH($A36,VLOOKUP(KH$2,职业列表!$B$1:$G$370,6,0))),"★","")</f>
        <v/>
      </c>
      <c r="KI36" s="929" t="str">
        <f>IF(ISNUMBER(SEARCH($A36,VLOOKUP(KI$2,职业列表!$B$1:$G$370,6,0))),"★","")</f>
        <v/>
      </c>
      <c r="KJ36" s="929" t="str">
        <f>IF(ISNUMBER(SEARCH($A36,VLOOKUP(KJ$2,职业列表!$B$1:$G$370,6,0))),"★","")</f>
        <v/>
      </c>
      <c r="KK36" s="929" t="str">
        <f>IF(ISNUMBER(SEARCH($A36,VLOOKUP(KK$2,职业列表!$B$1:$G$370,6,0))),"★","")</f>
        <v/>
      </c>
      <c r="KL36" s="929" t="str">
        <f>IF(ISNUMBER(SEARCH($A36,VLOOKUP(KL$2,职业列表!$B$1:$G$370,6,0))),"★","")</f>
        <v/>
      </c>
      <c r="KM36" s="929" t="str">
        <f>IF(ISNUMBER(SEARCH($A36,VLOOKUP(KM$2,职业列表!$B$1:$G$370,6,0))),"★","")</f>
        <v>★</v>
      </c>
      <c r="KN36" s="929" t="str">
        <f>IF(ISNUMBER(SEARCH($A36,VLOOKUP(KN$2,职业列表!$B$1:$G$370,6,0))),"★","")</f>
        <v/>
      </c>
      <c r="KO36" s="929" t="str">
        <f>IF(ISNUMBER(SEARCH($A36,VLOOKUP(KO$2,职业列表!$B$1:$G$370,6,0))),"★","")</f>
        <v/>
      </c>
      <c r="KP36" s="929" t="str">
        <f>IF(ISNUMBER(SEARCH($A36,VLOOKUP(KP$2,职业列表!$B$1:$G$370,6,0))),"★","")</f>
        <v/>
      </c>
      <c r="KQ36" s="929" t="str">
        <f>IF(ISNUMBER(SEARCH($A36,VLOOKUP(KQ$2,职业列表!$B$1:$G$370,6,0))),"★","")</f>
        <v/>
      </c>
      <c r="KR36" s="929" t="str">
        <f>IF(ISNUMBER(SEARCH($A36,VLOOKUP(KR$2,职业列表!$B$1:$G$370,6,0))),"★","")</f>
        <v/>
      </c>
      <c r="KS36" s="929" t="str">
        <f>IF(ISNUMBER(SEARCH($A36,VLOOKUP(KS$2,职业列表!$B$1:$G$370,6,0))),"★","")</f>
        <v/>
      </c>
      <c r="KT36" s="929" t="str">
        <f>IF(ISNUMBER(SEARCH($A36,VLOOKUP(KT$2,职业列表!$B$1:$G$370,6,0))),"★","")</f>
        <v/>
      </c>
      <c r="KU36" s="929" t="str">
        <f>IF(ISNUMBER(SEARCH($A36,VLOOKUP(KU$2,职业列表!$B$1:$G$370,6,0))),"★","")</f>
        <v/>
      </c>
      <c r="KV36" s="929" t="str">
        <f>IF(ISNUMBER(SEARCH($A36,VLOOKUP(KV$2,职业列表!$B$1:$G$370,6,0))),"★","")</f>
        <v/>
      </c>
      <c r="KW36" s="929" t="str">
        <f>IF(ISNUMBER(SEARCH($A36,VLOOKUP(KW$2,职业列表!$B$1:$G$370,6,0))),"★","")</f>
        <v/>
      </c>
      <c r="KX36" s="929" t="str">
        <f>IF(ISNUMBER(SEARCH($A36,VLOOKUP(KX$2,职业列表!$B$1:$G$370,6,0))),"★","")</f>
        <v/>
      </c>
      <c r="KY36" s="929" t="str">
        <f>IF(ISNUMBER(SEARCH($A36,VLOOKUP(KY$2,职业列表!$B$1:$G$370,6,0))),"★","")</f>
        <v/>
      </c>
      <c r="KZ36" s="929" t="str">
        <f>IF(ISNUMBER(SEARCH($A36,VLOOKUP(KZ$2,职业列表!$B$1:$G$370,6,0))),"★","")</f>
        <v/>
      </c>
      <c r="LA36" s="929" t="str">
        <f>IF(ISNUMBER(SEARCH($A36,VLOOKUP(LA$2,职业列表!$B$1:$G$370,6,0))),"★","")</f>
        <v/>
      </c>
      <c r="LB36" s="929" t="str">
        <f>IF(ISNUMBER(SEARCH($A36,VLOOKUP(LB$2,职业列表!$B$1:$G$370,6,0))),"★","")</f>
        <v/>
      </c>
      <c r="LC36" s="929" t="str">
        <f>IF(ISNUMBER(SEARCH($A36,VLOOKUP(LC$2,职业列表!$B$1:$G$370,6,0))),"★","")</f>
        <v/>
      </c>
      <c r="LD36" s="929" t="str">
        <f>IF(ISNUMBER(SEARCH($A36,VLOOKUP(LD$2,职业列表!$B$1:$G$370,6,0))),"★","")</f>
        <v>★</v>
      </c>
      <c r="LE36" s="929" t="str">
        <f>IF(ISNUMBER(SEARCH($A36,VLOOKUP(LE$2,职业列表!$B$1:$G$370,6,0))),"★","")</f>
        <v/>
      </c>
      <c r="LF36" s="929" t="str">
        <f>IF(ISNUMBER(SEARCH($A36,VLOOKUP(LF$2,职业列表!$B$1:$G$370,6,0))),"★","")</f>
        <v/>
      </c>
      <c r="LG36" s="929" t="str">
        <f>IF(ISNUMBER(SEARCH($A36,VLOOKUP(LG$2,职业列表!$B$1:$G$370,6,0))),"★","")</f>
        <v/>
      </c>
      <c r="LH36" s="929" t="str">
        <f>IF(ISNUMBER(SEARCH($A36,VLOOKUP(LH$2,职业列表!$B$1:$G$370,6,0))),"★","")</f>
        <v/>
      </c>
      <c r="LI36" s="929" t="str">
        <f>IF(ISNUMBER(SEARCH($A36,VLOOKUP(LI$2,职业列表!$B$1:$G$370,6,0))),"★","")</f>
        <v/>
      </c>
      <c r="LJ36" s="929" t="str">
        <f>IF(ISNUMBER(SEARCH($A36,VLOOKUP(LJ$2,职业列表!$B$1:$G$370,6,0))),"★","")</f>
        <v/>
      </c>
      <c r="LK36" s="929" t="str">
        <f>IF(ISNUMBER(SEARCH($A36,VLOOKUP(LK$2,职业列表!$B$1:$G$370,6,0))),"★","")</f>
        <v>★</v>
      </c>
      <c r="LL36" s="929" t="str">
        <f>IF(ISNUMBER(SEARCH($A36,VLOOKUP(LL$2,职业列表!$B$1:$G$370,6,0))),"★","")</f>
        <v/>
      </c>
      <c r="LM36" s="929" t="str">
        <f>IF(ISNUMBER(SEARCH($A36,VLOOKUP(LM$2,职业列表!$B$1:$G$370,6,0))),"★","")</f>
        <v>★</v>
      </c>
      <c r="LN36" s="929" t="str">
        <f>IF(ISNUMBER(SEARCH($A36,VLOOKUP(LN$2,职业列表!$B$1:$G$370,6,0))),"★","")</f>
        <v/>
      </c>
      <c r="LO36" s="929" t="str">
        <f>IF(ISNUMBER(SEARCH($A36,VLOOKUP(LO$2,职业列表!$B$1:$G$370,6,0))),"★","")</f>
        <v/>
      </c>
      <c r="LP36" s="929" t="str">
        <f>IF(ISNUMBER(SEARCH($A36,VLOOKUP(LP$2,职业列表!$B$1:$G$370,6,0))),"★","")</f>
        <v/>
      </c>
      <c r="LQ36" s="929" t="str">
        <f>IF(ISNUMBER(SEARCH($A36,VLOOKUP(LQ$2,职业列表!$B$1:$G$370,6,0))),"★","")</f>
        <v/>
      </c>
      <c r="LR36" s="929" t="str">
        <f>IF(ISNUMBER(SEARCH($A36,VLOOKUP(LR$2,职业列表!$B$1:$G$370,6,0))),"★","")</f>
        <v/>
      </c>
      <c r="LS36" s="929" t="str">
        <f>IF(ISNUMBER(SEARCH($A36,VLOOKUP(LS$2,职业列表!$B$1:$G$370,6,0))),"★","")</f>
        <v>★</v>
      </c>
      <c r="LT36" s="929" t="str">
        <f>IF(ISNUMBER(SEARCH($A36,VLOOKUP(LT$2,职业列表!$B$1:$G$370,6,0))),"★","")</f>
        <v/>
      </c>
      <c r="LU36" s="929" t="str">
        <f>IF(ISNUMBER(SEARCH($A36,VLOOKUP(LU$2,职业列表!$B$1:$G$370,6,0))),"★","")</f>
        <v/>
      </c>
      <c r="LV36" s="929" t="str">
        <f>IF(ISNUMBER(SEARCH($A36,VLOOKUP(LV$2,职业列表!$B$1:$G$370,6,0))),"★","")</f>
        <v/>
      </c>
      <c r="LW36" s="929" t="str">
        <f>IF(ISNUMBER(SEARCH($A36,VLOOKUP(LW$2,职业列表!$B$1:$G$370,6,0))),"★","")</f>
        <v/>
      </c>
      <c r="LX36" s="929" t="str">
        <f>IF(ISNUMBER(SEARCH($A36,VLOOKUP(LX$2,职业列表!$B$1:$G$370,6,0))),"★","")</f>
        <v/>
      </c>
      <c r="LY36" s="929" t="str">
        <f>IF(ISNUMBER(SEARCH($A36,VLOOKUP(LY$2,职业列表!$B$1:$G$370,6,0))),"★","")</f>
        <v/>
      </c>
      <c r="LZ36" s="929" t="str">
        <f>IF(ISNUMBER(SEARCH($A36,VLOOKUP(LZ$2,职业列表!$B$1:$G$370,6,0))),"★","")</f>
        <v/>
      </c>
      <c r="MA36" s="929" t="str">
        <f>IF(ISNUMBER(SEARCH($A36,VLOOKUP(MA$2,职业列表!$B$1:$G$370,6,0))),"★","")</f>
        <v>★</v>
      </c>
      <c r="MB36" s="929" t="str">
        <f>IF(ISNUMBER(SEARCH($A36,VLOOKUP(MB$2,职业列表!$B$1:$G$370,6,0))),"★","")</f>
        <v/>
      </c>
      <c r="MC36" s="929" t="str">
        <f>IF(ISNUMBER(SEARCH($A36,VLOOKUP(MC$2,职业列表!$B$1:$G$370,6,0))),"★","")</f>
        <v/>
      </c>
      <c r="MD36" s="929" t="str">
        <f>IF(ISNUMBER(SEARCH($A36,VLOOKUP(MD$2,职业列表!$B$1:$G$370,6,0))),"★","")</f>
        <v/>
      </c>
      <c r="ME36" s="929" t="str">
        <f>IF(ISNUMBER(SEARCH($A36,VLOOKUP(ME$2,职业列表!$B$1:$G$370,6,0))),"★","")</f>
        <v/>
      </c>
      <c r="MF36" s="929" t="str">
        <f>IF(ISNUMBER(SEARCH($A36,VLOOKUP(MF$2,职业列表!$B$1:$G$370,6,0))),"★","")</f>
        <v>★</v>
      </c>
      <c r="MG36" s="929" t="str">
        <f>IF(ISNUMBER(SEARCH($A36,VLOOKUP(MG$2,职业列表!$B$1:$G$370,6,0))),"★","")</f>
        <v/>
      </c>
      <c r="MH36" s="929" t="str">
        <f>IF(ISNUMBER(SEARCH($A36,VLOOKUP(MH$2,职业列表!$B$1:$G$370,6,0))),"★","")</f>
        <v/>
      </c>
      <c r="MI36" s="929" t="str">
        <f>IF(ISNUMBER(SEARCH($A36,VLOOKUP(MI$2,职业列表!$B$1:$G$370,6,0))),"★","")</f>
        <v/>
      </c>
      <c r="MJ36" s="929" t="str">
        <f>IF(ISNUMBER(SEARCH($A36,VLOOKUP(MJ$2,职业列表!$B$1:$G$370,6,0))),"★","")</f>
        <v/>
      </c>
      <c r="MK36" s="929" t="str">
        <f>IF(ISNUMBER(SEARCH($A36,VLOOKUP(MK$2,职业列表!$B$1:$G$370,6,0))),"★","")</f>
        <v/>
      </c>
      <c r="ML36" s="929" t="str">
        <f>IF(ISNUMBER(SEARCH($A36,VLOOKUP(ML$2,职业列表!$B$1:$G$370,6,0))),"★","")</f>
        <v/>
      </c>
      <c r="MM36" s="929" t="str">
        <f>IF(ISNUMBER(SEARCH($A36,VLOOKUP(MM$2,职业列表!$B$1:$G$370,6,0))),"★","")</f>
        <v/>
      </c>
      <c r="MN36" s="929" t="str">
        <f>IF(ISNUMBER(SEARCH($A36,VLOOKUP(MN$2,职业列表!$B$1:$G$370,6,0))),"★","")</f>
        <v/>
      </c>
      <c r="MO36" s="929" t="str">
        <f>IF(ISNUMBER(SEARCH($A36,VLOOKUP(MO$2,职业列表!$B$1:$G$370,6,0))),"★","")</f>
        <v/>
      </c>
      <c r="MP36" s="929" t="str">
        <f>IF(ISNUMBER(SEARCH($A36,VLOOKUP(MP$2,职业列表!$B$1:$G$370,6,0))),"★","")</f>
        <v/>
      </c>
      <c r="MQ36" s="929" t="str">
        <f>IF(ISNUMBER(SEARCH($A36,VLOOKUP(MQ$2,职业列表!$B$1:$G$370,6,0))),"★","")</f>
        <v>★</v>
      </c>
      <c r="MR36" s="929" t="str">
        <f>IF(ISNUMBER(SEARCH($A36,VLOOKUP(MR$2,职业列表!$B$1:$G$370,6,0))),"★","")</f>
        <v/>
      </c>
      <c r="MS36" s="929" t="str">
        <f>IF(ISNUMBER(SEARCH($A36,VLOOKUP(MS$2,职业列表!$B$1:$G$370,6,0))),"★","")</f>
        <v/>
      </c>
      <c r="MT36" s="929" t="str">
        <f>IF(ISNUMBER(SEARCH($A36,VLOOKUP(MT$2,职业列表!$B$1:$G$370,6,0))),"★","")</f>
        <v/>
      </c>
      <c r="MU36" s="929" t="str">
        <f>IF(ISNUMBER(SEARCH($A36,VLOOKUP(MU$2,职业列表!$B$1:$G$370,6,0))),"★","")</f>
        <v>★</v>
      </c>
      <c r="MV36" s="929" t="str">
        <f>IF(ISNUMBER(SEARCH($A36,VLOOKUP(MV$2,职业列表!$B$1:$G$370,6,0))),"★","")</f>
        <v/>
      </c>
      <c r="MW36" s="929" t="str">
        <f>IF(ISNUMBER(SEARCH($A36,VLOOKUP(MW$2,职业列表!$B$1:$G$370,6,0))),"★","")</f>
        <v/>
      </c>
      <c r="MX36" s="929" t="str">
        <f>IF(ISNUMBER(SEARCH($A36,VLOOKUP(MX$2,职业列表!$B$1:$G$370,6,0))),"★","")</f>
        <v/>
      </c>
      <c r="MY36" s="929" t="str">
        <f>IF(ISNUMBER(SEARCH($A36,VLOOKUP(MY$2,职业列表!$B$1:$G$370,6,0))),"★","")</f>
        <v/>
      </c>
      <c r="MZ36" s="929" t="str">
        <f>IF(ISNUMBER(SEARCH($A36,VLOOKUP(MZ$2,职业列表!$B$1:$G$370,6,0))),"★","")</f>
        <v/>
      </c>
      <c r="NA36" s="929" t="str">
        <f>IF(ISNUMBER(SEARCH($A36,VLOOKUP(NA$2,职业列表!$B$1:$G$370,6,0))),"★","")</f>
        <v/>
      </c>
      <c r="NB36" s="929" t="str">
        <f>IF(ISNUMBER(SEARCH($A36,VLOOKUP(NB$2,职业列表!$B$1:$G$370,6,0))),"★","")</f>
        <v>★</v>
      </c>
      <c r="NC36" s="929" t="str">
        <f>IF(ISNUMBER(SEARCH($A36,VLOOKUP(NC$2,职业列表!$B$1:$G$370,6,0))),"★","")</f>
        <v/>
      </c>
      <c r="ND36" s="929" t="str">
        <f>IF(ISNUMBER(SEARCH($A36,VLOOKUP(ND$2,职业列表!$B$1:$G$370,6,0))),"★","")</f>
        <v/>
      </c>
      <c r="NE36" s="929" t="str">
        <f>IF(ISNUMBER(SEARCH($A36,VLOOKUP(NE$2,职业列表!$B$1:$G$370,6,0))),"★","")</f>
        <v/>
      </c>
    </row>
    <row r="37" customFormat="1" spans="1:369">
      <c r="A37" s="932" t="s">
        <v>153</v>
      </c>
      <c r="B37" s="953" t="str">
        <f>IF(OR(A37="说服",A37="话术",A37="取悦",A37="恐吓"),"☯",IF(ISNUMBER(SEARCH(A37,VLOOKUP(IX$2,职业列表!$B$1:$G$370,6,0))),"★",""))</f>
        <v/>
      </c>
      <c r="C37" s="940" t="str">
        <f>IF(ISTEXT(IFERROR(VLOOKUP(A37,职业列表!I3:J10,1,FALSE),0)),"★","")</f>
        <v/>
      </c>
      <c r="D37" s="953"/>
      <c r="E37" s="953"/>
      <c r="F37" s="953"/>
      <c r="G37" s="953"/>
      <c r="H37" s="953"/>
      <c r="I37" s="953" t="s">
        <v>74</v>
      </c>
      <c r="J37" s="953"/>
      <c r="K37" s="953" t="s">
        <v>74</v>
      </c>
      <c r="L37" s="953"/>
      <c r="M37" s="953" t="s">
        <v>74</v>
      </c>
      <c r="N37" s="953"/>
      <c r="O37" s="953" t="s">
        <v>74</v>
      </c>
      <c r="P37" s="953"/>
      <c r="Q37" s="953"/>
      <c r="R37" s="953" t="s">
        <v>74</v>
      </c>
      <c r="S37" s="953"/>
      <c r="T37" s="953" t="s">
        <v>2717</v>
      </c>
      <c r="U37" s="953" t="s">
        <v>74</v>
      </c>
      <c r="V37" s="953"/>
      <c r="W37" s="953"/>
      <c r="X37" s="953" t="s">
        <v>74</v>
      </c>
      <c r="Y37" s="953" t="s">
        <v>74</v>
      </c>
      <c r="Z37" s="953"/>
      <c r="AA37" s="953"/>
      <c r="AB37" s="953"/>
      <c r="AC37" s="953"/>
      <c r="AD37" s="953"/>
      <c r="AE37" s="953"/>
      <c r="AF37" s="953"/>
      <c r="AG37" s="953"/>
      <c r="AH37" s="953" t="s">
        <v>2716</v>
      </c>
      <c r="AI37" s="953"/>
      <c r="AJ37" s="953"/>
      <c r="AK37" s="953"/>
      <c r="AL37" s="953"/>
      <c r="AM37" s="953"/>
      <c r="AN37" s="953"/>
      <c r="AO37" s="953"/>
      <c r="AP37" s="953"/>
      <c r="AQ37" s="967"/>
      <c r="AR37" s="953" t="s">
        <v>74</v>
      </c>
      <c r="AS37" s="967"/>
      <c r="AT37" s="953" t="s">
        <v>2739</v>
      </c>
      <c r="AU37" s="953"/>
      <c r="AV37" s="953"/>
      <c r="AW37" s="953"/>
      <c r="AX37" s="953"/>
      <c r="AY37" s="953"/>
      <c r="AZ37" s="953"/>
      <c r="BA37" s="953"/>
      <c r="BB37" s="953"/>
      <c r="BC37" s="953" t="s">
        <v>74</v>
      </c>
      <c r="BD37" s="967"/>
      <c r="BE37" s="953"/>
      <c r="BF37" s="953"/>
      <c r="BG37" s="953" t="s">
        <v>74</v>
      </c>
      <c r="BH37" s="953" t="s">
        <v>2739</v>
      </c>
      <c r="BI37" s="953"/>
      <c r="BJ37" s="953"/>
      <c r="BK37" s="953"/>
      <c r="BL37" s="953" t="s">
        <v>74</v>
      </c>
      <c r="BM37" s="953"/>
      <c r="BN37" s="953"/>
      <c r="BO37" s="953"/>
      <c r="BP37" s="953"/>
      <c r="BQ37" s="953"/>
      <c r="BR37" s="953" t="s">
        <v>74</v>
      </c>
      <c r="BS37" s="953"/>
      <c r="BT37" s="953"/>
      <c r="BU37" s="953"/>
      <c r="BV37" s="953"/>
      <c r="BW37" s="953" t="s">
        <v>74</v>
      </c>
      <c r="BX37" s="953"/>
      <c r="BY37" s="953"/>
      <c r="BZ37" s="953"/>
      <c r="CA37" s="953" t="s">
        <v>74</v>
      </c>
      <c r="CB37" s="953" t="s">
        <v>74</v>
      </c>
      <c r="CC37" s="953"/>
      <c r="CD37" s="953"/>
      <c r="CE37" s="953" t="s">
        <v>74</v>
      </c>
      <c r="CF37" s="953"/>
      <c r="CG37" s="953" t="s">
        <v>74</v>
      </c>
      <c r="CH37" s="953" t="s">
        <v>2739</v>
      </c>
      <c r="CI37" s="967"/>
      <c r="CJ37" s="953" t="s">
        <v>74</v>
      </c>
      <c r="CK37" s="953"/>
      <c r="CL37" s="953"/>
      <c r="CM37" s="953"/>
      <c r="CN37" s="953"/>
      <c r="CO37" s="953"/>
      <c r="CP37" s="953" t="s">
        <v>74</v>
      </c>
      <c r="CQ37" s="953"/>
      <c r="CR37" s="953"/>
      <c r="CS37" s="953" t="s">
        <v>74</v>
      </c>
      <c r="CT37" s="953"/>
      <c r="CU37" s="953" t="s">
        <v>74</v>
      </c>
      <c r="CV37" s="953"/>
      <c r="CW37" s="953"/>
      <c r="CX37" s="953"/>
      <c r="CY37" s="953" t="s">
        <v>74</v>
      </c>
      <c r="CZ37" s="953"/>
      <c r="DA37" s="953"/>
      <c r="DB37" s="975" t="s">
        <v>2719</v>
      </c>
      <c r="DC37" s="953" t="s">
        <v>74</v>
      </c>
      <c r="DD37" s="953" t="s">
        <v>2716</v>
      </c>
      <c r="DE37" s="953"/>
      <c r="DF37" s="953"/>
      <c r="DG37" s="953"/>
      <c r="DH37" s="953"/>
      <c r="DI37" s="953"/>
      <c r="DJ37" s="953" t="s">
        <v>74</v>
      </c>
      <c r="DK37" s="953" t="s">
        <v>74</v>
      </c>
      <c r="DL37" s="953"/>
      <c r="DM37" s="953"/>
      <c r="DN37" s="953" t="s">
        <v>2740</v>
      </c>
      <c r="DO37" s="953" t="s">
        <v>74</v>
      </c>
      <c r="DP37" s="953"/>
      <c r="DQ37" s="953"/>
      <c r="DR37" s="953" t="s">
        <v>74</v>
      </c>
      <c r="DS37" s="953" t="s">
        <v>74</v>
      </c>
      <c r="DT37" s="953"/>
      <c r="DU37" s="953" t="s">
        <v>2739</v>
      </c>
      <c r="DV37" s="953"/>
      <c r="DW37" s="953" t="s">
        <v>2741</v>
      </c>
      <c r="DX37" s="953" t="s">
        <v>74</v>
      </c>
      <c r="DY37" s="953" t="s">
        <v>74</v>
      </c>
      <c r="DZ37" s="953"/>
      <c r="EA37" s="953"/>
      <c r="EB37" s="953"/>
      <c r="EC37" s="953"/>
      <c r="ED37" s="953"/>
      <c r="EE37" s="953"/>
      <c r="EF37" s="953" t="s">
        <v>2739</v>
      </c>
      <c r="EG37" s="953" t="s">
        <v>2739</v>
      </c>
      <c r="EH37" s="953" t="s">
        <v>2739</v>
      </c>
      <c r="EI37" s="953"/>
      <c r="EJ37" s="953" t="s">
        <v>74</v>
      </c>
      <c r="EK37" s="953"/>
      <c r="EL37" s="953"/>
      <c r="EM37" s="953"/>
      <c r="EN37" s="953" t="s">
        <v>74</v>
      </c>
      <c r="EO37" s="953"/>
      <c r="EP37" s="953"/>
      <c r="EQ37" s="953"/>
      <c r="ER37" s="953"/>
      <c r="ES37" s="953"/>
      <c r="ET37" s="953"/>
      <c r="EU37" s="953"/>
      <c r="EV37" s="953"/>
      <c r="EW37" s="953"/>
      <c r="EX37" s="953" t="s">
        <v>74</v>
      </c>
      <c r="EY37" s="953"/>
      <c r="EZ37" s="953"/>
      <c r="FA37" s="953"/>
      <c r="FB37" s="953"/>
      <c r="FC37" s="953"/>
      <c r="FD37" s="953"/>
      <c r="FE37" s="953" t="s">
        <v>1580</v>
      </c>
      <c r="FF37" s="953"/>
      <c r="FG37" s="953"/>
      <c r="FH37" s="953"/>
      <c r="FI37" s="953" t="s">
        <v>74</v>
      </c>
      <c r="FJ37" s="953"/>
      <c r="FK37" s="953"/>
      <c r="FL37" s="953" t="s">
        <v>1580</v>
      </c>
      <c r="FM37" s="953"/>
      <c r="FN37" s="953"/>
      <c r="FO37" s="953"/>
      <c r="FP37" s="953"/>
      <c r="FQ37" s="953" t="s">
        <v>74</v>
      </c>
      <c r="FR37" s="953" t="s">
        <v>74</v>
      </c>
      <c r="FS37" s="953" t="s">
        <v>74</v>
      </c>
      <c r="FT37" s="953"/>
      <c r="FU37" s="953"/>
      <c r="FV37" s="953" t="s">
        <v>74</v>
      </c>
      <c r="FW37" s="953"/>
      <c r="FX37" s="953" t="s">
        <v>74</v>
      </c>
      <c r="FY37" s="953"/>
      <c r="FZ37" s="953"/>
      <c r="GA37" s="953"/>
      <c r="GB37" s="953"/>
      <c r="GC37" s="953" t="s">
        <v>2719</v>
      </c>
      <c r="GD37" s="953" t="s">
        <v>2719</v>
      </c>
      <c r="GE37" s="953" t="s">
        <v>74</v>
      </c>
      <c r="GF37" s="953" t="s">
        <v>74</v>
      </c>
      <c r="GG37" s="953"/>
      <c r="GH37" s="953"/>
      <c r="GI37" s="953"/>
      <c r="GJ37" s="953"/>
      <c r="GK37" s="953"/>
      <c r="GL37" s="953"/>
      <c r="GM37" s="953"/>
      <c r="GN37" s="953"/>
      <c r="GO37" s="953"/>
      <c r="GP37" s="953"/>
      <c r="GQ37" s="953"/>
      <c r="GR37" s="953"/>
      <c r="GS37" s="953" t="s">
        <v>74</v>
      </c>
      <c r="GT37" s="953"/>
      <c r="GU37" s="953" t="s">
        <v>2719</v>
      </c>
      <c r="GV37" s="953"/>
      <c r="GW37" s="953"/>
      <c r="GX37" s="953"/>
      <c r="GY37" s="953" t="s">
        <v>74</v>
      </c>
      <c r="GZ37" s="975" t="s">
        <v>2742</v>
      </c>
      <c r="HA37" s="975" t="s">
        <v>2742</v>
      </c>
      <c r="HB37" s="975" t="s">
        <v>2742</v>
      </c>
      <c r="HC37" s="975" t="s">
        <v>2742</v>
      </c>
      <c r="HD37" s="953"/>
      <c r="HE37" s="975" t="s">
        <v>2739</v>
      </c>
      <c r="HF37" s="953" t="s">
        <v>74</v>
      </c>
      <c r="HG37" s="953"/>
      <c r="HH37" s="953"/>
      <c r="HI37" s="953"/>
      <c r="HJ37" s="953"/>
      <c r="HK37" s="953" t="s">
        <v>74</v>
      </c>
      <c r="HL37" s="953" t="s">
        <v>74</v>
      </c>
      <c r="HM37" s="953"/>
      <c r="HN37" s="953" t="s">
        <v>2742</v>
      </c>
      <c r="HO37" s="953"/>
      <c r="HP37" s="975" t="s">
        <v>2739</v>
      </c>
      <c r="HQ37" s="953" t="s">
        <v>2739</v>
      </c>
      <c r="HR37" s="953"/>
      <c r="HS37" s="975" t="s">
        <v>2742</v>
      </c>
      <c r="HT37" s="953"/>
      <c r="HU37" s="975" t="s">
        <v>2719</v>
      </c>
      <c r="HV37" s="953"/>
      <c r="HW37" s="953"/>
      <c r="HX37" s="998" t="s">
        <v>2742</v>
      </c>
      <c r="HY37" s="953" t="s">
        <v>74</v>
      </c>
      <c r="HZ37" s="1025"/>
      <c r="IA37" s="1025"/>
      <c r="IB37" s="1025"/>
      <c r="IC37" s="1026"/>
      <c r="ID37" s="1026"/>
      <c r="IE37" s="1025"/>
      <c r="IF37" s="1025"/>
      <c r="IG37" s="1025"/>
      <c r="IH37" s="1025"/>
      <c r="II37" s="1025"/>
      <c r="IJ37" s="1025"/>
      <c r="IK37" s="939" t="s">
        <v>74</v>
      </c>
      <c r="IL37" s="1025"/>
      <c r="IM37" s="1025"/>
      <c r="IN37" s="1025"/>
      <c r="IO37" s="1025"/>
      <c r="IP37" s="990"/>
      <c r="IQ37" s="1026"/>
      <c r="IR37" s="1025"/>
      <c r="IS37" s="1025"/>
      <c r="IT37" s="972" t="s">
        <v>74</v>
      </c>
      <c r="IU37" s="1025"/>
      <c r="IV37" s="1025"/>
      <c r="IW37" s="1053"/>
      <c r="IX37" s="929" t="str">
        <f>IF(ISNUMBER(SEARCH($A37,VLOOKUP(IX$2,职业列表!$B$1:$G$370,6,0))),"★","")</f>
        <v/>
      </c>
      <c r="IY37" s="929" t="str">
        <f>IF(ISNUMBER(SEARCH($A37,VLOOKUP(IY$2,职业列表!$B$1:$G$370,6,0))),"★","")</f>
        <v/>
      </c>
      <c r="IZ37" s="929" t="str">
        <f>IF(ISNUMBER(SEARCH($A37,VLOOKUP(IZ$2,职业列表!$B$1:$G$370,6,0))),"★","")</f>
        <v/>
      </c>
      <c r="JA37" s="929" t="str">
        <f>IF(ISNUMBER(SEARCH($A37,VLOOKUP(JA$2,职业列表!$B$1:$G$370,6,0))),"★","")</f>
        <v/>
      </c>
      <c r="JB37" s="929" t="str">
        <f>IF(ISNUMBER(SEARCH($A37,VLOOKUP(JB$2,职业列表!$B$1:$G$370,6,0))),"★","")</f>
        <v/>
      </c>
      <c r="JC37" s="929" t="str">
        <f>IF(ISNUMBER(SEARCH($A37,VLOOKUP(JC$2,职业列表!$B$1:$G$370,6,0))),"★","")</f>
        <v/>
      </c>
      <c r="JD37" s="929" t="str">
        <f>IF(ISNUMBER(SEARCH($A37,VLOOKUP(JD$2,职业列表!$B$1:$G$370,6,0))),"★","")</f>
        <v/>
      </c>
      <c r="JE37" s="929" t="str">
        <f>IF(ISNUMBER(SEARCH($A37,VLOOKUP(JE$2,职业列表!$B$1:$G$370,6,0))),"★","")</f>
        <v/>
      </c>
      <c r="JF37" s="929" t="str">
        <f>IF(ISNUMBER(SEARCH($A37,VLOOKUP(JF$2,职业列表!$B$1:$G$370,6,0))),"★","")</f>
        <v/>
      </c>
      <c r="JG37" s="929" t="str">
        <f>IF(ISNUMBER(SEARCH($A37,VLOOKUP(JG$2,职业列表!$B$1:$G$370,6,0))),"★","")</f>
        <v/>
      </c>
      <c r="JH37" s="929" t="str">
        <f>IF(ISNUMBER(SEARCH($A37,VLOOKUP(JH$2,职业列表!$B$1:$G$370,6,0))),"★","")</f>
        <v/>
      </c>
      <c r="JI37" s="929" t="str">
        <f>IF(ISNUMBER(SEARCH($A37,VLOOKUP(JI$2,职业列表!$B$1:$G$370,6,0))),"★","")</f>
        <v/>
      </c>
      <c r="JJ37" s="929" t="str">
        <f>IF(ISNUMBER(SEARCH($A37,VLOOKUP(JJ$2,职业列表!$B$1:$G$370,6,0))),"★","")</f>
        <v/>
      </c>
      <c r="JK37" s="929" t="str">
        <f>IF(ISNUMBER(SEARCH($A37,VLOOKUP(JK$2,职业列表!$B$1:$G$370,6,0))),"★","")</f>
        <v>★</v>
      </c>
      <c r="JL37" s="929" t="str">
        <f>IF(ISNUMBER(SEARCH($A37,VLOOKUP(JL$2,职业列表!$B$1:$G$370,6,0))),"★","")</f>
        <v/>
      </c>
      <c r="JM37" s="929" t="str">
        <f>IF(ISNUMBER(SEARCH($A37,VLOOKUP(JM$2,职业列表!$B$1:$G$370,6,0))),"★","")</f>
        <v/>
      </c>
      <c r="JN37" s="929" t="str">
        <f>IF(ISNUMBER(SEARCH($A37,VLOOKUP(JN$2,职业列表!$B$1:$G$370,6,0))),"★","")</f>
        <v>★</v>
      </c>
      <c r="JO37" s="929" t="str">
        <f>IF(ISNUMBER(SEARCH($A37,VLOOKUP(JO$2,职业列表!$B$1:$G$370,6,0))),"★","")</f>
        <v/>
      </c>
      <c r="JP37" s="929" t="str">
        <f>IF(ISNUMBER(SEARCH($A37,VLOOKUP(JP$2,职业列表!$B$1:$G$370,6,0))),"★","")</f>
        <v/>
      </c>
      <c r="JQ37" s="929" t="str">
        <f>IF(ISNUMBER(SEARCH($A37,VLOOKUP(JQ$2,职业列表!$B$1:$G$370,6,0))),"★","")</f>
        <v>★</v>
      </c>
      <c r="JR37" s="929" t="str">
        <f>IF(ISNUMBER(SEARCH($A37,VLOOKUP(JR$2,职业列表!$B$1:$G$370,6,0))),"★","")</f>
        <v>★</v>
      </c>
      <c r="JS37" s="929" t="str">
        <f>IF(ISNUMBER(SEARCH($A37,VLOOKUP(JS$2,职业列表!$B$1:$G$370,6,0))),"★","")</f>
        <v/>
      </c>
      <c r="JT37" s="929" t="str">
        <f>IF(ISNUMBER(SEARCH($A37,VLOOKUP(JT$2,职业列表!$B$1:$G$370,6,0))),"★","")</f>
        <v/>
      </c>
      <c r="JU37" s="929" t="str">
        <f>IF(ISNUMBER(SEARCH($A37,VLOOKUP(JU$2,职业列表!$B$1:$G$370,6,0))),"★","")</f>
        <v/>
      </c>
      <c r="JV37" s="929" t="str">
        <f>IF(ISNUMBER(SEARCH($A37,VLOOKUP(JV$2,职业列表!$B$1:$G$370,6,0))),"★","")</f>
        <v/>
      </c>
      <c r="JW37" s="929" t="str">
        <f>IF(ISNUMBER(SEARCH($A37,VLOOKUP(JW$2,职业列表!$B$1:$G$370,6,0))),"★","")</f>
        <v/>
      </c>
      <c r="JX37" s="929" t="str">
        <f>IF(ISNUMBER(SEARCH($A37,VLOOKUP(JX$2,职业列表!$B$1:$G$370,6,0))),"★","")</f>
        <v/>
      </c>
      <c r="JY37" s="929" t="str">
        <f>IF(ISNUMBER(SEARCH($A37,VLOOKUP(JY$2,职业列表!$B$1:$G$370,6,0))),"★","")</f>
        <v/>
      </c>
      <c r="JZ37" s="929" t="str">
        <f>IF(ISNUMBER(SEARCH($A37,VLOOKUP(JZ$2,职业列表!$B$1:$G$370,6,0))),"★","")</f>
        <v/>
      </c>
      <c r="KA37" s="929" t="str">
        <f>IF(ISNUMBER(SEARCH($A37,VLOOKUP(KA$2,职业列表!$B$1:$G$370,6,0))),"★","")</f>
        <v/>
      </c>
      <c r="KB37" s="929" t="str">
        <f>IF(ISNUMBER(SEARCH($A37,VLOOKUP(KB$2,职业列表!$B$1:$G$370,6,0))),"★","")</f>
        <v/>
      </c>
      <c r="KC37" s="929" t="str">
        <f>IF(ISNUMBER(SEARCH($A37,VLOOKUP(KC$2,职业列表!$B$1:$G$370,6,0))),"★","")</f>
        <v/>
      </c>
      <c r="KD37" s="929" t="str">
        <f>IF(ISNUMBER(SEARCH($A37,VLOOKUP(KD$2,职业列表!$B$1:$G$370,6,0))),"★","")</f>
        <v/>
      </c>
      <c r="KE37" s="929" t="str">
        <f>IF(ISNUMBER(SEARCH($A37,VLOOKUP(KE$2,职业列表!$B$1:$G$370,6,0))),"★","")</f>
        <v/>
      </c>
      <c r="KF37" s="929" t="str">
        <f>IF(ISNUMBER(SEARCH($A37,VLOOKUP(KF$2,职业列表!$B$1:$G$370,6,0))),"★","")</f>
        <v/>
      </c>
      <c r="KG37" s="929" t="str">
        <f>IF(ISNUMBER(SEARCH($A37,VLOOKUP(KG$2,职业列表!$B$1:$G$370,6,0))),"★","")</f>
        <v/>
      </c>
      <c r="KH37" s="929" t="str">
        <f>IF(ISNUMBER(SEARCH($A37,VLOOKUP(KH$2,职业列表!$B$1:$G$370,6,0))),"★","")</f>
        <v/>
      </c>
      <c r="KI37" s="929" t="str">
        <f>IF(ISNUMBER(SEARCH($A37,VLOOKUP(KI$2,职业列表!$B$1:$G$370,6,0))),"★","")</f>
        <v/>
      </c>
      <c r="KJ37" s="929" t="str">
        <f>IF(ISNUMBER(SEARCH($A37,VLOOKUP(KJ$2,职业列表!$B$1:$G$370,6,0))),"★","")</f>
        <v/>
      </c>
      <c r="KK37" s="929" t="str">
        <f>IF(ISNUMBER(SEARCH($A37,VLOOKUP(KK$2,职业列表!$B$1:$G$370,6,0))),"★","")</f>
        <v/>
      </c>
      <c r="KL37" s="929" t="str">
        <f>IF(ISNUMBER(SEARCH($A37,VLOOKUP(KL$2,职业列表!$B$1:$G$370,6,0))),"★","")</f>
        <v/>
      </c>
      <c r="KM37" s="929" t="str">
        <f>IF(ISNUMBER(SEARCH($A37,VLOOKUP(KM$2,职业列表!$B$1:$G$370,6,0))),"★","")</f>
        <v/>
      </c>
      <c r="KN37" s="929" t="str">
        <f>IF(ISNUMBER(SEARCH($A37,VLOOKUP(KN$2,职业列表!$B$1:$G$370,6,0))),"★","")</f>
        <v/>
      </c>
      <c r="KO37" s="929" t="str">
        <f>IF(ISNUMBER(SEARCH($A37,VLOOKUP(KO$2,职业列表!$B$1:$G$370,6,0))),"★","")</f>
        <v>★</v>
      </c>
      <c r="KP37" s="929" t="str">
        <f>IF(ISNUMBER(SEARCH($A37,VLOOKUP(KP$2,职业列表!$B$1:$G$370,6,0))),"★","")</f>
        <v/>
      </c>
      <c r="KQ37" s="929" t="str">
        <f>IF(ISNUMBER(SEARCH($A37,VLOOKUP(KQ$2,职业列表!$B$1:$G$370,6,0))),"★","")</f>
        <v/>
      </c>
      <c r="KR37" s="929" t="str">
        <f>IF(ISNUMBER(SEARCH($A37,VLOOKUP(KR$2,职业列表!$B$1:$G$370,6,0))),"★","")</f>
        <v/>
      </c>
      <c r="KS37" s="929" t="str">
        <f>IF(ISNUMBER(SEARCH($A37,VLOOKUP(KS$2,职业列表!$B$1:$G$370,6,0))),"★","")</f>
        <v/>
      </c>
      <c r="KT37" s="929" t="str">
        <f>IF(ISNUMBER(SEARCH($A37,VLOOKUP(KT$2,职业列表!$B$1:$G$370,6,0))),"★","")</f>
        <v/>
      </c>
      <c r="KU37" s="929" t="str">
        <f>IF(ISNUMBER(SEARCH($A37,VLOOKUP(KU$2,职业列表!$B$1:$G$370,6,0))),"★","")</f>
        <v/>
      </c>
      <c r="KV37" s="929" t="str">
        <f>IF(ISNUMBER(SEARCH($A37,VLOOKUP(KV$2,职业列表!$B$1:$G$370,6,0))),"★","")</f>
        <v/>
      </c>
      <c r="KW37" s="929" t="str">
        <f>IF(ISNUMBER(SEARCH($A37,VLOOKUP(KW$2,职业列表!$B$1:$G$370,6,0))),"★","")</f>
        <v/>
      </c>
      <c r="KX37" s="929" t="str">
        <f>IF(ISNUMBER(SEARCH($A37,VLOOKUP(KX$2,职业列表!$B$1:$G$370,6,0))),"★","")</f>
        <v/>
      </c>
      <c r="KY37" s="929" t="str">
        <f>IF(ISNUMBER(SEARCH($A37,VLOOKUP(KY$2,职业列表!$B$1:$G$370,6,0))),"★","")</f>
        <v/>
      </c>
      <c r="KZ37" s="929" t="str">
        <f>IF(ISNUMBER(SEARCH($A37,VLOOKUP(KZ$2,职业列表!$B$1:$G$370,6,0))),"★","")</f>
        <v/>
      </c>
      <c r="LA37" s="929" t="str">
        <f>IF(ISNUMBER(SEARCH($A37,VLOOKUP(LA$2,职业列表!$B$1:$G$370,6,0))),"★","")</f>
        <v/>
      </c>
      <c r="LB37" s="929" t="str">
        <f>IF(ISNUMBER(SEARCH($A37,VLOOKUP(LB$2,职业列表!$B$1:$G$370,6,0))),"★","")</f>
        <v/>
      </c>
      <c r="LC37" s="929" t="str">
        <f>IF(ISNUMBER(SEARCH($A37,VLOOKUP(LC$2,职业列表!$B$1:$G$370,6,0))),"★","")</f>
        <v/>
      </c>
      <c r="LD37" s="929" t="str">
        <f>IF(ISNUMBER(SEARCH($A37,VLOOKUP(LD$2,职业列表!$B$1:$G$370,6,0))),"★","")</f>
        <v/>
      </c>
      <c r="LE37" s="929" t="str">
        <f>IF(ISNUMBER(SEARCH($A37,VLOOKUP(LE$2,职业列表!$B$1:$G$370,6,0))),"★","")</f>
        <v/>
      </c>
      <c r="LF37" s="929" t="str">
        <f>IF(ISNUMBER(SEARCH($A37,VLOOKUP(LF$2,职业列表!$B$1:$G$370,6,0))),"★","")</f>
        <v/>
      </c>
      <c r="LG37" s="929" t="str">
        <f>IF(ISNUMBER(SEARCH($A37,VLOOKUP(LG$2,职业列表!$B$1:$G$370,6,0))),"★","")</f>
        <v/>
      </c>
      <c r="LH37" s="929" t="str">
        <f>IF(ISNUMBER(SEARCH($A37,VLOOKUP(LH$2,职业列表!$B$1:$G$370,6,0))),"★","")</f>
        <v/>
      </c>
      <c r="LI37" s="929" t="str">
        <f>IF(ISNUMBER(SEARCH($A37,VLOOKUP(LI$2,职业列表!$B$1:$G$370,6,0))),"★","")</f>
        <v/>
      </c>
      <c r="LJ37" s="929" t="str">
        <f>IF(ISNUMBER(SEARCH($A37,VLOOKUP(LJ$2,职业列表!$B$1:$G$370,6,0))),"★","")</f>
        <v/>
      </c>
      <c r="LK37" s="929" t="str">
        <f>IF(ISNUMBER(SEARCH($A37,VLOOKUP(LK$2,职业列表!$B$1:$G$370,6,0))),"★","")</f>
        <v/>
      </c>
      <c r="LL37" s="929" t="str">
        <f>IF(ISNUMBER(SEARCH($A37,VLOOKUP(LL$2,职业列表!$B$1:$G$370,6,0))),"★","")</f>
        <v/>
      </c>
      <c r="LM37" s="929" t="str">
        <f>IF(ISNUMBER(SEARCH($A37,VLOOKUP(LM$2,职业列表!$B$1:$G$370,6,0))),"★","")</f>
        <v/>
      </c>
      <c r="LN37" s="929" t="str">
        <f>IF(ISNUMBER(SEARCH($A37,VLOOKUP(LN$2,职业列表!$B$1:$G$370,6,0))),"★","")</f>
        <v/>
      </c>
      <c r="LO37" s="929" t="str">
        <f>IF(ISNUMBER(SEARCH($A37,VLOOKUP(LO$2,职业列表!$B$1:$G$370,6,0))),"★","")</f>
        <v/>
      </c>
      <c r="LP37" s="929" t="str">
        <f>IF(ISNUMBER(SEARCH($A37,VLOOKUP(LP$2,职业列表!$B$1:$G$370,6,0))),"★","")</f>
        <v/>
      </c>
      <c r="LQ37" s="929" t="str">
        <f>IF(ISNUMBER(SEARCH($A37,VLOOKUP(LQ$2,职业列表!$B$1:$G$370,6,0))),"★","")</f>
        <v/>
      </c>
      <c r="LR37" s="929" t="str">
        <f>IF(ISNUMBER(SEARCH($A37,VLOOKUP(LR$2,职业列表!$B$1:$G$370,6,0))),"★","")</f>
        <v/>
      </c>
      <c r="LS37" s="929" t="str">
        <f>IF(ISNUMBER(SEARCH($A37,VLOOKUP(LS$2,职业列表!$B$1:$G$370,6,0))),"★","")</f>
        <v/>
      </c>
      <c r="LT37" s="929" t="str">
        <f>IF(ISNUMBER(SEARCH($A37,VLOOKUP(LT$2,职业列表!$B$1:$G$370,6,0))),"★","")</f>
        <v/>
      </c>
      <c r="LU37" s="929" t="str">
        <f>IF(ISNUMBER(SEARCH($A37,VLOOKUP(LU$2,职业列表!$B$1:$G$370,6,0))),"★","")</f>
        <v/>
      </c>
      <c r="LV37" s="929" t="str">
        <f>IF(ISNUMBER(SEARCH($A37,VLOOKUP(LV$2,职业列表!$B$1:$G$370,6,0))),"★","")</f>
        <v>★</v>
      </c>
      <c r="LW37" s="929" t="str">
        <f>IF(ISNUMBER(SEARCH($A37,VLOOKUP(LW$2,职业列表!$B$1:$G$370,6,0))),"★","")</f>
        <v/>
      </c>
      <c r="LX37" s="929" t="str">
        <f>IF(ISNUMBER(SEARCH($A37,VLOOKUP(LX$2,职业列表!$B$1:$G$370,6,0))),"★","")</f>
        <v/>
      </c>
      <c r="LY37" s="929" t="str">
        <f>IF(ISNUMBER(SEARCH($A37,VLOOKUP(LY$2,职业列表!$B$1:$G$370,6,0))),"★","")</f>
        <v/>
      </c>
      <c r="LZ37" s="929" t="str">
        <f>IF(ISNUMBER(SEARCH($A37,VLOOKUP(LZ$2,职业列表!$B$1:$G$370,6,0))),"★","")</f>
        <v/>
      </c>
      <c r="MA37" s="929" t="str">
        <f>IF(ISNUMBER(SEARCH($A37,VLOOKUP(MA$2,职业列表!$B$1:$G$370,6,0))),"★","")</f>
        <v/>
      </c>
      <c r="MB37" s="929" t="str">
        <f>IF(ISNUMBER(SEARCH($A37,VLOOKUP(MB$2,职业列表!$B$1:$G$370,6,0))),"★","")</f>
        <v/>
      </c>
      <c r="MC37" s="929" t="str">
        <f>IF(ISNUMBER(SEARCH($A37,VLOOKUP(MC$2,职业列表!$B$1:$G$370,6,0))),"★","")</f>
        <v/>
      </c>
      <c r="MD37" s="929" t="str">
        <f>IF(ISNUMBER(SEARCH($A37,VLOOKUP(MD$2,职业列表!$B$1:$G$370,6,0))),"★","")</f>
        <v>★</v>
      </c>
      <c r="ME37" s="929" t="str">
        <f>IF(ISNUMBER(SEARCH($A37,VLOOKUP(ME$2,职业列表!$B$1:$G$370,6,0))),"★","")</f>
        <v/>
      </c>
      <c r="MF37" s="929" t="str">
        <f>IF(ISNUMBER(SEARCH($A37,VLOOKUP(MF$2,职业列表!$B$1:$G$370,6,0))),"★","")</f>
        <v/>
      </c>
      <c r="MG37" s="929" t="str">
        <f>IF(ISNUMBER(SEARCH($A37,VLOOKUP(MG$2,职业列表!$B$1:$G$370,6,0))),"★","")</f>
        <v/>
      </c>
      <c r="MH37" s="929" t="str">
        <f>IF(ISNUMBER(SEARCH($A37,VLOOKUP(MH$2,职业列表!$B$1:$G$370,6,0))),"★","")</f>
        <v/>
      </c>
      <c r="MI37" s="929" t="str">
        <f>IF(ISNUMBER(SEARCH($A37,VLOOKUP(MI$2,职业列表!$B$1:$G$370,6,0))),"★","")</f>
        <v/>
      </c>
      <c r="MJ37" s="929" t="str">
        <f>IF(ISNUMBER(SEARCH($A37,VLOOKUP(MJ$2,职业列表!$B$1:$G$370,6,0))),"★","")</f>
        <v/>
      </c>
      <c r="MK37" s="929" t="str">
        <f>IF(ISNUMBER(SEARCH($A37,VLOOKUP(MK$2,职业列表!$B$1:$G$370,6,0))),"★","")</f>
        <v/>
      </c>
      <c r="ML37" s="929" t="str">
        <f>IF(ISNUMBER(SEARCH($A37,VLOOKUP(ML$2,职业列表!$B$1:$G$370,6,0))),"★","")</f>
        <v/>
      </c>
      <c r="MM37" s="929" t="str">
        <f>IF(ISNUMBER(SEARCH($A37,VLOOKUP(MM$2,职业列表!$B$1:$G$370,6,0))),"★","")</f>
        <v/>
      </c>
      <c r="MN37" s="929" t="str">
        <f>IF(ISNUMBER(SEARCH($A37,VLOOKUP(MN$2,职业列表!$B$1:$G$370,6,0))),"★","")</f>
        <v/>
      </c>
      <c r="MO37" s="929" t="str">
        <f>IF(ISNUMBER(SEARCH($A37,VLOOKUP(MO$2,职业列表!$B$1:$G$370,6,0))),"★","")</f>
        <v/>
      </c>
      <c r="MP37" s="929" t="str">
        <f>IF(ISNUMBER(SEARCH($A37,VLOOKUP(MP$2,职业列表!$B$1:$G$370,6,0))),"★","")</f>
        <v/>
      </c>
      <c r="MQ37" s="929" t="str">
        <f>IF(ISNUMBER(SEARCH($A37,VLOOKUP(MQ$2,职业列表!$B$1:$G$370,6,0))),"★","")</f>
        <v/>
      </c>
      <c r="MR37" s="929" t="str">
        <f>IF(ISNUMBER(SEARCH($A37,VLOOKUP(MR$2,职业列表!$B$1:$G$370,6,0))),"★","")</f>
        <v/>
      </c>
      <c r="MS37" s="929" t="str">
        <f>IF(ISNUMBER(SEARCH($A37,VLOOKUP(MS$2,职业列表!$B$1:$G$370,6,0))),"★","")</f>
        <v/>
      </c>
      <c r="MT37" s="929" t="str">
        <f>IF(ISNUMBER(SEARCH($A37,VLOOKUP(MT$2,职业列表!$B$1:$G$370,6,0))),"★","")</f>
        <v/>
      </c>
      <c r="MU37" s="929" t="str">
        <f>IF(ISNUMBER(SEARCH($A37,VLOOKUP(MU$2,职业列表!$B$1:$G$370,6,0))),"★","")</f>
        <v/>
      </c>
      <c r="MV37" s="929" t="str">
        <f>IF(ISNUMBER(SEARCH($A37,VLOOKUP(MV$2,职业列表!$B$1:$G$370,6,0))),"★","")</f>
        <v/>
      </c>
      <c r="MW37" s="929" t="str">
        <f>IF(ISNUMBER(SEARCH($A37,VLOOKUP(MW$2,职业列表!$B$1:$G$370,6,0))),"★","")</f>
        <v/>
      </c>
      <c r="MX37" s="929" t="str">
        <f>IF(ISNUMBER(SEARCH($A37,VLOOKUP(MX$2,职业列表!$B$1:$G$370,6,0))),"★","")</f>
        <v>★</v>
      </c>
      <c r="MY37" s="929" t="str">
        <f>IF(ISNUMBER(SEARCH($A37,VLOOKUP(MY$2,职业列表!$B$1:$G$370,6,0))),"★","")</f>
        <v/>
      </c>
      <c r="MZ37" s="929" t="str">
        <f>IF(ISNUMBER(SEARCH($A37,VLOOKUP(MZ$2,职业列表!$B$1:$G$370,6,0))),"★","")</f>
        <v/>
      </c>
      <c r="NA37" s="929" t="str">
        <f>IF(ISNUMBER(SEARCH($A37,VLOOKUP(NA$2,职业列表!$B$1:$G$370,6,0))),"★","")</f>
        <v/>
      </c>
      <c r="NB37" s="929" t="str">
        <f>IF(ISNUMBER(SEARCH($A37,VLOOKUP(NB$2,职业列表!$B$1:$G$370,6,0))),"★","")</f>
        <v/>
      </c>
      <c r="NC37" s="929" t="str">
        <f>IF(ISNUMBER(SEARCH($A37,VLOOKUP(NC$2,职业列表!$B$1:$G$370,6,0))),"★","")</f>
        <v/>
      </c>
      <c r="ND37" s="929" t="str">
        <f>IF(ISNUMBER(SEARCH($A37,VLOOKUP(ND$2,职业列表!$B$1:$G$370,6,0))),"★","")</f>
        <v/>
      </c>
      <c r="NE37" s="929" t="str">
        <f>IF(ISNUMBER(SEARCH($A37,VLOOKUP(NE$2,职业列表!$B$1:$G$370,6,0))),"★","")</f>
        <v/>
      </c>
    </row>
    <row r="38" customFormat="1" spans="1:369">
      <c r="A38" s="932" t="s">
        <v>156</v>
      </c>
      <c r="B38" s="939" t="str">
        <f>IF(OR(A38="说服",A38="话术",A38="取悦",A38="恐吓"),"☯",IF(ISNUMBER(SEARCH(A38,VLOOKUP(IX$2,职业列表!$B$1:$G$370,6,0))),"★",""))</f>
        <v/>
      </c>
      <c r="C38" s="940" t="str">
        <f>IF(ISTEXT(IFERROR(VLOOKUP(A38,职业列表!I3:J10,1,FALSE),0)),"★","")</f>
        <v/>
      </c>
      <c r="D38" s="954"/>
      <c r="E38" s="954"/>
      <c r="F38" s="954"/>
      <c r="G38" s="954"/>
      <c r="H38" s="954"/>
      <c r="I38" s="939" t="s">
        <v>74</v>
      </c>
      <c r="J38" s="954"/>
      <c r="K38" s="939" t="s">
        <v>74</v>
      </c>
      <c r="L38" s="954"/>
      <c r="M38" s="939" t="s">
        <v>74</v>
      </c>
      <c r="N38" s="954"/>
      <c r="O38" s="939" t="s">
        <v>74</v>
      </c>
      <c r="P38" s="954"/>
      <c r="Q38" s="954"/>
      <c r="R38" s="939" t="s">
        <v>74</v>
      </c>
      <c r="S38" s="954"/>
      <c r="T38" s="939" t="s">
        <v>2717</v>
      </c>
      <c r="U38" s="939" t="s">
        <v>74</v>
      </c>
      <c r="V38" s="954"/>
      <c r="W38" s="954"/>
      <c r="X38" s="939" t="s">
        <v>74</v>
      </c>
      <c r="Y38" s="939" t="s">
        <v>74</v>
      </c>
      <c r="Z38" s="954"/>
      <c r="AA38" s="954"/>
      <c r="AB38" s="954"/>
      <c r="AC38" s="954"/>
      <c r="AD38" s="954"/>
      <c r="AE38" s="954"/>
      <c r="AF38" s="954"/>
      <c r="AG38" s="954"/>
      <c r="AH38" s="939" t="s">
        <v>2716</v>
      </c>
      <c r="AI38" s="954"/>
      <c r="AJ38" s="954"/>
      <c r="AK38" s="954"/>
      <c r="AL38" s="954"/>
      <c r="AM38" s="954"/>
      <c r="AN38" s="954"/>
      <c r="AO38" s="954"/>
      <c r="AP38" s="954"/>
      <c r="AQ38" s="954"/>
      <c r="AR38" s="939" t="s">
        <v>74</v>
      </c>
      <c r="AS38" s="954"/>
      <c r="AT38" s="954"/>
      <c r="AU38" s="954"/>
      <c r="AV38" s="954"/>
      <c r="AW38" s="954"/>
      <c r="AX38" s="954"/>
      <c r="AY38" s="954"/>
      <c r="AZ38" s="954"/>
      <c r="BA38" s="954"/>
      <c r="BB38" s="954"/>
      <c r="BC38" s="939" t="s">
        <v>74</v>
      </c>
      <c r="BD38" s="954"/>
      <c r="BE38" s="954"/>
      <c r="BF38" s="954"/>
      <c r="BG38" s="939" t="s">
        <v>74</v>
      </c>
      <c r="BH38" s="954"/>
      <c r="BI38" s="954"/>
      <c r="BJ38" s="954"/>
      <c r="BK38" s="954"/>
      <c r="BL38" s="954"/>
      <c r="BM38" s="954"/>
      <c r="BN38" s="954"/>
      <c r="BO38" s="954"/>
      <c r="BP38" s="954"/>
      <c r="BQ38" s="954"/>
      <c r="BR38" s="939"/>
      <c r="BS38" s="954"/>
      <c r="BT38" s="954"/>
      <c r="BU38" s="954"/>
      <c r="BV38" s="954"/>
      <c r="BW38" s="939" t="s">
        <v>74</v>
      </c>
      <c r="BX38" s="954"/>
      <c r="BY38" s="954"/>
      <c r="BZ38" s="954"/>
      <c r="CA38" s="939" t="s">
        <v>74</v>
      </c>
      <c r="CB38" s="939" t="s">
        <v>74</v>
      </c>
      <c r="CC38" s="954"/>
      <c r="CD38" s="954"/>
      <c r="CE38" s="939" t="s">
        <v>74</v>
      </c>
      <c r="CF38" s="954"/>
      <c r="CG38" s="939" t="s">
        <v>74</v>
      </c>
      <c r="CH38" s="954"/>
      <c r="CI38" s="954"/>
      <c r="CJ38" s="939" t="s">
        <v>74</v>
      </c>
      <c r="CK38" s="954"/>
      <c r="CL38" s="954"/>
      <c r="CM38" s="954"/>
      <c r="CN38" s="954"/>
      <c r="CO38" s="954"/>
      <c r="CP38" s="939" t="s">
        <v>74</v>
      </c>
      <c r="CQ38" s="954"/>
      <c r="CR38" s="954"/>
      <c r="CS38" s="939" t="s">
        <v>74</v>
      </c>
      <c r="CT38" s="954"/>
      <c r="CU38" s="939" t="s">
        <v>74</v>
      </c>
      <c r="CV38" s="954"/>
      <c r="CW38" s="954"/>
      <c r="CX38" s="954"/>
      <c r="CY38" s="939" t="s">
        <v>74</v>
      </c>
      <c r="CZ38" s="954"/>
      <c r="DA38" s="954"/>
      <c r="DB38" s="940"/>
      <c r="DC38" s="939" t="s">
        <v>74</v>
      </c>
      <c r="DD38" s="939" t="s">
        <v>2716</v>
      </c>
      <c r="DE38" s="954"/>
      <c r="DF38" s="954"/>
      <c r="DG38" s="954"/>
      <c r="DH38" s="954"/>
      <c r="DI38" s="954"/>
      <c r="DJ38" s="939" t="s">
        <v>74</v>
      </c>
      <c r="DK38" s="939" t="s">
        <v>74</v>
      </c>
      <c r="DL38" s="954"/>
      <c r="DM38" s="954"/>
      <c r="DN38" s="939" t="s">
        <v>2740</v>
      </c>
      <c r="DO38" s="939"/>
      <c r="DP38" s="939"/>
      <c r="DQ38" s="939"/>
      <c r="DR38" s="939"/>
      <c r="DS38" s="939" t="s">
        <v>74</v>
      </c>
      <c r="DT38" s="939"/>
      <c r="DU38" s="939"/>
      <c r="DV38" s="939"/>
      <c r="DW38" s="939"/>
      <c r="DX38" s="939" t="s">
        <v>74</v>
      </c>
      <c r="DY38" s="939" t="s">
        <v>74</v>
      </c>
      <c r="DZ38" s="939"/>
      <c r="EA38" s="939"/>
      <c r="EB38" s="939"/>
      <c r="EC38" s="939"/>
      <c r="ED38" s="939"/>
      <c r="EE38" s="939"/>
      <c r="EF38" s="939"/>
      <c r="EG38" s="939"/>
      <c r="EH38" s="939"/>
      <c r="EI38" s="939"/>
      <c r="EJ38" s="939" t="s">
        <v>74</v>
      </c>
      <c r="EK38" s="939"/>
      <c r="EL38" s="939"/>
      <c r="EM38" s="939"/>
      <c r="EN38" s="939" t="s">
        <v>74</v>
      </c>
      <c r="EO38" s="939"/>
      <c r="EP38" s="939"/>
      <c r="EQ38" s="939"/>
      <c r="ER38" s="939"/>
      <c r="ES38" s="939"/>
      <c r="ET38" s="939"/>
      <c r="EU38" s="939"/>
      <c r="EV38" s="939"/>
      <c r="EW38" s="939"/>
      <c r="EX38" s="939" t="s">
        <v>74</v>
      </c>
      <c r="EY38" s="939"/>
      <c r="EZ38" s="939"/>
      <c r="FA38" s="939"/>
      <c r="FB38" s="939"/>
      <c r="FC38" s="939"/>
      <c r="FD38" s="939"/>
      <c r="FE38" s="939" t="s">
        <v>1688</v>
      </c>
      <c r="FF38" s="939"/>
      <c r="FG38" s="939"/>
      <c r="FH38" s="939"/>
      <c r="FI38" s="939"/>
      <c r="FJ38" s="939"/>
      <c r="FK38" s="939"/>
      <c r="FL38" s="939"/>
      <c r="FM38" s="939"/>
      <c r="FN38" s="939"/>
      <c r="FO38" s="939"/>
      <c r="FP38" s="939"/>
      <c r="FQ38" s="939" t="s">
        <v>74</v>
      </c>
      <c r="FR38" s="939" t="s">
        <v>74</v>
      </c>
      <c r="FS38" s="939"/>
      <c r="FT38" s="939"/>
      <c r="FU38" s="939"/>
      <c r="FV38" s="939" t="s">
        <v>74</v>
      </c>
      <c r="FW38" s="939"/>
      <c r="FX38" s="939" t="s">
        <v>74</v>
      </c>
      <c r="FY38" s="939"/>
      <c r="FZ38" s="939"/>
      <c r="GA38" s="939"/>
      <c r="GB38" s="939"/>
      <c r="GC38" s="939"/>
      <c r="GD38" s="939"/>
      <c r="GE38" s="939" t="s">
        <v>74</v>
      </c>
      <c r="GF38" s="939" t="s">
        <v>74</v>
      </c>
      <c r="GG38" s="939"/>
      <c r="GH38" s="939"/>
      <c r="GI38" s="939"/>
      <c r="GJ38" s="939"/>
      <c r="GK38" s="939"/>
      <c r="GL38" s="939"/>
      <c r="GM38" s="939"/>
      <c r="GN38" s="939"/>
      <c r="GO38" s="939"/>
      <c r="GP38" s="939"/>
      <c r="GQ38" s="939"/>
      <c r="GR38" s="939"/>
      <c r="GS38" s="939" t="s">
        <v>74</v>
      </c>
      <c r="GT38" s="939"/>
      <c r="GU38" s="939"/>
      <c r="GV38" s="939"/>
      <c r="GW38" s="939"/>
      <c r="GX38" s="939"/>
      <c r="GY38" s="954"/>
      <c r="GZ38" s="954"/>
      <c r="HA38" s="940" t="s">
        <v>2739</v>
      </c>
      <c r="HB38" s="954"/>
      <c r="HC38" s="939"/>
      <c r="HD38" s="954"/>
      <c r="HE38" s="939"/>
      <c r="HF38" s="954"/>
      <c r="HG38" s="939"/>
      <c r="HH38" s="954"/>
      <c r="HI38" s="954"/>
      <c r="HJ38" s="939"/>
      <c r="HK38" s="954"/>
      <c r="HL38" s="939"/>
      <c r="HM38" s="939"/>
      <c r="HN38" s="954"/>
      <c r="HO38" s="954"/>
      <c r="HP38" s="939"/>
      <c r="HQ38" s="939"/>
      <c r="HR38" s="954"/>
      <c r="HS38" s="954"/>
      <c r="HT38" s="954"/>
      <c r="HU38" s="954"/>
      <c r="HV38" s="954"/>
      <c r="HW38" s="954"/>
      <c r="HX38" s="999"/>
      <c r="HY38" s="1012"/>
      <c r="HZ38" s="1012"/>
      <c r="IA38" s="1012"/>
      <c r="IB38" s="1012"/>
      <c r="IC38" s="1013"/>
      <c r="ID38" s="1013"/>
      <c r="IE38" s="1012"/>
      <c r="IF38" s="1012"/>
      <c r="IG38" s="1012"/>
      <c r="IH38" s="1012"/>
      <c r="II38" s="1012"/>
      <c r="IJ38" s="1012"/>
      <c r="IK38" s="939" t="s">
        <v>74</v>
      </c>
      <c r="IL38" s="1012"/>
      <c r="IM38" s="1012"/>
      <c r="IN38" s="1012"/>
      <c r="IO38" s="1012"/>
      <c r="IP38" s="1013"/>
      <c r="IQ38" s="1013"/>
      <c r="IR38" s="1012"/>
      <c r="IS38" s="1012"/>
      <c r="IT38" s="1012"/>
      <c r="IU38" s="1012"/>
      <c r="IV38" s="1012"/>
      <c r="IW38" s="929"/>
      <c r="IX38" s="929" t="str">
        <f>IF(ISNUMBER(SEARCH($A38,VLOOKUP(IX$2,职业列表!$B$1:$G$370,6,0))),"★","")</f>
        <v/>
      </c>
      <c r="IY38" s="929" t="str">
        <f>IF(ISNUMBER(SEARCH($A38,VLOOKUP(IY$2,职业列表!$B$1:$G$370,6,0))),"★","")</f>
        <v/>
      </c>
      <c r="IZ38" s="929" t="str">
        <f>IF(ISNUMBER(SEARCH($A38,VLOOKUP(IZ$2,职业列表!$B$1:$G$370,6,0))),"★","")</f>
        <v/>
      </c>
      <c r="JA38" s="929" t="str">
        <f>IF(ISNUMBER(SEARCH($A38,VLOOKUP(JA$2,职业列表!$B$1:$G$370,6,0))),"★","")</f>
        <v/>
      </c>
      <c r="JB38" s="929" t="str">
        <f>IF(ISNUMBER(SEARCH($A38,VLOOKUP(JB$2,职业列表!$B$1:$G$370,6,0))),"★","")</f>
        <v/>
      </c>
      <c r="JC38" s="929" t="str">
        <f>IF(ISNUMBER(SEARCH($A38,VLOOKUP(JC$2,职业列表!$B$1:$G$370,6,0))),"★","")</f>
        <v/>
      </c>
      <c r="JD38" s="929" t="str">
        <f>IF(ISNUMBER(SEARCH($A38,VLOOKUP(JD$2,职业列表!$B$1:$G$370,6,0))),"★","")</f>
        <v/>
      </c>
      <c r="JE38" s="929" t="str">
        <f>IF(ISNUMBER(SEARCH($A38,VLOOKUP(JE$2,职业列表!$B$1:$G$370,6,0))),"★","")</f>
        <v/>
      </c>
      <c r="JF38" s="929" t="str">
        <f>IF(ISNUMBER(SEARCH($A38,VLOOKUP(JF$2,职业列表!$B$1:$G$370,6,0))),"★","")</f>
        <v/>
      </c>
      <c r="JG38" s="929" t="str">
        <f>IF(ISNUMBER(SEARCH($A38,VLOOKUP(JG$2,职业列表!$B$1:$G$370,6,0))),"★","")</f>
        <v/>
      </c>
      <c r="JH38" s="929" t="str">
        <f>IF(ISNUMBER(SEARCH($A38,VLOOKUP(JH$2,职业列表!$B$1:$G$370,6,0))),"★","")</f>
        <v/>
      </c>
      <c r="JI38" s="929" t="str">
        <f>IF(ISNUMBER(SEARCH($A38,VLOOKUP(JI$2,职业列表!$B$1:$G$370,6,0))),"★","")</f>
        <v/>
      </c>
      <c r="JJ38" s="929" t="str">
        <f>IF(ISNUMBER(SEARCH($A38,VLOOKUP(JJ$2,职业列表!$B$1:$G$370,6,0))),"★","")</f>
        <v/>
      </c>
      <c r="JK38" s="929" t="str">
        <f>IF(ISNUMBER(SEARCH($A38,VLOOKUP(JK$2,职业列表!$B$1:$G$370,6,0))),"★","")</f>
        <v>★</v>
      </c>
      <c r="JL38" s="929" t="str">
        <f>IF(ISNUMBER(SEARCH($A38,VLOOKUP(JL$2,职业列表!$B$1:$G$370,6,0))),"★","")</f>
        <v/>
      </c>
      <c r="JM38" s="929" t="str">
        <f>IF(ISNUMBER(SEARCH($A38,VLOOKUP(JM$2,职业列表!$B$1:$G$370,6,0))),"★","")</f>
        <v/>
      </c>
      <c r="JN38" s="929" t="str">
        <f>IF(ISNUMBER(SEARCH($A38,VLOOKUP(JN$2,职业列表!$B$1:$G$370,6,0))),"★","")</f>
        <v>★</v>
      </c>
      <c r="JO38" s="929" t="str">
        <f>IF(ISNUMBER(SEARCH($A38,VLOOKUP(JO$2,职业列表!$B$1:$G$370,6,0))),"★","")</f>
        <v/>
      </c>
      <c r="JP38" s="929" t="str">
        <f>IF(ISNUMBER(SEARCH($A38,VLOOKUP(JP$2,职业列表!$B$1:$G$370,6,0))),"★","")</f>
        <v/>
      </c>
      <c r="JQ38" s="929" t="str">
        <f>IF(ISNUMBER(SEARCH($A38,VLOOKUP(JQ$2,职业列表!$B$1:$G$370,6,0))),"★","")</f>
        <v/>
      </c>
      <c r="JR38" s="929" t="str">
        <f>IF(ISNUMBER(SEARCH($A38,VLOOKUP(JR$2,职业列表!$B$1:$G$370,6,0))),"★","")</f>
        <v>★</v>
      </c>
      <c r="JS38" s="929" t="str">
        <f>IF(ISNUMBER(SEARCH($A38,VLOOKUP(JS$2,职业列表!$B$1:$G$370,6,0))),"★","")</f>
        <v/>
      </c>
      <c r="JT38" s="929" t="str">
        <f>IF(ISNUMBER(SEARCH($A38,VLOOKUP(JT$2,职业列表!$B$1:$G$370,6,0))),"★","")</f>
        <v/>
      </c>
      <c r="JU38" s="929" t="str">
        <f>IF(ISNUMBER(SEARCH($A38,VLOOKUP(JU$2,职业列表!$B$1:$G$370,6,0))),"★","")</f>
        <v/>
      </c>
      <c r="JV38" s="929" t="str">
        <f>IF(ISNUMBER(SEARCH($A38,VLOOKUP(JV$2,职业列表!$B$1:$G$370,6,0))),"★","")</f>
        <v/>
      </c>
      <c r="JW38" s="929" t="str">
        <f>IF(ISNUMBER(SEARCH($A38,VLOOKUP(JW$2,职业列表!$B$1:$G$370,6,0))),"★","")</f>
        <v/>
      </c>
      <c r="JX38" s="929" t="str">
        <f>IF(ISNUMBER(SEARCH($A38,VLOOKUP(JX$2,职业列表!$B$1:$G$370,6,0))),"★","")</f>
        <v/>
      </c>
      <c r="JY38" s="929" t="str">
        <f>IF(ISNUMBER(SEARCH($A38,VLOOKUP(JY$2,职业列表!$B$1:$G$370,6,0))),"★","")</f>
        <v/>
      </c>
      <c r="JZ38" s="929" t="str">
        <f>IF(ISNUMBER(SEARCH($A38,VLOOKUP(JZ$2,职业列表!$B$1:$G$370,6,0))),"★","")</f>
        <v/>
      </c>
      <c r="KA38" s="929" t="str">
        <f>IF(ISNUMBER(SEARCH($A38,VLOOKUP(KA$2,职业列表!$B$1:$G$370,6,0))),"★","")</f>
        <v/>
      </c>
      <c r="KB38" s="929" t="str">
        <f>IF(ISNUMBER(SEARCH($A38,VLOOKUP(KB$2,职业列表!$B$1:$G$370,6,0))),"★","")</f>
        <v/>
      </c>
      <c r="KC38" s="929" t="str">
        <f>IF(ISNUMBER(SEARCH($A38,VLOOKUP(KC$2,职业列表!$B$1:$G$370,6,0))),"★","")</f>
        <v/>
      </c>
      <c r="KD38" s="929" t="str">
        <f>IF(ISNUMBER(SEARCH($A38,VLOOKUP(KD$2,职业列表!$B$1:$G$370,6,0))),"★","")</f>
        <v/>
      </c>
      <c r="KE38" s="929" t="str">
        <f>IF(ISNUMBER(SEARCH($A38,VLOOKUP(KE$2,职业列表!$B$1:$G$370,6,0))),"★","")</f>
        <v/>
      </c>
      <c r="KF38" s="929" t="str">
        <f>IF(ISNUMBER(SEARCH($A38,VLOOKUP(KF$2,职业列表!$B$1:$G$370,6,0))),"★","")</f>
        <v/>
      </c>
      <c r="KG38" s="929" t="str">
        <f>IF(ISNUMBER(SEARCH($A38,VLOOKUP(KG$2,职业列表!$B$1:$G$370,6,0))),"★","")</f>
        <v/>
      </c>
      <c r="KH38" s="929" t="str">
        <f>IF(ISNUMBER(SEARCH($A38,VLOOKUP(KH$2,职业列表!$B$1:$G$370,6,0))),"★","")</f>
        <v/>
      </c>
      <c r="KI38" s="929" t="str">
        <f>IF(ISNUMBER(SEARCH($A38,VLOOKUP(KI$2,职业列表!$B$1:$G$370,6,0))),"★","")</f>
        <v/>
      </c>
      <c r="KJ38" s="929" t="str">
        <f>IF(ISNUMBER(SEARCH($A38,VLOOKUP(KJ$2,职业列表!$B$1:$G$370,6,0))),"★","")</f>
        <v/>
      </c>
      <c r="KK38" s="929" t="str">
        <f>IF(ISNUMBER(SEARCH($A38,VLOOKUP(KK$2,职业列表!$B$1:$G$370,6,0))),"★","")</f>
        <v/>
      </c>
      <c r="KL38" s="929" t="str">
        <f>IF(ISNUMBER(SEARCH($A38,VLOOKUP(KL$2,职业列表!$B$1:$G$370,6,0))),"★","")</f>
        <v/>
      </c>
      <c r="KM38" s="929" t="str">
        <f>IF(ISNUMBER(SEARCH($A38,VLOOKUP(KM$2,职业列表!$B$1:$G$370,6,0))),"★","")</f>
        <v/>
      </c>
      <c r="KN38" s="929" t="str">
        <f>IF(ISNUMBER(SEARCH($A38,VLOOKUP(KN$2,职业列表!$B$1:$G$370,6,0))),"★","")</f>
        <v/>
      </c>
      <c r="KO38" s="929" t="str">
        <f>IF(ISNUMBER(SEARCH($A38,VLOOKUP(KO$2,职业列表!$B$1:$G$370,6,0))),"★","")</f>
        <v>★</v>
      </c>
      <c r="KP38" s="929" t="str">
        <f>IF(ISNUMBER(SEARCH($A38,VLOOKUP(KP$2,职业列表!$B$1:$G$370,6,0))),"★","")</f>
        <v/>
      </c>
      <c r="KQ38" s="929" t="str">
        <f>IF(ISNUMBER(SEARCH($A38,VLOOKUP(KQ$2,职业列表!$B$1:$G$370,6,0))),"★","")</f>
        <v/>
      </c>
      <c r="KR38" s="929" t="str">
        <f>IF(ISNUMBER(SEARCH($A38,VLOOKUP(KR$2,职业列表!$B$1:$G$370,6,0))),"★","")</f>
        <v/>
      </c>
      <c r="KS38" s="929" t="str">
        <f>IF(ISNUMBER(SEARCH($A38,VLOOKUP(KS$2,职业列表!$B$1:$G$370,6,0))),"★","")</f>
        <v/>
      </c>
      <c r="KT38" s="929" t="str">
        <f>IF(ISNUMBER(SEARCH($A38,VLOOKUP(KT$2,职业列表!$B$1:$G$370,6,0))),"★","")</f>
        <v/>
      </c>
      <c r="KU38" s="929" t="str">
        <f>IF(ISNUMBER(SEARCH($A38,VLOOKUP(KU$2,职业列表!$B$1:$G$370,6,0))),"★","")</f>
        <v/>
      </c>
      <c r="KV38" s="929" t="str">
        <f>IF(ISNUMBER(SEARCH($A38,VLOOKUP(KV$2,职业列表!$B$1:$G$370,6,0))),"★","")</f>
        <v/>
      </c>
      <c r="KW38" s="929" t="str">
        <f>IF(ISNUMBER(SEARCH($A38,VLOOKUP(KW$2,职业列表!$B$1:$G$370,6,0))),"★","")</f>
        <v/>
      </c>
      <c r="KX38" s="929" t="str">
        <f>IF(ISNUMBER(SEARCH($A38,VLOOKUP(KX$2,职业列表!$B$1:$G$370,6,0))),"★","")</f>
        <v/>
      </c>
      <c r="KY38" s="929" t="str">
        <f>IF(ISNUMBER(SEARCH($A38,VLOOKUP(KY$2,职业列表!$B$1:$G$370,6,0))),"★","")</f>
        <v/>
      </c>
      <c r="KZ38" s="929" t="str">
        <f>IF(ISNUMBER(SEARCH($A38,VLOOKUP(KZ$2,职业列表!$B$1:$G$370,6,0))),"★","")</f>
        <v/>
      </c>
      <c r="LA38" s="929" t="str">
        <f>IF(ISNUMBER(SEARCH($A38,VLOOKUP(LA$2,职业列表!$B$1:$G$370,6,0))),"★","")</f>
        <v/>
      </c>
      <c r="LB38" s="929" t="str">
        <f>IF(ISNUMBER(SEARCH($A38,VLOOKUP(LB$2,职业列表!$B$1:$G$370,6,0))),"★","")</f>
        <v/>
      </c>
      <c r="LC38" s="929" t="str">
        <f>IF(ISNUMBER(SEARCH($A38,VLOOKUP(LC$2,职业列表!$B$1:$G$370,6,0))),"★","")</f>
        <v/>
      </c>
      <c r="LD38" s="929" t="str">
        <f>IF(ISNUMBER(SEARCH($A38,VLOOKUP(LD$2,职业列表!$B$1:$G$370,6,0))),"★","")</f>
        <v/>
      </c>
      <c r="LE38" s="929" t="str">
        <f>IF(ISNUMBER(SEARCH($A38,VLOOKUP(LE$2,职业列表!$B$1:$G$370,6,0))),"★","")</f>
        <v/>
      </c>
      <c r="LF38" s="929" t="str">
        <f>IF(ISNUMBER(SEARCH($A38,VLOOKUP(LF$2,职业列表!$B$1:$G$370,6,0))),"★","")</f>
        <v/>
      </c>
      <c r="LG38" s="929" t="str">
        <f>IF(ISNUMBER(SEARCH($A38,VLOOKUP(LG$2,职业列表!$B$1:$G$370,6,0))),"★","")</f>
        <v/>
      </c>
      <c r="LH38" s="929" t="str">
        <f>IF(ISNUMBER(SEARCH($A38,VLOOKUP(LH$2,职业列表!$B$1:$G$370,6,0))),"★","")</f>
        <v/>
      </c>
      <c r="LI38" s="929" t="str">
        <f>IF(ISNUMBER(SEARCH($A38,VLOOKUP(LI$2,职业列表!$B$1:$G$370,6,0))),"★","")</f>
        <v/>
      </c>
      <c r="LJ38" s="929" t="str">
        <f>IF(ISNUMBER(SEARCH($A38,VLOOKUP(LJ$2,职业列表!$B$1:$G$370,6,0))),"★","")</f>
        <v/>
      </c>
      <c r="LK38" s="929" t="str">
        <f>IF(ISNUMBER(SEARCH($A38,VLOOKUP(LK$2,职业列表!$B$1:$G$370,6,0))),"★","")</f>
        <v/>
      </c>
      <c r="LL38" s="929" t="str">
        <f>IF(ISNUMBER(SEARCH($A38,VLOOKUP(LL$2,职业列表!$B$1:$G$370,6,0))),"★","")</f>
        <v/>
      </c>
      <c r="LM38" s="929" t="str">
        <f>IF(ISNUMBER(SEARCH($A38,VLOOKUP(LM$2,职业列表!$B$1:$G$370,6,0))),"★","")</f>
        <v/>
      </c>
      <c r="LN38" s="929" t="str">
        <f>IF(ISNUMBER(SEARCH($A38,VLOOKUP(LN$2,职业列表!$B$1:$G$370,6,0))),"★","")</f>
        <v/>
      </c>
      <c r="LO38" s="929" t="str">
        <f>IF(ISNUMBER(SEARCH($A38,VLOOKUP(LO$2,职业列表!$B$1:$G$370,6,0))),"★","")</f>
        <v/>
      </c>
      <c r="LP38" s="929" t="str">
        <f>IF(ISNUMBER(SEARCH($A38,VLOOKUP(LP$2,职业列表!$B$1:$G$370,6,0))),"★","")</f>
        <v/>
      </c>
      <c r="LQ38" s="929" t="str">
        <f>IF(ISNUMBER(SEARCH($A38,VLOOKUP(LQ$2,职业列表!$B$1:$G$370,6,0))),"★","")</f>
        <v/>
      </c>
      <c r="LR38" s="929" t="str">
        <f>IF(ISNUMBER(SEARCH($A38,VLOOKUP(LR$2,职业列表!$B$1:$G$370,6,0))),"★","")</f>
        <v/>
      </c>
      <c r="LS38" s="929" t="str">
        <f>IF(ISNUMBER(SEARCH($A38,VLOOKUP(LS$2,职业列表!$B$1:$G$370,6,0))),"★","")</f>
        <v/>
      </c>
      <c r="LT38" s="929" t="str">
        <f>IF(ISNUMBER(SEARCH($A38,VLOOKUP(LT$2,职业列表!$B$1:$G$370,6,0))),"★","")</f>
        <v/>
      </c>
      <c r="LU38" s="929" t="str">
        <f>IF(ISNUMBER(SEARCH($A38,VLOOKUP(LU$2,职业列表!$B$1:$G$370,6,0))),"★","")</f>
        <v/>
      </c>
      <c r="LV38" s="929" t="str">
        <f>IF(ISNUMBER(SEARCH($A38,VLOOKUP(LV$2,职业列表!$B$1:$G$370,6,0))),"★","")</f>
        <v>★</v>
      </c>
      <c r="LW38" s="929" t="str">
        <f>IF(ISNUMBER(SEARCH($A38,VLOOKUP(LW$2,职业列表!$B$1:$G$370,6,0))),"★","")</f>
        <v/>
      </c>
      <c r="LX38" s="929" t="str">
        <f>IF(ISNUMBER(SEARCH($A38,VLOOKUP(LX$2,职业列表!$B$1:$G$370,6,0))),"★","")</f>
        <v/>
      </c>
      <c r="LY38" s="929" t="str">
        <f>IF(ISNUMBER(SEARCH($A38,VLOOKUP(LY$2,职业列表!$B$1:$G$370,6,0))),"★","")</f>
        <v/>
      </c>
      <c r="LZ38" s="929" t="str">
        <f>IF(ISNUMBER(SEARCH($A38,VLOOKUP(LZ$2,职业列表!$B$1:$G$370,6,0))),"★","")</f>
        <v/>
      </c>
      <c r="MA38" s="929" t="str">
        <f>IF(ISNUMBER(SEARCH($A38,VLOOKUP(MA$2,职业列表!$B$1:$G$370,6,0))),"★","")</f>
        <v/>
      </c>
      <c r="MB38" s="929" t="str">
        <f>IF(ISNUMBER(SEARCH($A38,VLOOKUP(MB$2,职业列表!$B$1:$G$370,6,0))),"★","")</f>
        <v/>
      </c>
      <c r="MC38" s="929" t="str">
        <f>IF(ISNUMBER(SEARCH($A38,VLOOKUP(MC$2,职业列表!$B$1:$G$370,6,0))),"★","")</f>
        <v/>
      </c>
      <c r="MD38" s="929" t="str">
        <f>IF(ISNUMBER(SEARCH($A38,VLOOKUP(MD$2,职业列表!$B$1:$G$370,6,0))),"★","")</f>
        <v/>
      </c>
      <c r="ME38" s="929" t="str">
        <f>IF(ISNUMBER(SEARCH($A38,VLOOKUP(ME$2,职业列表!$B$1:$G$370,6,0))),"★","")</f>
        <v/>
      </c>
      <c r="MF38" s="929" t="str">
        <f>IF(ISNUMBER(SEARCH($A38,VLOOKUP(MF$2,职业列表!$B$1:$G$370,6,0))),"★","")</f>
        <v/>
      </c>
      <c r="MG38" s="929" t="str">
        <f>IF(ISNUMBER(SEARCH($A38,VLOOKUP(MG$2,职业列表!$B$1:$G$370,6,0))),"★","")</f>
        <v/>
      </c>
      <c r="MH38" s="929" t="str">
        <f>IF(ISNUMBER(SEARCH($A38,VLOOKUP(MH$2,职业列表!$B$1:$G$370,6,0))),"★","")</f>
        <v/>
      </c>
      <c r="MI38" s="929" t="str">
        <f>IF(ISNUMBER(SEARCH($A38,VLOOKUP(MI$2,职业列表!$B$1:$G$370,6,0))),"★","")</f>
        <v/>
      </c>
      <c r="MJ38" s="929" t="str">
        <f>IF(ISNUMBER(SEARCH($A38,VLOOKUP(MJ$2,职业列表!$B$1:$G$370,6,0))),"★","")</f>
        <v/>
      </c>
      <c r="MK38" s="929" t="str">
        <f>IF(ISNUMBER(SEARCH($A38,VLOOKUP(MK$2,职业列表!$B$1:$G$370,6,0))),"★","")</f>
        <v/>
      </c>
      <c r="ML38" s="929" t="str">
        <f>IF(ISNUMBER(SEARCH($A38,VLOOKUP(ML$2,职业列表!$B$1:$G$370,6,0))),"★","")</f>
        <v/>
      </c>
      <c r="MM38" s="929" t="str">
        <f>IF(ISNUMBER(SEARCH($A38,VLOOKUP(MM$2,职业列表!$B$1:$G$370,6,0))),"★","")</f>
        <v/>
      </c>
      <c r="MN38" s="929" t="str">
        <f>IF(ISNUMBER(SEARCH($A38,VLOOKUP(MN$2,职业列表!$B$1:$G$370,6,0))),"★","")</f>
        <v/>
      </c>
      <c r="MO38" s="929" t="str">
        <f>IF(ISNUMBER(SEARCH($A38,VLOOKUP(MO$2,职业列表!$B$1:$G$370,6,0))),"★","")</f>
        <v/>
      </c>
      <c r="MP38" s="929" t="str">
        <f>IF(ISNUMBER(SEARCH($A38,VLOOKUP(MP$2,职业列表!$B$1:$G$370,6,0))),"★","")</f>
        <v/>
      </c>
      <c r="MQ38" s="929" t="str">
        <f>IF(ISNUMBER(SEARCH($A38,VLOOKUP(MQ$2,职业列表!$B$1:$G$370,6,0))),"★","")</f>
        <v/>
      </c>
      <c r="MR38" s="929" t="str">
        <f>IF(ISNUMBER(SEARCH($A38,VLOOKUP(MR$2,职业列表!$B$1:$G$370,6,0))),"★","")</f>
        <v/>
      </c>
      <c r="MS38" s="929" t="str">
        <f>IF(ISNUMBER(SEARCH($A38,VLOOKUP(MS$2,职业列表!$B$1:$G$370,6,0))),"★","")</f>
        <v/>
      </c>
      <c r="MT38" s="929" t="str">
        <f>IF(ISNUMBER(SEARCH($A38,VLOOKUP(MT$2,职业列表!$B$1:$G$370,6,0))),"★","")</f>
        <v/>
      </c>
      <c r="MU38" s="929" t="str">
        <f>IF(ISNUMBER(SEARCH($A38,VLOOKUP(MU$2,职业列表!$B$1:$G$370,6,0))),"★","")</f>
        <v/>
      </c>
      <c r="MV38" s="929" t="str">
        <f>IF(ISNUMBER(SEARCH($A38,VLOOKUP(MV$2,职业列表!$B$1:$G$370,6,0))),"★","")</f>
        <v/>
      </c>
      <c r="MW38" s="929" t="str">
        <f>IF(ISNUMBER(SEARCH($A38,VLOOKUP(MW$2,职业列表!$B$1:$G$370,6,0))),"★","")</f>
        <v/>
      </c>
      <c r="MX38" s="929" t="str">
        <f>IF(ISNUMBER(SEARCH($A38,VLOOKUP(MX$2,职业列表!$B$1:$G$370,6,0))),"★","")</f>
        <v>★</v>
      </c>
      <c r="MY38" s="929" t="str">
        <f>IF(ISNUMBER(SEARCH($A38,VLOOKUP(MY$2,职业列表!$B$1:$G$370,6,0))),"★","")</f>
        <v/>
      </c>
      <c r="MZ38" s="929" t="str">
        <f>IF(ISNUMBER(SEARCH($A38,VLOOKUP(MZ$2,职业列表!$B$1:$G$370,6,0))),"★","")</f>
        <v/>
      </c>
      <c r="NA38" s="929" t="str">
        <f>IF(ISNUMBER(SEARCH($A38,VLOOKUP(NA$2,职业列表!$B$1:$G$370,6,0))),"★","")</f>
        <v/>
      </c>
      <c r="NB38" s="929" t="str">
        <f>IF(ISNUMBER(SEARCH($A38,VLOOKUP(NB$2,职业列表!$B$1:$G$370,6,0))),"★","")</f>
        <v/>
      </c>
      <c r="NC38" s="929" t="str">
        <f>IF(ISNUMBER(SEARCH($A38,VLOOKUP(NC$2,职业列表!$B$1:$G$370,6,0))),"★","")</f>
        <v/>
      </c>
      <c r="ND38" s="929" t="str">
        <f>IF(ISNUMBER(SEARCH($A38,VLOOKUP(ND$2,职业列表!$B$1:$G$370,6,0))),"★","")</f>
        <v/>
      </c>
      <c r="NE38" s="929" t="str">
        <f>IF(ISNUMBER(SEARCH($A38,VLOOKUP(NE$2,职业列表!$B$1:$G$370,6,0))),"★","")</f>
        <v/>
      </c>
    </row>
    <row r="39" customFormat="1" spans="1:369">
      <c r="A39" s="932" t="s">
        <v>159</v>
      </c>
      <c r="B39" s="939" t="str">
        <f>IF(OR(A39="说服",A39="话术",A39="取悦",A39="恐吓"),"☯",IF(ISNUMBER(SEARCH(A39,VLOOKUP(IX$2,职业列表!$B$1:$G$370,6,0))),"★",""))</f>
        <v/>
      </c>
      <c r="C39" s="939" t="str">
        <f>IF(ISTEXT(IFERROR(VLOOKUP(A39,职业列表!I3:J10,1,FALSE),0)),"★","")</f>
        <v/>
      </c>
      <c r="D39" s="954"/>
      <c r="E39" s="954"/>
      <c r="F39" s="954"/>
      <c r="G39" s="954"/>
      <c r="H39" s="954"/>
      <c r="I39" s="939" t="s">
        <v>74</v>
      </c>
      <c r="J39" s="954"/>
      <c r="K39" s="939" t="s">
        <v>74</v>
      </c>
      <c r="L39" s="954"/>
      <c r="M39" s="939" t="s">
        <v>74</v>
      </c>
      <c r="N39" s="954"/>
      <c r="O39" s="939" t="s">
        <v>74</v>
      </c>
      <c r="P39" s="954"/>
      <c r="Q39" s="954"/>
      <c r="R39" s="939" t="s">
        <v>74</v>
      </c>
      <c r="S39" s="954"/>
      <c r="T39" s="939" t="s">
        <v>2717</v>
      </c>
      <c r="U39" s="939" t="s">
        <v>74</v>
      </c>
      <c r="V39" s="954"/>
      <c r="W39" s="954"/>
      <c r="X39" s="939" t="s">
        <v>74</v>
      </c>
      <c r="Y39" s="939" t="s">
        <v>74</v>
      </c>
      <c r="Z39" s="954"/>
      <c r="AA39" s="954"/>
      <c r="AB39" s="954"/>
      <c r="AC39" s="954"/>
      <c r="AD39" s="954"/>
      <c r="AE39" s="954"/>
      <c r="AF39" s="954"/>
      <c r="AG39" s="954"/>
      <c r="AH39" s="939" t="s">
        <v>2716</v>
      </c>
      <c r="AI39" s="954"/>
      <c r="AJ39" s="954"/>
      <c r="AK39" s="954"/>
      <c r="AL39" s="954"/>
      <c r="AM39" s="954"/>
      <c r="AN39" s="954"/>
      <c r="AO39" s="954"/>
      <c r="AP39" s="954"/>
      <c r="AQ39" s="954"/>
      <c r="AR39" s="939" t="s">
        <v>74</v>
      </c>
      <c r="AS39" s="954"/>
      <c r="AT39" s="954"/>
      <c r="AU39" s="954"/>
      <c r="AV39" s="954"/>
      <c r="AW39" s="954"/>
      <c r="AX39" s="954"/>
      <c r="AY39" s="954"/>
      <c r="AZ39" s="954"/>
      <c r="BA39" s="954"/>
      <c r="BB39" s="954"/>
      <c r="BC39" s="939" t="s">
        <v>74</v>
      </c>
      <c r="BD39" s="954"/>
      <c r="BE39" s="954"/>
      <c r="BF39" s="954"/>
      <c r="BG39" s="939" t="s">
        <v>74</v>
      </c>
      <c r="BH39" s="954"/>
      <c r="BI39" s="954"/>
      <c r="BJ39" s="954"/>
      <c r="BK39" s="954"/>
      <c r="BL39" s="954"/>
      <c r="BM39" s="954"/>
      <c r="BN39" s="954"/>
      <c r="BO39" s="954"/>
      <c r="BP39" s="954"/>
      <c r="BQ39" s="954"/>
      <c r="BR39" s="939"/>
      <c r="BS39" s="954"/>
      <c r="BT39" s="954"/>
      <c r="BU39" s="954"/>
      <c r="BV39" s="954"/>
      <c r="BW39" s="939" t="s">
        <v>74</v>
      </c>
      <c r="BX39" s="954"/>
      <c r="BY39" s="954"/>
      <c r="BZ39" s="954"/>
      <c r="CA39" s="939" t="s">
        <v>74</v>
      </c>
      <c r="CB39" s="939" t="s">
        <v>74</v>
      </c>
      <c r="CC39" s="954"/>
      <c r="CD39" s="954"/>
      <c r="CE39" s="939" t="s">
        <v>74</v>
      </c>
      <c r="CF39" s="954"/>
      <c r="CG39" s="939" t="s">
        <v>74</v>
      </c>
      <c r="CH39" s="954"/>
      <c r="CI39" s="954"/>
      <c r="CJ39" s="939" t="s">
        <v>74</v>
      </c>
      <c r="CK39" s="954"/>
      <c r="CL39" s="954"/>
      <c r="CM39" s="954"/>
      <c r="CN39" s="954"/>
      <c r="CO39" s="954"/>
      <c r="CP39" s="939" t="s">
        <v>74</v>
      </c>
      <c r="CQ39" s="954"/>
      <c r="CR39" s="954"/>
      <c r="CS39" s="939" t="s">
        <v>74</v>
      </c>
      <c r="CT39" s="954"/>
      <c r="CU39" s="939" t="s">
        <v>74</v>
      </c>
      <c r="CV39" s="954"/>
      <c r="CW39" s="954"/>
      <c r="CX39" s="954"/>
      <c r="CY39" s="939" t="s">
        <v>74</v>
      </c>
      <c r="CZ39" s="954"/>
      <c r="DA39" s="954"/>
      <c r="DB39" s="940"/>
      <c r="DC39" s="939" t="s">
        <v>74</v>
      </c>
      <c r="DD39" s="939" t="s">
        <v>2716</v>
      </c>
      <c r="DE39" s="954"/>
      <c r="DF39" s="954"/>
      <c r="DG39" s="954"/>
      <c r="DH39" s="954"/>
      <c r="DI39" s="954"/>
      <c r="DJ39" s="939" t="s">
        <v>74</v>
      </c>
      <c r="DK39" s="939" t="s">
        <v>74</v>
      </c>
      <c r="DL39" s="954"/>
      <c r="DM39" s="954"/>
      <c r="DN39" s="939"/>
      <c r="DO39" s="939"/>
      <c r="DP39" s="939"/>
      <c r="DQ39" s="939"/>
      <c r="DR39" s="939"/>
      <c r="DS39" s="939" t="s">
        <v>74</v>
      </c>
      <c r="DT39" s="939"/>
      <c r="DU39" s="939"/>
      <c r="DV39" s="939"/>
      <c r="DW39" s="939"/>
      <c r="DX39" s="939" t="s">
        <v>74</v>
      </c>
      <c r="DY39" s="939" t="s">
        <v>74</v>
      </c>
      <c r="DZ39" s="939"/>
      <c r="EA39" s="939"/>
      <c r="EB39" s="939"/>
      <c r="EC39" s="939"/>
      <c r="ED39" s="939"/>
      <c r="EE39" s="939"/>
      <c r="EF39" s="939"/>
      <c r="EG39" s="939"/>
      <c r="EH39" s="939"/>
      <c r="EI39" s="939"/>
      <c r="EJ39" s="939" t="s">
        <v>74</v>
      </c>
      <c r="EK39" s="939"/>
      <c r="EL39" s="939"/>
      <c r="EM39" s="939"/>
      <c r="EN39" s="939" t="s">
        <v>74</v>
      </c>
      <c r="EO39" s="939"/>
      <c r="EP39" s="939"/>
      <c r="EQ39" s="939"/>
      <c r="ER39" s="939"/>
      <c r="ES39" s="939"/>
      <c r="ET39" s="939"/>
      <c r="EU39" s="939"/>
      <c r="EV39" s="939"/>
      <c r="EW39" s="939"/>
      <c r="EX39" s="939" t="s">
        <v>74</v>
      </c>
      <c r="EY39" s="939"/>
      <c r="EZ39" s="939"/>
      <c r="FA39" s="939"/>
      <c r="FB39" s="939"/>
      <c r="FC39" s="939"/>
      <c r="FD39" s="939"/>
      <c r="FE39" s="939"/>
      <c r="FF39" s="939"/>
      <c r="FG39" s="939"/>
      <c r="FH39" s="939"/>
      <c r="FI39" s="939"/>
      <c r="FJ39" s="939"/>
      <c r="FK39" s="939"/>
      <c r="FL39" s="939"/>
      <c r="FM39" s="939"/>
      <c r="FN39" s="939"/>
      <c r="FO39" s="939"/>
      <c r="FP39" s="939"/>
      <c r="FQ39" s="939" t="s">
        <v>74</v>
      </c>
      <c r="FR39" s="939" t="s">
        <v>74</v>
      </c>
      <c r="FS39" s="939"/>
      <c r="FT39" s="939"/>
      <c r="FU39" s="939"/>
      <c r="FV39" s="939" t="s">
        <v>74</v>
      </c>
      <c r="FW39" s="939"/>
      <c r="FX39" s="939" t="s">
        <v>74</v>
      </c>
      <c r="FY39" s="939"/>
      <c r="FZ39" s="939"/>
      <c r="GA39" s="939"/>
      <c r="GB39" s="939"/>
      <c r="GC39" s="939"/>
      <c r="GD39" s="939"/>
      <c r="GE39" s="939" t="s">
        <v>74</v>
      </c>
      <c r="GF39" s="939" t="s">
        <v>74</v>
      </c>
      <c r="GG39" s="939"/>
      <c r="GH39" s="939"/>
      <c r="GI39" s="939"/>
      <c r="GJ39" s="939"/>
      <c r="GK39" s="939"/>
      <c r="GL39" s="939"/>
      <c r="GM39" s="939"/>
      <c r="GN39" s="939"/>
      <c r="GO39" s="939"/>
      <c r="GP39" s="939"/>
      <c r="GQ39" s="939"/>
      <c r="GR39" s="939"/>
      <c r="GS39" s="939" t="s">
        <v>74</v>
      </c>
      <c r="GT39" s="939"/>
      <c r="GU39" s="939"/>
      <c r="GV39" s="939"/>
      <c r="GW39" s="939"/>
      <c r="GX39" s="939"/>
      <c r="GY39" s="954"/>
      <c r="GZ39" s="954"/>
      <c r="HA39" s="940"/>
      <c r="HB39" s="954"/>
      <c r="HC39" s="939"/>
      <c r="HD39" s="954"/>
      <c r="HE39" s="939"/>
      <c r="HF39" s="954"/>
      <c r="HG39" s="939"/>
      <c r="HH39" s="954"/>
      <c r="HI39" s="954"/>
      <c r="HJ39" s="939"/>
      <c r="HK39" s="954"/>
      <c r="HL39" s="939"/>
      <c r="HM39" s="939"/>
      <c r="HN39" s="954"/>
      <c r="HO39" s="954"/>
      <c r="HP39" s="939"/>
      <c r="HQ39" s="939"/>
      <c r="HR39" s="954"/>
      <c r="HS39" s="954"/>
      <c r="HT39" s="954"/>
      <c r="HU39" s="954"/>
      <c r="HV39" s="954"/>
      <c r="HW39" s="954"/>
      <c r="HX39" s="999"/>
      <c r="HY39" s="1012"/>
      <c r="HZ39" s="1012"/>
      <c r="IA39" s="1012"/>
      <c r="IB39" s="1012"/>
      <c r="IC39" s="1013"/>
      <c r="ID39" s="1013"/>
      <c r="IE39" s="1012"/>
      <c r="IF39" s="1012"/>
      <c r="IG39" s="1012"/>
      <c r="IH39" s="1012"/>
      <c r="II39" s="1012"/>
      <c r="IJ39" s="1012"/>
      <c r="IK39" s="939" t="s">
        <v>74</v>
      </c>
      <c r="IL39" s="1012"/>
      <c r="IM39" s="1012"/>
      <c r="IN39" s="1012"/>
      <c r="IO39" s="1012"/>
      <c r="IP39" s="1013"/>
      <c r="IQ39" s="1013"/>
      <c r="IR39" s="1012"/>
      <c r="IS39" s="1012"/>
      <c r="IT39" s="1012"/>
      <c r="IU39" s="1012"/>
      <c r="IV39" s="1012"/>
      <c r="IW39" s="929"/>
      <c r="IX39" s="929" t="str">
        <f>IF(ISNUMBER(SEARCH($A39,VLOOKUP(IX$2,职业列表!$B$1:$G$370,6,0))),"★","")</f>
        <v/>
      </c>
      <c r="IY39" s="929" t="str">
        <f>IF(ISNUMBER(SEARCH($A39,VLOOKUP(IY$2,职业列表!$B$1:$G$370,6,0))),"★","")</f>
        <v/>
      </c>
      <c r="IZ39" s="929" t="str">
        <f>IF(ISNUMBER(SEARCH($A39,VLOOKUP(IZ$2,职业列表!$B$1:$G$370,6,0))),"★","")</f>
        <v/>
      </c>
      <c r="JA39" s="929" t="str">
        <f>IF(ISNUMBER(SEARCH($A39,VLOOKUP(JA$2,职业列表!$B$1:$G$370,6,0))),"★","")</f>
        <v/>
      </c>
      <c r="JB39" s="929" t="str">
        <f>IF(ISNUMBER(SEARCH($A39,VLOOKUP(JB$2,职业列表!$B$1:$G$370,6,0))),"★","")</f>
        <v/>
      </c>
      <c r="JC39" s="929" t="str">
        <f>IF(ISNUMBER(SEARCH($A39,VLOOKUP(JC$2,职业列表!$B$1:$G$370,6,0))),"★","")</f>
        <v/>
      </c>
      <c r="JD39" s="929" t="str">
        <f>IF(ISNUMBER(SEARCH($A39,VLOOKUP(JD$2,职业列表!$B$1:$G$370,6,0))),"★","")</f>
        <v/>
      </c>
      <c r="JE39" s="929" t="str">
        <f>IF(ISNUMBER(SEARCH($A39,VLOOKUP(JE$2,职业列表!$B$1:$G$370,6,0))),"★","")</f>
        <v/>
      </c>
      <c r="JF39" s="929" t="str">
        <f>IF(ISNUMBER(SEARCH($A39,VLOOKUP(JF$2,职业列表!$B$1:$G$370,6,0))),"★","")</f>
        <v/>
      </c>
      <c r="JG39" s="929" t="str">
        <f>IF(ISNUMBER(SEARCH($A39,VLOOKUP(JG$2,职业列表!$B$1:$G$370,6,0))),"★","")</f>
        <v/>
      </c>
      <c r="JH39" s="929" t="str">
        <f>IF(ISNUMBER(SEARCH($A39,VLOOKUP(JH$2,职业列表!$B$1:$G$370,6,0))),"★","")</f>
        <v/>
      </c>
      <c r="JI39" s="929" t="str">
        <f>IF(ISNUMBER(SEARCH($A39,VLOOKUP(JI$2,职业列表!$B$1:$G$370,6,0))),"★","")</f>
        <v/>
      </c>
      <c r="JJ39" s="929" t="str">
        <f>IF(ISNUMBER(SEARCH($A39,VLOOKUP(JJ$2,职业列表!$B$1:$G$370,6,0))),"★","")</f>
        <v/>
      </c>
      <c r="JK39" s="929" t="str">
        <f>IF(ISNUMBER(SEARCH($A39,VLOOKUP(JK$2,职业列表!$B$1:$G$370,6,0))),"★","")</f>
        <v>★</v>
      </c>
      <c r="JL39" s="929" t="str">
        <f>IF(ISNUMBER(SEARCH($A39,VLOOKUP(JL$2,职业列表!$B$1:$G$370,6,0))),"★","")</f>
        <v/>
      </c>
      <c r="JM39" s="929" t="str">
        <f>IF(ISNUMBER(SEARCH($A39,VLOOKUP(JM$2,职业列表!$B$1:$G$370,6,0))),"★","")</f>
        <v/>
      </c>
      <c r="JN39" s="929" t="str">
        <f>IF(ISNUMBER(SEARCH($A39,VLOOKUP(JN$2,职业列表!$B$1:$G$370,6,0))),"★","")</f>
        <v/>
      </c>
      <c r="JO39" s="929" t="str">
        <f>IF(ISNUMBER(SEARCH($A39,VLOOKUP(JO$2,职业列表!$B$1:$G$370,6,0))),"★","")</f>
        <v/>
      </c>
      <c r="JP39" s="929" t="str">
        <f>IF(ISNUMBER(SEARCH($A39,VLOOKUP(JP$2,职业列表!$B$1:$G$370,6,0))),"★","")</f>
        <v/>
      </c>
      <c r="JQ39" s="929" t="str">
        <f>IF(ISNUMBER(SEARCH($A39,VLOOKUP(JQ$2,职业列表!$B$1:$G$370,6,0))),"★","")</f>
        <v/>
      </c>
      <c r="JR39" s="929" t="str">
        <f>IF(ISNUMBER(SEARCH($A39,VLOOKUP(JR$2,职业列表!$B$1:$G$370,6,0))),"★","")</f>
        <v/>
      </c>
      <c r="JS39" s="929" t="str">
        <f>IF(ISNUMBER(SEARCH($A39,VLOOKUP(JS$2,职业列表!$B$1:$G$370,6,0))),"★","")</f>
        <v/>
      </c>
      <c r="JT39" s="929" t="str">
        <f>IF(ISNUMBER(SEARCH($A39,VLOOKUP(JT$2,职业列表!$B$1:$G$370,6,0))),"★","")</f>
        <v/>
      </c>
      <c r="JU39" s="929" t="str">
        <f>IF(ISNUMBER(SEARCH($A39,VLOOKUP(JU$2,职业列表!$B$1:$G$370,6,0))),"★","")</f>
        <v/>
      </c>
      <c r="JV39" s="929" t="str">
        <f>IF(ISNUMBER(SEARCH($A39,VLOOKUP(JV$2,职业列表!$B$1:$G$370,6,0))),"★","")</f>
        <v/>
      </c>
      <c r="JW39" s="929" t="str">
        <f>IF(ISNUMBER(SEARCH($A39,VLOOKUP(JW$2,职业列表!$B$1:$G$370,6,0))),"★","")</f>
        <v/>
      </c>
      <c r="JX39" s="929" t="str">
        <f>IF(ISNUMBER(SEARCH($A39,VLOOKUP(JX$2,职业列表!$B$1:$G$370,6,0))),"★","")</f>
        <v/>
      </c>
      <c r="JY39" s="929" t="str">
        <f>IF(ISNUMBER(SEARCH($A39,VLOOKUP(JY$2,职业列表!$B$1:$G$370,6,0))),"★","")</f>
        <v/>
      </c>
      <c r="JZ39" s="929" t="str">
        <f>IF(ISNUMBER(SEARCH($A39,VLOOKUP(JZ$2,职业列表!$B$1:$G$370,6,0))),"★","")</f>
        <v/>
      </c>
      <c r="KA39" s="929" t="str">
        <f>IF(ISNUMBER(SEARCH($A39,VLOOKUP(KA$2,职业列表!$B$1:$G$370,6,0))),"★","")</f>
        <v/>
      </c>
      <c r="KB39" s="929" t="str">
        <f>IF(ISNUMBER(SEARCH($A39,VLOOKUP(KB$2,职业列表!$B$1:$G$370,6,0))),"★","")</f>
        <v/>
      </c>
      <c r="KC39" s="929" t="str">
        <f>IF(ISNUMBER(SEARCH($A39,VLOOKUP(KC$2,职业列表!$B$1:$G$370,6,0))),"★","")</f>
        <v/>
      </c>
      <c r="KD39" s="929" t="str">
        <f>IF(ISNUMBER(SEARCH($A39,VLOOKUP(KD$2,职业列表!$B$1:$G$370,6,0))),"★","")</f>
        <v/>
      </c>
      <c r="KE39" s="929" t="str">
        <f>IF(ISNUMBER(SEARCH($A39,VLOOKUP(KE$2,职业列表!$B$1:$G$370,6,0))),"★","")</f>
        <v/>
      </c>
      <c r="KF39" s="929" t="str">
        <f>IF(ISNUMBER(SEARCH($A39,VLOOKUP(KF$2,职业列表!$B$1:$G$370,6,0))),"★","")</f>
        <v/>
      </c>
      <c r="KG39" s="929" t="str">
        <f>IF(ISNUMBER(SEARCH($A39,VLOOKUP(KG$2,职业列表!$B$1:$G$370,6,0))),"★","")</f>
        <v/>
      </c>
      <c r="KH39" s="929" t="str">
        <f>IF(ISNUMBER(SEARCH($A39,VLOOKUP(KH$2,职业列表!$B$1:$G$370,6,0))),"★","")</f>
        <v/>
      </c>
      <c r="KI39" s="929" t="str">
        <f>IF(ISNUMBER(SEARCH($A39,VLOOKUP(KI$2,职业列表!$B$1:$G$370,6,0))),"★","")</f>
        <v/>
      </c>
      <c r="KJ39" s="929" t="str">
        <f>IF(ISNUMBER(SEARCH($A39,VLOOKUP(KJ$2,职业列表!$B$1:$G$370,6,0))),"★","")</f>
        <v/>
      </c>
      <c r="KK39" s="929" t="str">
        <f>IF(ISNUMBER(SEARCH($A39,VLOOKUP(KK$2,职业列表!$B$1:$G$370,6,0))),"★","")</f>
        <v/>
      </c>
      <c r="KL39" s="929" t="str">
        <f>IF(ISNUMBER(SEARCH($A39,VLOOKUP(KL$2,职业列表!$B$1:$G$370,6,0))),"★","")</f>
        <v/>
      </c>
      <c r="KM39" s="929" t="str">
        <f>IF(ISNUMBER(SEARCH($A39,VLOOKUP(KM$2,职业列表!$B$1:$G$370,6,0))),"★","")</f>
        <v/>
      </c>
      <c r="KN39" s="929" t="str">
        <f>IF(ISNUMBER(SEARCH($A39,VLOOKUP(KN$2,职业列表!$B$1:$G$370,6,0))),"★","")</f>
        <v/>
      </c>
      <c r="KO39" s="929" t="str">
        <f>IF(ISNUMBER(SEARCH($A39,VLOOKUP(KO$2,职业列表!$B$1:$G$370,6,0))),"★","")</f>
        <v>★</v>
      </c>
      <c r="KP39" s="929" t="str">
        <f>IF(ISNUMBER(SEARCH($A39,VLOOKUP(KP$2,职业列表!$B$1:$G$370,6,0))),"★","")</f>
        <v/>
      </c>
      <c r="KQ39" s="929" t="str">
        <f>IF(ISNUMBER(SEARCH($A39,VLOOKUP(KQ$2,职业列表!$B$1:$G$370,6,0))),"★","")</f>
        <v/>
      </c>
      <c r="KR39" s="929" t="str">
        <f>IF(ISNUMBER(SEARCH($A39,VLOOKUP(KR$2,职业列表!$B$1:$G$370,6,0))),"★","")</f>
        <v/>
      </c>
      <c r="KS39" s="929" t="str">
        <f>IF(ISNUMBER(SEARCH($A39,VLOOKUP(KS$2,职业列表!$B$1:$G$370,6,0))),"★","")</f>
        <v/>
      </c>
      <c r="KT39" s="929" t="str">
        <f>IF(ISNUMBER(SEARCH($A39,VLOOKUP(KT$2,职业列表!$B$1:$G$370,6,0))),"★","")</f>
        <v/>
      </c>
      <c r="KU39" s="929" t="str">
        <f>IF(ISNUMBER(SEARCH($A39,VLOOKUP(KU$2,职业列表!$B$1:$G$370,6,0))),"★","")</f>
        <v/>
      </c>
      <c r="KV39" s="929" t="str">
        <f>IF(ISNUMBER(SEARCH($A39,VLOOKUP(KV$2,职业列表!$B$1:$G$370,6,0))),"★","")</f>
        <v/>
      </c>
      <c r="KW39" s="929" t="str">
        <f>IF(ISNUMBER(SEARCH($A39,VLOOKUP(KW$2,职业列表!$B$1:$G$370,6,0))),"★","")</f>
        <v/>
      </c>
      <c r="KX39" s="929" t="str">
        <f>IF(ISNUMBER(SEARCH($A39,VLOOKUP(KX$2,职业列表!$B$1:$G$370,6,0))),"★","")</f>
        <v/>
      </c>
      <c r="KY39" s="929" t="str">
        <f>IF(ISNUMBER(SEARCH($A39,VLOOKUP(KY$2,职业列表!$B$1:$G$370,6,0))),"★","")</f>
        <v/>
      </c>
      <c r="KZ39" s="929" t="str">
        <f>IF(ISNUMBER(SEARCH($A39,VLOOKUP(KZ$2,职业列表!$B$1:$G$370,6,0))),"★","")</f>
        <v/>
      </c>
      <c r="LA39" s="929" t="str">
        <f>IF(ISNUMBER(SEARCH($A39,VLOOKUP(LA$2,职业列表!$B$1:$G$370,6,0))),"★","")</f>
        <v/>
      </c>
      <c r="LB39" s="929" t="str">
        <f>IF(ISNUMBER(SEARCH($A39,VLOOKUP(LB$2,职业列表!$B$1:$G$370,6,0))),"★","")</f>
        <v/>
      </c>
      <c r="LC39" s="929" t="str">
        <f>IF(ISNUMBER(SEARCH($A39,VLOOKUP(LC$2,职业列表!$B$1:$G$370,6,0))),"★","")</f>
        <v/>
      </c>
      <c r="LD39" s="929" t="str">
        <f>IF(ISNUMBER(SEARCH($A39,VLOOKUP(LD$2,职业列表!$B$1:$G$370,6,0))),"★","")</f>
        <v/>
      </c>
      <c r="LE39" s="929" t="str">
        <f>IF(ISNUMBER(SEARCH($A39,VLOOKUP(LE$2,职业列表!$B$1:$G$370,6,0))),"★","")</f>
        <v/>
      </c>
      <c r="LF39" s="929" t="str">
        <f>IF(ISNUMBER(SEARCH($A39,VLOOKUP(LF$2,职业列表!$B$1:$G$370,6,0))),"★","")</f>
        <v/>
      </c>
      <c r="LG39" s="929" t="str">
        <f>IF(ISNUMBER(SEARCH($A39,VLOOKUP(LG$2,职业列表!$B$1:$G$370,6,0))),"★","")</f>
        <v/>
      </c>
      <c r="LH39" s="929" t="str">
        <f>IF(ISNUMBER(SEARCH($A39,VLOOKUP(LH$2,职业列表!$B$1:$G$370,6,0))),"★","")</f>
        <v/>
      </c>
      <c r="LI39" s="929" t="str">
        <f>IF(ISNUMBER(SEARCH($A39,VLOOKUP(LI$2,职业列表!$B$1:$G$370,6,0))),"★","")</f>
        <v/>
      </c>
      <c r="LJ39" s="929" t="str">
        <f>IF(ISNUMBER(SEARCH($A39,VLOOKUP(LJ$2,职业列表!$B$1:$G$370,6,0))),"★","")</f>
        <v/>
      </c>
      <c r="LK39" s="929" t="str">
        <f>IF(ISNUMBER(SEARCH($A39,VLOOKUP(LK$2,职业列表!$B$1:$G$370,6,0))),"★","")</f>
        <v/>
      </c>
      <c r="LL39" s="929" t="str">
        <f>IF(ISNUMBER(SEARCH($A39,VLOOKUP(LL$2,职业列表!$B$1:$G$370,6,0))),"★","")</f>
        <v/>
      </c>
      <c r="LM39" s="929" t="str">
        <f>IF(ISNUMBER(SEARCH($A39,VLOOKUP(LM$2,职业列表!$B$1:$G$370,6,0))),"★","")</f>
        <v/>
      </c>
      <c r="LN39" s="929" t="str">
        <f>IF(ISNUMBER(SEARCH($A39,VLOOKUP(LN$2,职业列表!$B$1:$G$370,6,0))),"★","")</f>
        <v/>
      </c>
      <c r="LO39" s="929" t="str">
        <f>IF(ISNUMBER(SEARCH($A39,VLOOKUP(LO$2,职业列表!$B$1:$G$370,6,0))),"★","")</f>
        <v/>
      </c>
      <c r="LP39" s="929" t="str">
        <f>IF(ISNUMBER(SEARCH($A39,VLOOKUP(LP$2,职业列表!$B$1:$G$370,6,0))),"★","")</f>
        <v/>
      </c>
      <c r="LQ39" s="929" t="str">
        <f>IF(ISNUMBER(SEARCH($A39,VLOOKUP(LQ$2,职业列表!$B$1:$G$370,6,0))),"★","")</f>
        <v/>
      </c>
      <c r="LR39" s="929" t="str">
        <f>IF(ISNUMBER(SEARCH($A39,VLOOKUP(LR$2,职业列表!$B$1:$G$370,6,0))),"★","")</f>
        <v/>
      </c>
      <c r="LS39" s="929" t="str">
        <f>IF(ISNUMBER(SEARCH($A39,VLOOKUP(LS$2,职业列表!$B$1:$G$370,6,0))),"★","")</f>
        <v/>
      </c>
      <c r="LT39" s="929" t="str">
        <f>IF(ISNUMBER(SEARCH($A39,VLOOKUP(LT$2,职业列表!$B$1:$G$370,6,0))),"★","")</f>
        <v/>
      </c>
      <c r="LU39" s="929" t="str">
        <f>IF(ISNUMBER(SEARCH($A39,VLOOKUP(LU$2,职业列表!$B$1:$G$370,6,0))),"★","")</f>
        <v/>
      </c>
      <c r="LV39" s="929" t="str">
        <f>IF(ISNUMBER(SEARCH($A39,VLOOKUP(LV$2,职业列表!$B$1:$G$370,6,0))),"★","")</f>
        <v>★</v>
      </c>
      <c r="LW39" s="929" t="str">
        <f>IF(ISNUMBER(SEARCH($A39,VLOOKUP(LW$2,职业列表!$B$1:$G$370,6,0))),"★","")</f>
        <v/>
      </c>
      <c r="LX39" s="929" t="str">
        <f>IF(ISNUMBER(SEARCH($A39,VLOOKUP(LX$2,职业列表!$B$1:$G$370,6,0))),"★","")</f>
        <v/>
      </c>
      <c r="LY39" s="929" t="str">
        <f>IF(ISNUMBER(SEARCH($A39,VLOOKUP(LY$2,职业列表!$B$1:$G$370,6,0))),"★","")</f>
        <v/>
      </c>
      <c r="LZ39" s="929" t="str">
        <f>IF(ISNUMBER(SEARCH($A39,VLOOKUP(LZ$2,职业列表!$B$1:$G$370,6,0))),"★","")</f>
        <v/>
      </c>
      <c r="MA39" s="929" t="str">
        <f>IF(ISNUMBER(SEARCH($A39,VLOOKUP(MA$2,职业列表!$B$1:$G$370,6,0))),"★","")</f>
        <v/>
      </c>
      <c r="MB39" s="929" t="str">
        <f>IF(ISNUMBER(SEARCH($A39,VLOOKUP(MB$2,职业列表!$B$1:$G$370,6,0))),"★","")</f>
        <v/>
      </c>
      <c r="MC39" s="929" t="str">
        <f>IF(ISNUMBER(SEARCH($A39,VLOOKUP(MC$2,职业列表!$B$1:$G$370,6,0))),"★","")</f>
        <v/>
      </c>
      <c r="MD39" s="929" t="str">
        <f>IF(ISNUMBER(SEARCH($A39,VLOOKUP(MD$2,职业列表!$B$1:$G$370,6,0))),"★","")</f>
        <v/>
      </c>
      <c r="ME39" s="929" t="str">
        <f>IF(ISNUMBER(SEARCH($A39,VLOOKUP(ME$2,职业列表!$B$1:$G$370,6,0))),"★","")</f>
        <v/>
      </c>
      <c r="MF39" s="929" t="str">
        <f>IF(ISNUMBER(SEARCH($A39,VLOOKUP(MF$2,职业列表!$B$1:$G$370,6,0))),"★","")</f>
        <v/>
      </c>
      <c r="MG39" s="929" t="str">
        <f>IF(ISNUMBER(SEARCH($A39,VLOOKUP(MG$2,职业列表!$B$1:$G$370,6,0))),"★","")</f>
        <v/>
      </c>
      <c r="MH39" s="929" t="str">
        <f>IF(ISNUMBER(SEARCH($A39,VLOOKUP(MH$2,职业列表!$B$1:$G$370,6,0))),"★","")</f>
        <v/>
      </c>
      <c r="MI39" s="929" t="str">
        <f>IF(ISNUMBER(SEARCH($A39,VLOOKUP(MI$2,职业列表!$B$1:$G$370,6,0))),"★","")</f>
        <v/>
      </c>
      <c r="MJ39" s="929" t="str">
        <f>IF(ISNUMBER(SEARCH($A39,VLOOKUP(MJ$2,职业列表!$B$1:$G$370,6,0))),"★","")</f>
        <v/>
      </c>
      <c r="MK39" s="929" t="str">
        <f>IF(ISNUMBER(SEARCH($A39,VLOOKUP(MK$2,职业列表!$B$1:$G$370,6,0))),"★","")</f>
        <v/>
      </c>
      <c r="ML39" s="929" t="str">
        <f>IF(ISNUMBER(SEARCH($A39,VLOOKUP(ML$2,职业列表!$B$1:$G$370,6,0))),"★","")</f>
        <v/>
      </c>
      <c r="MM39" s="929" t="str">
        <f>IF(ISNUMBER(SEARCH($A39,VLOOKUP(MM$2,职业列表!$B$1:$G$370,6,0))),"★","")</f>
        <v/>
      </c>
      <c r="MN39" s="929" t="str">
        <f>IF(ISNUMBER(SEARCH($A39,VLOOKUP(MN$2,职业列表!$B$1:$G$370,6,0))),"★","")</f>
        <v/>
      </c>
      <c r="MO39" s="929" t="str">
        <f>IF(ISNUMBER(SEARCH($A39,VLOOKUP(MO$2,职业列表!$B$1:$G$370,6,0))),"★","")</f>
        <v/>
      </c>
      <c r="MP39" s="929" t="str">
        <f>IF(ISNUMBER(SEARCH($A39,VLOOKUP(MP$2,职业列表!$B$1:$G$370,6,0))),"★","")</f>
        <v/>
      </c>
      <c r="MQ39" s="929" t="str">
        <f>IF(ISNUMBER(SEARCH($A39,VLOOKUP(MQ$2,职业列表!$B$1:$G$370,6,0))),"★","")</f>
        <v/>
      </c>
      <c r="MR39" s="929" t="str">
        <f>IF(ISNUMBER(SEARCH($A39,VLOOKUP(MR$2,职业列表!$B$1:$G$370,6,0))),"★","")</f>
        <v/>
      </c>
      <c r="MS39" s="929" t="str">
        <f>IF(ISNUMBER(SEARCH($A39,VLOOKUP(MS$2,职业列表!$B$1:$G$370,6,0))),"★","")</f>
        <v/>
      </c>
      <c r="MT39" s="929" t="str">
        <f>IF(ISNUMBER(SEARCH($A39,VLOOKUP(MT$2,职业列表!$B$1:$G$370,6,0))),"★","")</f>
        <v/>
      </c>
      <c r="MU39" s="929" t="str">
        <f>IF(ISNUMBER(SEARCH($A39,VLOOKUP(MU$2,职业列表!$B$1:$G$370,6,0))),"★","")</f>
        <v/>
      </c>
      <c r="MV39" s="929" t="str">
        <f>IF(ISNUMBER(SEARCH($A39,VLOOKUP(MV$2,职业列表!$B$1:$G$370,6,0))),"★","")</f>
        <v/>
      </c>
      <c r="MW39" s="929" t="str">
        <f>IF(ISNUMBER(SEARCH($A39,VLOOKUP(MW$2,职业列表!$B$1:$G$370,6,0))),"★","")</f>
        <v/>
      </c>
      <c r="MX39" s="929" t="str">
        <f>IF(ISNUMBER(SEARCH($A39,VLOOKUP(MX$2,职业列表!$B$1:$G$370,6,0))),"★","")</f>
        <v>★</v>
      </c>
      <c r="MY39" s="929" t="str">
        <f>IF(ISNUMBER(SEARCH($A39,VLOOKUP(MY$2,职业列表!$B$1:$G$370,6,0))),"★","")</f>
        <v/>
      </c>
      <c r="MZ39" s="929" t="str">
        <f>IF(ISNUMBER(SEARCH($A39,VLOOKUP(MZ$2,职业列表!$B$1:$G$370,6,0))),"★","")</f>
        <v/>
      </c>
      <c r="NA39" s="929" t="str">
        <f>IF(ISNUMBER(SEARCH($A39,VLOOKUP(NA$2,职业列表!$B$1:$G$370,6,0))),"★","")</f>
        <v/>
      </c>
      <c r="NB39" s="929" t="str">
        <f>IF(ISNUMBER(SEARCH($A39,VLOOKUP(NB$2,职业列表!$B$1:$G$370,6,0))),"★","")</f>
        <v/>
      </c>
      <c r="NC39" s="929" t="str">
        <f>IF(ISNUMBER(SEARCH($A39,VLOOKUP(NC$2,职业列表!$B$1:$G$370,6,0))),"★","")</f>
        <v/>
      </c>
      <c r="ND39" s="929" t="str">
        <f>IF(ISNUMBER(SEARCH($A39,VLOOKUP(ND$2,职业列表!$B$1:$G$370,6,0))),"★","")</f>
        <v/>
      </c>
      <c r="NE39" s="929" t="str">
        <f>IF(ISNUMBER(SEARCH($A39,VLOOKUP(NE$2,职业列表!$B$1:$G$370,6,0))),"★","")</f>
        <v/>
      </c>
    </row>
    <row r="40" customFormat="1" spans="1:369">
      <c r="A40" s="932" t="s">
        <v>163</v>
      </c>
      <c r="B40" s="953" t="str">
        <f>IF(OR(A40="说服",A40="话术",A40="取悦",A40="恐吓"),"☯",IF(ISNUMBER(SEARCH(A40,VLOOKUP(IX$2,职业列表!$B$1:$G$370,6,0))),"★",""))</f>
        <v/>
      </c>
      <c r="C40" s="939" t="str">
        <f>IF(ISTEXT(IFERROR(VLOOKUP(A40,职业列表!I3:J10,1,FALSE),0)),"★","")</f>
        <v/>
      </c>
      <c r="D40" s="953"/>
      <c r="E40" s="953"/>
      <c r="F40" s="953"/>
      <c r="G40" s="953"/>
      <c r="H40" s="953"/>
      <c r="I40" s="953"/>
      <c r="J40" s="953"/>
      <c r="K40" s="953"/>
      <c r="L40" s="953"/>
      <c r="M40" s="953"/>
      <c r="N40" s="953" t="s">
        <v>74</v>
      </c>
      <c r="O40" s="953"/>
      <c r="P40" s="953"/>
      <c r="Q40" s="953"/>
      <c r="R40" s="953" t="s">
        <v>74</v>
      </c>
      <c r="S40" s="953"/>
      <c r="T40" s="953"/>
      <c r="U40" s="953" t="s">
        <v>74</v>
      </c>
      <c r="V40" s="953"/>
      <c r="W40" s="953"/>
      <c r="X40" s="953"/>
      <c r="Y40" s="953"/>
      <c r="Z40" s="953"/>
      <c r="AA40" s="953"/>
      <c r="AB40" s="953"/>
      <c r="AC40" s="953"/>
      <c r="AD40" s="953"/>
      <c r="AE40" s="953"/>
      <c r="AF40" s="953"/>
      <c r="AG40" s="953"/>
      <c r="AH40" s="953"/>
      <c r="AI40" s="953"/>
      <c r="AJ40" s="953"/>
      <c r="AK40" s="953"/>
      <c r="AL40" s="953"/>
      <c r="AM40" s="953"/>
      <c r="AN40" s="953"/>
      <c r="AO40" s="953"/>
      <c r="AP40" s="953"/>
      <c r="AQ40" s="953"/>
      <c r="AR40" s="953"/>
      <c r="AS40" s="953"/>
      <c r="AT40" s="953"/>
      <c r="AU40" s="953"/>
      <c r="AV40" s="953"/>
      <c r="AW40" s="953"/>
      <c r="AX40" s="953"/>
      <c r="AY40" s="953" t="s">
        <v>74</v>
      </c>
      <c r="AZ40" s="953" t="s">
        <v>74</v>
      </c>
      <c r="BA40" s="953"/>
      <c r="BB40" s="953"/>
      <c r="BC40" s="953"/>
      <c r="BD40" s="953"/>
      <c r="BE40" s="953"/>
      <c r="BF40" s="953"/>
      <c r="BG40" s="953" t="s">
        <v>74</v>
      </c>
      <c r="BH40" s="953"/>
      <c r="BI40" s="953"/>
      <c r="BJ40" s="953"/>
      <c r="BK40" s="953"/>
      <c r="BL40" s="953"/>
      <c r="BM40" s="953"/>
      <c r="BN40" s="953"/>
      <c r="BO40" s="953" t="s">
        <v>74</v>
      </c>
      <c r="BP40" s="967"/>
      <c r="BQ40" s="953" t="s">
        <v>74</v>
      </c>
      <c r="BR40" s="953"/>
      <c r="BS40" s="953"/>
      <c r="BT40" s="953"/>
      <c r="BU40" s="953"/>
      <c r="BV40" s="953"/>
      <c r="BW40" s="953" t="s">
        <v>74</v>
      </c>
      <c r="BX40" s="953"/>
      <c r="BY40" s="953"/>
      <c r="BZ40" s="953"/>
      <c r="CA40" s="953"/>
      <c r="CB40" s="953"/>
      <c r="CC40" s="953"/>
      <c r="CD40" s="953"/>
      <c r="CE40" s="953"/>
      <c r="CF40" s="953"/>
      <c r="CG40" s="953"/>
      <c r="CH40" s="953"/>
      <c r="CI40" s="953"/>
      <c r="CJ40" s="953"/>
      <c r="CK40" s="953"/>
      <c r="CL40" s="953"/>
      <c r="CM40" s="953"/>
      <c r="CN40" s="953"/>
      <c r="CO40" s="953"/>
      <c r="CP40" s="953" t="s">
        <v>74</v>
      </c>
      <c r="CQ40" s="953"/>
      <c r="CR40" s="953"/>
      <c r="CS40" s="953"/>
      <c r="CT40" s="953"/>
      <c r="CU40" s="953"/>
      <c r="CV40" s="953"/>
      <c r="CW40" s="953"/>
      <c r="CX40" s="953"/>
      <c r="CY40" s="953" t="s">
        <v>74</v>
      </c>
      <c r="CZ40" s="953" t="s">
        <v>74</v>
      </c>
      <c r="DA40" s="953"/>
      <c r="DB40" s="953"/>
      <c r="DC40" s="953"/>
      <c r="DD40" s="953" t="s">
        <v>2716</v>
      </c>
      <c r="DE40" s="953"/>
      <c r="DF40" s="953"/>
      <c r="DG40" s="953"/>
      <c r="DH40" s="953"/>
      <c r="DI40" s="953"/>
      <c r="DJ40" s="953" t="s">
        <v>74</v>
      </c>
      <c r="DK40" s="953"/>
      <c r="DL40" s="953"/>
      <c r="DM40" s="953"/>
      <c r="DN40" s="953" t="s">
        <v>74</v>
      </c>
      <c r="DO40" s="953"/>
      <c r="DP40" s="953"/>
      <c r="DQ40" s="953"/>
      <c r="DR40" s="953"/>
      <c r="DS40" s="953"/>
      <c r="DT40" s="953"/>
      <c r="DU40" s="953" t="s">
        <v>74</v>
      </c>
      <c r="DV40" s="953"/>
      <c r="DW40" s="953" t="s">
        <v>74</v>
      </c>
      <c r="DX40" s="953" t="s">
        <v>74</v>
      </c>
      <c r="DY40" s="953"/>
      <c r="DZ40" s="953" t="s">
        <v>74</v>
      </c>
      <c r="EA40" s="953"/>
      <c r="EB40" s="953"/>
      <c r="EC40" s="953"/>
      <c r="ED40" s="953"/>
      <c r="EE40" s="953"/>
      <c r="EF40" s="953"/>
      <c r="EG40" s="953"/>
      <c r="EH40" s="953"/>
      <c r="EI40" s="953"/>
      <c r="EJ40" s="953"/>
      <c r="EK40" s="953"/>
      <c r="EL40" s="953"/>
      <c r="EM40" s="953"/>
      <c r="EN40" s="953"/>
      <c r="EO40" s="953"/>
      <c r="EP40" s="953"/>
      <c r="EQ40" s="953" t="s">
        <v>74</v>
      </c>
      <c r="ER40" s="953"/>
      <c r="ES40" s="953"/>
      <c r="ET40" s="953"/>
      <c r="EU40" s="953" t="s">
        <v>74</v>
      </c>
      <c r="EV40" s="953" t="s">
        <v>74</v>
      </c>
      <c r="EW40" s="953"/>
      <c r="EX40" s="953" t="s">
        <v>74</v>
      </c>
      <c r="EY40" s="953"/>
      <c r="EZ40" s="953"/>
      <c r="FA40" s="953"/>
      <c r="FB40" s="953"/>
      <c r="FC40" s="953"/>
      <c r="FD40" s="953"/>
      <c r="FE40" s="953"/>
      <c r="FF40" s="953"/>
      <c r="FG40" s="953"/>
      <c r="FH40" s="953"/>
      <c r="FI40" s="953" t="s">
        <v>74</v>
      </c>
      <c r="FJ40" s="953"/>
      <c r="FK40" s="953"/>
      <c r="FL40" s="953"/>
      <c r="FM40" s="953" t="s">
        <v>74</v>
      </c>
      <c r="FN40" s="953"/>
      <c r="FO40" s="953"/>
      <c r="FP40" s="953"/>
      <c r="FQ40" s="953"/>
      <c r="FR40" s="953"/>
      <c r="FS40" s="953"/>
      <c r="FT40" s="953"/>
      <c r="FU40" s="953"/>
      <c r="FV40" s="953"/>
      <c r="FW40" s="953"/>
      <c r="FX40" s="953"/>
      <c r="FY40" s="953"/>
      <c r="FZ40" s="953"/>
      <c r="GA40" s="953"/>
      <c r="GB40" s="953"/>
      <c r="GC40" s="953"/>
      <c r="GD40" s="953"/>
      <c r="GE40" s="953"/>
      <c r="GF40" s="953" t="s">
        <v>74</v>
      </c>
      <c r="GG40" s="953"/>
      <c r="GH40" s="953"/>
      <c r="GI40" s="953"/>
      <c r="GJ40" s="953"/>
      <c r="GK40" s="953" t="s">
        <v>74</v>
      </c>
      <c r="GL40" s="953" t="s">
        <v>74</v>
      </c>
      <c r="GM40" s="953" t="s">
        <v>74</v>
      </c>
      <c r="GN40" s="953"/>
      <c r="GO40" s="953"/>
      <c r="GP40" s="953"/>
      <c r="GQ40" s="953"/>
      <c r="GR40" s="953"/>
      <c r="GS40" s="953"/>
      <c r="GT40" s="953"/>
      <c r="GU40" s="953"/>
      <c r="GV40" s="953" t="s">
        <v>74</v>
      </c>
      <c r="GW40" s="953"/>
      <c r="GX40" s="953"/>
      <c r="GY40" s="953"/>
      <c r="GZ40" s="953"/>
      <c r="HA40" s="953"/>
      <c r="HB40" s="953"/>
      <c r="HC40" s="953" t="s">
        <v>74</v>
      </c>
      <c r="HD40" s="953"/>
      <c r="HE40" s="953"/>
      <c r="HF40" s="953"/>
      <c r="HG40" s="953"/>
      <c r="HH40" s="953"/>
      <c r="HI40" s="953"/>
      <c r="HJ40" s="953" t="s">
        <v>74</v>
      </c>
      <c r="HK40" s="953"/>
      <c r="HL40" s="953"/>
      <c r="HM40" s="953"/>
      <c r="HN40" s="953" t="s">
        <v>74</v>
      </c>
      <c r="HO40" s="953"/>
      <c r="HP40" s="953"/>
      <c r="HQ40" s="953"/>
      <c r="HR40" s="953"/>
      <c r="HS40" s="953"/>
      <c r="HT40" s="953"/>
      <c r="HU40" s="953"/>
      <c r="HV40" s="953"/>
      <c r="HW40" s="953"/>
      <c r="HX40" s="998"/>
      <c r="HY40" s="953" t="s">
        <v>74</v>
      </c>
      <c r="HZ40" s="1025"/>
      <c r="IA40" s="1025"/>
      <c r="IB40" s="1025"/>
      <c r="IC40" s="1026"/>
      <c r="ID40" s="1026"/>
      <c r="IE40" s="1025"/>
      <c r="IF40" s="1025"/>
      <c r="IG40" s="939" t="s">
        <v>74</v>
      </c>
      <c r="IH40" s="1025"/>
      <c r="II40" s="1025"/>
      <c r="IJ40" s="1025"/>
      <c r="IK40" s="939" t="s">
        <v>74</v>
      </c>
      <c r="IL40" s="939" t="s">
        <v>74</v>
      </c>
      <c r="IM40" s="1025"/>
      <c r="IN40" s="1025"/>
      <c r="IO40" s="1025"/>
      <c r="IP40" s="990"/>
      <c r="IQ40" s="1026"/>
      <c r="IR40" s="1025"/>
      <c r="IS40" s="1025"/>
      <c r="IT40" s="972" t="s">
        <v>74</v>
      </c>
      <c r="IU40" s="1025"/>
      <c r="IV40" s="1025"/>
      <c r="IW40" s="1053"/>
      <c r="IX40" s="929" t="str">
        <f>IF(ISNUMBER(SEARCH($A40,VLOOKUP(IX$2,职业列表!$B$1:$G$370,6,0))),"★","")</f>
        <v/>
      </c>
      <c r="IY40" s="929" t="str">
        <f>IF(ISNUMBER(SEARCH($A40,VLOOKUP(IY$2,职业列表!$B$1:$G$370,6,0))),"★","")</f>
        <v/>
      </c>
      <c r="IZ40" s="929" t="str">
        <f>IF(ISNUMBER(SEARCH($A40,VLOOKUP(IZ$2,职业列表!$B$1:$G$370,6,0))),"★","")</f>
        <v/>
      </c>
      <c r="JA40" s="929" t="str">
        <f>IF(ISNUMBER(SEARCH($A40,VLOOKUP(JA$2,职业列表!$B$1:$G$370,6,0))),"★","")</f>
        <v/>
      </c>
      <c r="JB40" s="929" t="str">
        <f>IF(ISNUMBER(SEARCH($A40,VLOOKUP(JB$2,职业列表!$B$1:$G$370,6,0))),"★","")</f>
        <v/>
      </c>
      <c r="JC40" s="929" t="str">
        <f>IF(ISNUMBER(SEARCH($A40,VLOOKUP(JC$2,职业列表!$B$1:$G$370,6,0))),"★","")</f>
        <v/>
      </c>
      <c r="JD40" s="929" t="str">
        <f>IF(ISNUMBER(SEARCH($A40,VLOOKUP(JD$2,职业列表!$B$1:$G$370,6,0))),"★","")</f>
        <v>★</v>
      </c>
      <c r="JE40" s="929" t="str">
        <f>IF(ISNUMBER(SEARCH($A40,VLOOKUP(JE$2,职业列表!$B$1:$G$370,6,0))),"★","")</f>
        <v/>
      </c>
      <c r="JF40" s="929" t="str">
        <f>IF(ISNUMBER(SEARCH($A40,VLOOKUP(JF$2,职业列表!$B$1:$G$370,6,0))),"★","")</f>
        <v/>
      </c>
      <c r="JG40" s="929" t="str">
        <f>IF(ISNUMBER(SEARCH($A40,VLOOKUP(JG$2,职业列表!$B$1:$G$370,6,0))),"★","")</f>
        <v/>
      </c>
      <c r="JH40" s="929" t="str">
        <f>IF(ISNUMBER(SEARCH($A40,VLOOKUP(JH$2,职业列表!$B$1:$G$370,6,0))),"★","")</f>
        <v/>
      </c>
      <c r="JI40" s="929" t="str">
        <f>IF(ISNUMBER(SEARCH($A40,VLOOKUP(JI$2,职业列表!$B$1:$G$370,6,0))),"★","")</f>
        <v/>
      </c>
      <c r="JJ40" s="929" t="str">
        <f>IF(ISNUMBER(SEARCH($A40,VLOOKUP(JJ$2,职业列表!$B$1:$G$370,6,0))),"★","")</f>
        <v/>
      </c>
      <c r="JK40" s="929" t="str">
        <f>IF(ISNUMBER(SEARCH($A40,VLOOKUP(JK$2,职业列表!$B$1:$G$370,6,0))),"★","")</f>
        <v>★</v>
      </c>
      <c r="JL40" s="929" t="str">
        <f>IF(ISNUMBER(SEARCH($A40,VLOOKUP(JL$2,职业列表!$B$1:$G$370,6,0))),"★","")</f>
        <v/>
      </c>
      <c r="JM40" s="929" t="str">
        <f>IF(ISNUMBER(SEARCH($A40,VLOOKUP(JM$2,职业列表!$B$1:$G$370,6,0))),"★","")</f>
        <v/>
      </c>
      <c r="JN40" s="929" t="str">
        <f>IF(ISNUMBER(SEARCH($A40,VLOOKUP(JN$2,职业列表!$B$1:$G$370,6,0))),"★","")</f>
        <v>★</v>
      </c>
      <c r="JO40" s="929" t="str">
        <f>IF(ISNUMBER(SEARCH($A40,VLOOKUP(JO$2,职业列表!$B$1:$G$370,6,0))),"★","")</f>
        <v/>
      </c>
      <c r="JP40" s="929" t="str">
        <f>IF(ISNUMBER(SEARCH($A40,VLOOKUP(JP$2,职业列表!$B$1:$G$370,6,0))),"★","")</f>
        <v/>
      </c>
      <c r="JQ40" s="929" t="str">
        <f>IF(ISNUMBER(SEARCH($A40,VLOOKUP(JQ$2,职业列表!$B$1:$G$370,6,0))),"★","")</f>
        <v>★</v>
      </c>
      <c r="JR40" s="929" t="str">
        <f>IF(ISNUMBER(SEARCH($A40,VLOOKUP(JR$2,职业列表!$B$1:$G$370,6,0))),"★","")</f>
        <v>★</v>
      </c>
      <c r="JS40" s="929" t="str">
        <f>IF(ISNUMBER(SEARCH($A40,VLOOKUP(JS$2,职业列表!$B$1:$G$370,6,0))),"★","")</f>
        <v/>
      </c>
      <c r="JT40" s="929" t="str">
        <f>IF(ISNUMBER(SEARCH($A40,VLOOKUP(JT$2,职业列表!$B$1:$G$370,6,0))),"★","")</f>
        <v/>
      </c>
      <c r="JU40" s="929" t="str">
        <f>IF(ISNUMBER(SEARCH($A40,VLOOKUP(JU$2,职业列表!$B$1:$G$370,6,0))),"★","")</f>
        <v/>
      </c>
      <c r="JV40" s="929" t="str">
        <f>IF(ISNUMBER(SEARCH($A40,VLOOKUP(JV$2,职业列表!$B$1:$G$370,6,0))),"★","")</f>
        <v/>
      </c>
      <c r="JW40" s="929" t="str">
        <f>IF(ISNUMBER(SEARCH($A40,VLOOKUP(JW$2,职业列表!$B$1:$G$370,6,0))),"★","")</f>
        <v/>
      </c>
      <c r="JX40" s="929" t="str">
        <f>IF(ISNUMBER(SEARCH($A40,VLOOKUP(JX$2,职业列表!$B$1:$G$370,6,0))),"★","")</f>
        <v/>
      </c>
      <c r="JY40" s="929" t="str">
        <f>IF(ISNUMBER(SEARCH($A40,VLOOKUP(JY$2,职业列表!$B$1:$G$370,6,0))),"★","")</f>
        <v/>
      </c>
      <c r="JZ40" s="929" t="str">
        <f>IF(ISNUMBER(SEARCH($A40,VLOOKUP(JZ$2,职业列表!$B$1:$G$370,6,0))),"★","")</f>
        <v/>
      </c>
      <c r="KA40" s="929" t="str">
        <f>IF(ISNUMBER(SEARCH($A40,VLOOKUP(KA$2,职业列表!$B$1:$G$370,6,0))),"★","")</f>
        <v/>
      </c>
      <c r="KB40" s="929" t="str">
        <f>IF(ISNUMBER(SEARCH($A40,VLOOKUP(KB$2,职业列表!$B$1:$G$370,6,0))),"★","")</f>
        <v/>
      </c>
      <c r="KC40" s="929" t="str">
        <f>IF(ISNUMBER(SEARCH($A40,VLOOKUP(KC$2,职业列表!$B$1:$G$370,6,0))),"★","")</f>
        <v/>
      </c>
      <c r="KD40" s="929" t="str">
        <f>IF(ISNUMBER(SEARCH($A40,VLOOKUP(KD$2,职业列表!$B$1:$G$370,6,0))),"★","")</f>
        <v/>
      </c>
      <c r="KE40" s="929" t="str">
        <f>IF(ISNUMBER(SEARCH($A40,VLOOKUP(KE$2,职业列表!$B$1:$G$370,6,0))),"★","")</f>
        <v/>
      </c>
      <c r="KF40" s="929" t="str">
        <f>IF(ISNUMBER(SEARCH($A40,VLOOKUP(KF$2,职业列表!$B$1:$G$370,6,0))),"★","")</f>
        <v/>
      </c>
      <c r="KG40" s="929" t="str">
        <f>IF(ISNUMBER(SEARCH($A40,VLOOKUP(KG$2,职业列表!$B$1:$G$370,6,0))),"★","")</f>
        <v/>
      </c>
      <c r="KH40" s="929" t="str">
        <f>IF(ISNUMBER(SEARCH($A40,VLOOKUP(KH$2,职业列表!$B$1:$G$370,6,0))),"★","")</f>
        <v/>
      </c>
      <c r="KI40" s="929" t="str">
        <f>IF(ISNUMBER(SEARCH($A40,VLOOKUP(KI$2,职业列表!$B$1:$G$370,6,0))),"★","")</f>
        <v/>
      </c>
      <c r="KJ40" s="929" t="str">
        <f>IF(ISNUMBER(SEARCH($A40,VLOOKUP(KJ$2,职业列表!$B$1:$G$370,6,0))),"★","")</f>
        <v/>
      </c>
      <c r="KK40" s="929" t="str">
        <f>IF(ISNUMBER(SEARCH($A40,VLOOKUP(KK$2,职业列表!$B$1:$G$370,6,0))),"★","")</f>
        <v/>
      </c>
      <c r="KL40" s="929" t="str">
        <f>IF(ISNUMBER(SEARCH($A40,VLOOKUP(KL$2,职业列表!$B$1:$G$370,6,0))),"★","")</f>
        <v/>
      </c>
      <c r="KM40" s="929" t="str">
        <f>IF(ISNUMBER(SEARCH($A40,VLOOKUP(KM$2,职业列表!$B$1:$G$370,6,0))),"★","")</f>
        <v/>
      </c>
      <c r="KN40" s="929" t="str">
        <f>IF(ISNUMBER(SEARCH($A40,VLOOKUP(KN$2,职业列表!$B$1:$G$370,6,0))),"★","")</f>
        <v/>
      </c>
      <c r="KO40" s="929" t="str">
        <f>IF(ISNUMBER(SEARCH($A40,VLOOKUP(KO$2,职业列表!$B$1:$G$370,6,0))),"★","")</f>
        <v>★</v>
      </c>
      <c r="KP40" s="929" t="str">
        <f>IF(ISNUMBER(SEARCH($A40,VLOOKUP(KP$2,职业列表!$B$1:$G$370,6,0))),"★","")</f>
        <v>★</v>
      </c>
      <c r="KQ40" s="929" t="str">
        <f>IF(ISNUMBER(SEARCH($A40,VLOOKUP(KQ$2,职业列表!$B$1:$G$370,6,0))),"★","")</f>
        <v/>
      </c>
      <c r="KR40" s="929" t="str">
        <f>IF(ISNUMBER(SEARCH($A40,VLOOKUP(KR$2,职业列表!$B$1:$G$370,6,0))),"★","")</f>
        <v/>
      </c>
      <c r="KS40" s="929" t="str">
        <f>IF(ISNUMBER(SEARCH($A40,VLOOKUP(KS$2,职业列表!$B$1:$G$370,6,0))),"★","")</f>
        <v/>
      </c>
      <c r="KT40" s="929" t="str">
        <f>IF(ISNUMBER(SEARCH($A40,VLOOKUP(KT$2,职业列表!$B$1:$G$370,6,0))),"★","")</f>
        <v/>
      </c>
      <c r="KU40" s="929" t="str">
        <f>IF(ISNUMBER(SEARCH($A40,VLOOKUP(KU$2,职业列表!$B$1:$G$370,6,0))),"★","")</f>
        <v/>
      </c>
      <c r="KV40" s="929" t="str">
        <f>IF(ISNUMBER(SEARCH($A40,VLOOKUP(KV$2,职业列表!$B$1:$G$370,6,0))),"★","")</f>
        <v/>
      </c>
      <c r="KW40" s="929" t="str">
        <f>IF(ISNUMBER(SEARCH($A40,VLOOKUP(KW$2,职业列表!$B$1:$G$370,6,0))),"★","")</f>
        <v/>
      </c>
      <c r="KX40" s="929" t="str">
        <f>IF(ISNUMBER(SEARCH($A40,VLOOKUP(KX$2,职业列表!$B$1:$G$370,6,0))),"★","")</f>
        <v/>
      </c>
      <c r="KY40" s="929" t="str">
        <f>IF(ISNUMBER(SEARCH($A40,VLOOKUP(KY$2,职业列表!$B$1:$G$370,6,0))),"★","")</f>
        <v/>
      </c>
      <c r="KZ40" s="929" t="str">
        <f>IF(ISNUMBER(SEARCH($A40,VLOOKUP(KZ$2,职业列表!$B$1:$G$370,6,0))),"★","")</f>
        <v/>
      </c>
      <c r="LA40" s="929" t="str">
        <f>IF(ISNUMBER(SEARCH($A40,VLOOKUP(LA$2,职业列表!$B$1:$G$370,6,0))),"★","")</f>
        <v/>
      </c>
      <c r="LB40" s="929" t="str">
        <f>IF(ISNUMBER(SEARCH($A40,VLOOKUP(LB$2,职业列表!$B$1:$G$370,6,0))),"★","")</f>
        <v/>
      </c>
      <c r="LC40" s="929" t="str">
        <f>IF(ISNUMBER(SEARCH($A40,VLOOKUP(LC$2,职业列表!$B$1:$G$370,6,0))),"★","")</f>
        <v/>
      </c>
      <c r="LD40" s="929" t="str">
        <f>IF(ISNUMBER(SEARCH($A40,VLOOKUP(LD$2,职业列表!$B$1:$G$370,6,0))),"★","")</f>
        <v/>
      </c>
      <c r="LE40" s="929" t="str">
        <f>IF(ISNUMBER(SEARCH($A40,VLOOKUP(LE$2,职业列表!$B$1:$G$370,6,0))),"★","")</f>
        <v/>
      </c>
      <c r="LF40" s="929" t="str">
        <f>IF(ISNUMBER(SEARCH($A40,VLOOKUP(LF$2,职业列表!$B$1:$G$370,6,0))),"★","")</f>
        <v>★</v>
      </c>
      <c r="LG40" s="929" t="str">
        <f>IF(ISNUMBER(SEARCH($A40,VLOOKUP(LG$2,职业列表!$B$1:$G$370,6,0))),"★","")</f>
        <v/>
      </c>
      <c r="LH40" s="929" t="str">
        <f>IF(ISNUMBER(SEARCH($A40,VLOOKUP(LH$2,职业列表!$B$1:$G$370,6,0))),"★","")</f>
        <v>★</v>
      </c>
      <c r="LI40" s="929" t="str">
        <f>IF(ISNUMBER(SEARCH($A40,VLOOKUP(LI$2,职业列表!$B$1:$G$370,6,0))),"★","")</f>
        <v>★</v>
      </c>
      <c r="LJ40" s="929" t="str">
        <f>IF(ISNUMBER(SEARCH($A40,VLOOKUP(LJ$2,职业列表!$B$1:$G$370,6,0))),"★","")</f>
        <v/>
      </c>
      <c r="LK40" s="929" t="str">
        <f>IF(ISNUMBER(SEARCH($A40,VLOOKUP(LK$2,职业列表!$B$1:$G$370,6,0))),"★","")</f>
        <v/>
      </c>
      <c r="LL40" s="929" t="str">
        <f>IF(ISNUMBER(SEARCH($A40,VLOOKUP(LL$2,职业列表!$B$1:$G$370,6,0))),"★","")</f>
        <v/>
      </c>
      <c r="LM40" s="929" t="str">
        <f>IF(ISNUMBER(SEARCH($A40,VLOOKUP(LM$2,职业列表!$B$1:$G$370,6,0))),"★","")</f>
        <v/>
      </c>
      <c r="LN40" s="929" t="str">
        <f>IF(ISNUMBER(SEARCH($A40,VLOOKUP(LN$2,职业列表!$B$1:$G$370,6,0))),"★","")</f>
        <v/>
      </c>
      <c r="LO40" s="929" t="str">
        <f>IF(ISNUMBER(SEARCH($A40,VLOOKUP(LO$2,职业列表!$B$1:$G$370,6,0))),"★","")</f>
        <v/>
      </c>
      <c r="LP40" s="929" t="str">
        <f>IF(ISNUMBER(SEARCH($A40,VLOOKUP(LP$2,职业列表!$B$1:$G$370,6,0))),"★","")</f>
        <v/>
      </c>
      <c r="LQ40" s="929" t="str">
        <f>IF(ISNUMBER(SEARCH($A40,VLOOKUP(LQ$2,职业列表!$B$1:$G$370,6,0))),"★","")</f>
        <v/>
      </c>
      <c r="LR40" s="929" t="str">
        <f>IF(ISNUMBER(SEARCH($A40,VLOOKUP(LR$2,职业列表!$B$1:$G$370,6,0))),"★","")</f>
        <v/>
      </c>
      <c r="LS40" s="929" t="str">
        <f>IF(ISNUMBER(SEARCH($A40,VLOOKUP(LS$2,职业列表!$B$1:$G$370,6,0))),"★","")</f>
        <v/>
      </c>
      <c r="LT40" s="929" t="str">
        <f>IF(ISNUMBER(SEARCH($A40,VLOOKUP(LT$2,职业列表!$B$1:$G$370,6,0))),"★","")</f>
        <v/>
      </c>
      <c r="LU40" s="929" t="str">
        <f>IF(ISNUMBER(SEARCH($A40,VLOOKUP(LU$2,职业列表!$B$1:$G$370,6,0))),"★","")</f>
        <v/>
      </c>
      <c r="LV40" s="929" t="str">
        <f>IF(ISNUMBER(SEARCH($A40,VLOOKUP(LV$2,职业列表!$B$1:$G$370,6,0))),"★","")</f>
        <v>★</v>
      </c>
      <c r="LW40" s="929" t="str">
        <f>IF(ISNUMBER(SEARCH($A40,VLOOKUP(LW$2,职业列表!$B$1:$G$370,6,0))),"★","")</f>
        <v/>
      </c>
      <c r="LX40" s="929" t="str">
        <f>IF(ISNUMBER(SEARCH($A40,VLOOKUP(LX$2,职业列表!$B$1:$G$370,6,0))),"★","")</f>
        <v>★</v>
      </c>
      <c r="LY40" s="929" t="str">
        <f>IF(ISNUMBER(SEARCH($A40,VLOOKUP(LY$2,职业列表!$B$1:$G$370,6,0))),"★","")</f>
        <v/>
      </c>
      <c r="LZ40" s="929" t="str">
        <f>IF(ISNUMBER(SEARCH($A40,VLOOKUP(LZ$2,职业列表!$B$1:$G$370,6,0))),"★","")</f>
        <v/>
      </c>
      <c r="MA40" s="929" t="str">
        <f>IF(ISNUMBER(SEARCH($A40,VLOOKUP(MA$2,职业列表!$B$1:$G$370,6,0))),"★","")</f>
        <v/>
      </c>
      <c r="MB40" s="929" t="str">
        <f>IF(ISNUMBER(SEARCH($A40,VLOOKUP(MB$2,职业列表!$B$1:$G$370,6,0))),"★","")</f>
        <v/>
      </c>
      <c r="MC40" s="929" t="str">
        <f>IF(ISNUMBER(SEARCH($A40,VLOOKUP(MC$2,职业列表!$B$1:$G$370,6,0))),"★","")</f>
        <v>★</v>
      </c>
      <c r="MD40" s="929" t="str">
        <f>IF(ISNUMBER(SEARCH($A40,VLOOKUP(MD$2,职业列表!$B$1:$G$370,6,0))),"★","")</f>
        <v>★</v>
      </c>
      <c r="ME40" s="929" t="str">
        <f>IF(ISNUMBER(SEARCH($A40,VLOOKUP(ME$2,职业列表!$B$1:$G$370,6,0))),"★","")</f>
        <v/>
      </c>
      <c r="MF40" s="929" t="str">
        <f>IF(ISNUMBER(SEARCH($A40,VLOOKUP(MF$2,职业列表!$B$1:$G$370,6,0))),"★","")</f>
        <v/>
      </c>
      <c r="MG40" s="929" t="str">
        <f>IF(ISNUMBER(SEARCH($A40,VLOOKUP(MG$2,职业列表!$B$1:$G$370,6,0))),"★","")</f>
        <v>★</v>
      </c>
      <c r="MH40" s="929" t="str">
        <f>IF(ISNUMBER(SEARCH($A40,VLOOKUP(MH$2,职业列表!$B$1:$G$370,6,0))),"★","")</f>
        <v/>
      </c>
      <c r="MI40" s="929" t="str">
        <f>IF(ISNUMBER(SEARCH($A40,VLOOKUP(MI$2,职业列表!$B$1:$G$370,6,0))),"★","")</f>
        <v/>
      </c>
      <c r="MJ40" s="929" t="str">
        <f>IF(ISNUMBER(SEARCH($A40,VLOOKUP(MJ$2,职业列表!$B$1:$G$370,6,0))),"★","")</f>
        <v/>
      </c>
      <c r="MK40" s="929" t="str">
        <f>IF(ISNUMBER(SEARCH($A40,VLOOKUP(MK$2,职业列表!$B$1:$G$370,6,0))),"★","")</f>
        <v/>
      </c>
      <c r="ML40" s="929" t="str">
        <f>IF(ISNUMBER(SEARCH($A40,VLOOKUP(ML$2,职业列表!$B$1:$G$370,6,0))),"★","")</f>
        <v/>
      </c>
      <c r="MM40" s="929" t="str">
        <f>IF(ISNUMBER(SEARCH($A40,VLOOKUP(MM$2,职业列表!$B$1:$G$370,6,0))),"★","")</f>
        <v/>
      </c>
      <c r="MN40" s="929" t="str">
        <f>IF(ISNUMBER(SEARCH($A40,VLOOKUP(MN$2,职业列表!$B$1:$G$370,6,0))),"★","")</f>
        <v/>
      </c>
      <c r="MO40" s="929" t="str">
        <f>IF(ISNUMBER(SEARCH($A40,VLOOKUP(MO$2,职业列表!$B$1:$G$370,6,0))),"★","")</f>
        <v/>
      </c>
      <c r="MP40" s="929" t="str">
        <f>IF(ISNUMBER(SEARCH($A40,VLOOKUP(MP$2,职业列表!$B$1:$G$370,6,0))),"★","")</f>
        <v/>
      </c>
      <c r="MQ40" s="929" t="str">
        <f>IF(ISNUMBER(SEARCH($A40,VLOOKUP(MQ$2,职业列表!$B$1:$G$370,6,0))),"★","")</f>
        <v/>
      </c>
      <c r="MR40" s="929" t="str">
        <f>IF(ISNUMBER(SEARCH($A40,VLOOKUP(MR$2,职业列表!$B$1:$G$370,6,0))),"★","")</f>
        <v/>
      </c>
      <c r="MS40" s="929" t="str">
        <f>IF(ISNUMBER(SEARCH($A40,VLOOKUP(MS$2,职业列表!$B$1:$G$370,6,0))),"★","")</f>
        <v/>
      </c>
      <c r="MT40" s="929" t="str">
        <f>IF(ISNUMBER(SEARCH($A40,VLOOKUP(MT$2,职业列表!$B$1:$G$370,6,0))),"★","")</f>
        <v/>
      </c>
      <c r="MU40" s="929" t="str">
        <f>IF(ISNUMBER(SEARCH($A40,VLOOKUP(MU$2,职业列表!$B$1:$G$370,6,0))),"★","")</f>
        <v/>
      </c>
      <c r="MV40" s="929" t="str">
        <f>IF(ISNUMBER(SEARCH($A40,VLOOKUP(MV$2,职业列表!$B$1:$G$370,6,0))),"★","")</f>
        <v/>
      </c>
      <c r="MW40" s="929" t="str">
        <f>IF(ISNUMBER(SEARCH($A40,VLOOKUP(MW$2,职业列表!$B$1:$G$370,6,0))),"★","")</f>
        <v/>
      </c>
      <c r="MX40" s="929" t="str">
        <f>IF(ISNUMBER(SEARCH($A40,VLOOKUP(MX$2,职业列表!$B$1:$G$370,6,0))),"★","")</f>
        <v>★</v>
      </c>
      <c r="MY40" s="929" t="str">
        <f>IF(ISNUMBER(SEARCH($A40,VLOOKUP(MY$2,职业列表!$B$1:$G$370,6,0))),"★","")</f>
        <v/>
      </c>
      <c r="MZ40" s="929" t="str">
        <f>IF(ISNUMBER(SEARCH($A40,VLOOKUP(MZ$2,职业列表!$B$1:$G$370,6,0))),"★","")</f>
        <v/>
      </c>
      <c r="NA40" s="929" t="str">
        <f>IF(ISNUMBER(SEARCH($A40,VLOOKUP(NA$2,职业列表!$B$1:$G$370,6,0))),"★","")</f>
        <v/>
      </c>
      <c r="NB40" s="929" t="str">
        <f>IF(ISNUMBER(SEARCH($A40,VLOOKUP(NB$2,职业列表!$B$1:$G$370,6,0))),"★","")</f>
        <v/>
      </c>
      <c r="NC40" s="929" t="str">
        <f>IF(ISNUMBER(SEARCH($A40,VLOOKUP(NC$2,职业列表!$B$1:$G$370,6,0))),"★","")</f>
        <v/>
      </c>
      <c r="ND40" s="929" t="str">
        <f>IF(ISNUMBER(SEARCH($A40,VLOOKUP(ND$2,职业列表!$B$1:$G$370,6,0))),"★","")</f>
        <v/>
      </c>
      <c r="NE40" s="929" t="str">
        <f>IF(ISNUMBER(SEARCH($A40,VLOOKUP(NE$2,职业列表!$B$1:$G$370,6,0))),"★","")</f>
        <v/>
      </c>
    </row>
    <row r="41" customFormat="1" spans="1:369">
      <c r="A41" s="955" t="s">
        <v>60</v>
      </c>
      <c r="B41" s="956" t="str">
        <f>IF(OR(A41="说服",A41="话术",A41="取悦",A41="恐吓"),"☯",IF(ISNUMBER(SEARCH(A41,VLOOKUP(IX$2,职业列表!$B$1:$G$370,6,0))),"★",""))</f>
        <v>★</v>
      </c>
      <c r="C41" s="956" t="str">
        <f>IF(ISTEXT(IFERROR(VLOOKUP(A41,职业列表!I3:J10,1,FALSE),0)),"★","")</f>
        <v/>
      </c>
      <c r="D41" s="956" t="s">
        <v>74</v>
      </c>
      <c r="E41" s="956"/>
      <c r="F41" s="956"/>
      <c r="G41" s="956"/>
      <c r="H41" s="956" t="s">
        <v>74</v>
      </c>
      <c r="I41" s="956" t="s">
        <v>74</v>
      </c>
      <c r="J41" s="956"/>
      <c r="K41" s="956"/>
      <c r="L41" s="956"/>
      <c r="M41" s="956"/>
      <c r="N41" s="956" t="s">
        <v>74</v>
      </c>
      <c r="O41" s="956"/>
      <c r="P41" s="956"/>
      <c r="Q41" s="956"/>
      <c r="R41" s="956"/>
      <c r="S41" s="956"/>
      <c r="T41" s="956"/>
      <c r="U41" s="956"/>
      <c r="V41" s="956" t="s">
        <v>74</v>
      </c>
      <c r="W41" s="956"/>
      <c r="X41" s="956"/>
      <c r="Y41" s="956"/>
      <c r="Z41" s="956"/>
      <c r="AA41" s="956"/>
      <c r="AB41" s="956"/>
      <c r="AC41" s="956"/>
      <c r="AD41" s="956"/>
      <c r="AE41" s="956"/>
      <c r="AF41" s="956"/>
      <c r="AG41" s="956"/>
      <c r="AH41" s="956" t="s">
        <v>2716</v>
      </c>
      <c r="AI41" s="956"/>
      <c r="AJ41" s="956"/>
      <c r="AK41" s="956"/>
      <c r="AL41" s="956"/>
      <c r="AM41" s="956"/>
      <c r="AN41" s="956"/>
      <c r="AO41" s="956"/>
      <c r="AP41" s="956"/>
      <c r="AQ41" s="956"/>
      <c r="AR41" s="956"/>
      <c r="AS41" s="956"/>
      <c r="AT41" s="956"/>
      <c r="AU41" s="956"/>
      <c r="AV41" s="956"/>
      <c r="AW41" s="956"/>
      <c r="AX41" s="956"/>
      <c r="AY41" s="956"/>
      <c r="AZ41" s="956"/>
      <c r="BA41" s="956"/>
      <c r="BB41" s="956"/>
      <c r="BC41" s="956"/>
      <c r="BD41" s="956"/>
      <c r="BE41" s="956" t="s">
        <v>74</v>
      </c>
      <c r="BF41" s="956"/>
      <c r="BG41" s="956"/>
      <c r="BH41" s="956"/>
      <c r="BI41" s="956"/>
      <c r="BJ41" s="956" t="s">
        <v>74</v>
      </c>
      <c r="BK41" s="956"/>
      <c r="BL41" s="956"/>
      <c r="BM41" s="956"/>
      <c r="BN41" s="956"/>
      <c r="BO41" s="956"/>
      <c r="BP41" s="956"/>
      <c r="BQ41" s="956" t="s">
        <v>74</v>
      </c>
      <c r="BR41" s="956"/>
      <c r="BS41" s="956"/>
      <c r="BT41" s="956"/>
      <c r="BU41" s="956"/>
      <c r="BV41" s="956" t="s">
        <v>74</v>
      </c>
      <c r="BW41" s="956"/>
      <c r="BX41" s="956"/>
      <c r="BY41" s="956"/>
      <c r="BZ41" s="956"/>
      <c r="CA41" s="956"/>
      <c r="CB41" s="956"/>
      <c r="CC41" s="956"/>
      <c r="CD41" s="956"/>
      <c r="CE41" s="956"/>
      <c r="CF41" s="956"/>
      <c r="CG41" s="956"/>
      <c r="CH41" s="956"/>
      <c r="CI41" s="956"/>
      <c r="CJ41" s="956"/>
      <c r="CK41" s="956"/>
      <c r="CL41" s="956"/>
      <c r="CM41" s="956" t="s">
        <v>74</v>
      </c>
      <c r="CN41" s="956" t="s">
        <v>74</v>
      </c>
      <c r="CO41" s="956" t="s">
        <v>74</v>
      </c>
      <c r="CP41" s="956"/>
      <c r="CQ41" s="956"/>
      <c r="CR41" s="956"/>
      <c r="CS41" s="956"/>
      <c r="CT41" s="956"/>
      <c r="CU41" s="956"/>
      <c r="CV41" s="956"/>
      <c r="CW41" s="956"/>
      <c r="CX41" s="956"/>
      <c r="CY41" s="956"/>
      <c r="CZ41" s="956"/>
      <c r="DA41" s="956"/>
      <c r="DB41" s="956"/>
      <c r="DC41" s="956"/>
      <c r="DD41" s="956"/>
      <c r="DE41" s="956"/>
      <c r="DF41" s="956"/>
      <c r="DG41" s="956"/>
      <c r="DH41" s="956" t="s">
        <v>74</v>
      </c>
      <c r="DI41" s="956"/>
      <c r="DJ41" s="956" t="s">
        <v>74</v>
      </c>
      <c r="DK41" s="956" t="s">
        <v>74</v>
      </c>
      <c r="DL41" s="956"/>
      <c r="DM41" s="956"/>
      <c r="DN41" s="956"/>
      <c r="DO41" s="956"/>
      <c r="DP41" s="956"/>
      <c r="DQ41" s="956"/>
      <c r="DR41" s="956"/>
      <c r="DS41" s="956"/>
      <c r="DT41" s="956" t="s">
        <v>74</v>
      </c>
      <c r="DU41" s="956"/>
      <c r="DV41" s="956"/>
      <c r="DW41" s="956"/>
      <c r="DX41" s="956"/>
      <c r="DY41" s="956"/>
      <c r="DZ41" s="956"/>
      <c r="EA41" s="956"/>
      <c r="EB41" s="956"/>
      <c r="EC41" s="956"/>
      <c r="ED41" s="956" t="s">
        <v>74</v>
      </c>
      <c r="EE41" s="956" t="s">
        <v>74</v>
      </c>
      <c r="EF41" s="956"/>
      <c r="EG41" s="956"/>
      <c r="EH41" s="956"/>
      <c r="EI41" s="956"/>
      <c r="EJ41" s="956"/>
      <c r="EK41" s="956"/>
      <c r="EL41" s="956" t="s">
        <v>74</v>
      </c>
      <c r="EM41" s="956"/>
      <c r="EN41" s="956"/>
      <c r="EO41" s="956"/>
      <c r="EP41" s="956"/>
      <c r="EQ41" s="956"/>
      <c r="ER41" s="956"/>
      <c r="ES41" s="956"/>
      <c r="ET41" s="956"/>
      <c r="EU41" s="956"/>
      <c r="EV41" s="956"/>
      <c r="EW41" s="956"/>
      <c r="EX41" s="956"/>
      <c r="EY41" s="956" t="s">
        <v>74</v>
      </c>
      <c r="EZ41" s="956"/>
      <c r="FA41" s="956"/>
      <c r="FB41" s="956"/>
      <c r="FC41" s="956" t="s">
        <v>74</v>
      </c>
      <c r="FD41" s="956"/>
      <c r="FE41" s="956"/>
      <c r="FF41" s="956"/>
      <c r="FG41" s="956"/>
      <c r="FH41" s="956"/>
      <c r="FI41" s="956"/>
      <c r="FJ41" s="956"/>
      <c r="FK41" s="956"/>
      <c r="FL41" s="956"/>
      <c r="FM41" s="956"/>
      <c r="FN41" s="956"/>
      <c r="FO41" s="956"/>
      <c r="FP41" s="956"/>
      <c r="FQ41" s="956" t="s">
        <v>74</v>
      </c>
      <c r="FR41" s="956"/>
      <c r="FS41" s="956"/>
      <c r="FT41" s="956"/>
      <c r="FU41" s="956"/>
      <c r="FV41" s="956" t="s">
        <v>74</v>
      </c>
      <c r="FW41" s="956" t="s">
        <v>74</v>
      </c>
      <c r="FX41" s="956"/>
      <c r="FY41" s="956"/>
      <c r="FZ41" s="956"/>
      <c r="GA41" s="956"/>
      <c r="GB41" s="956"/>
      <c r="GC41" s="956"/>
      <c r="GD41" s="956"/>
      <c r="GE41" s="956"/>
      <c r="GF41" s="956"/>
      <c r="GG41" s="956"/>
      <c r="GH41" s="956"/>
      <c r="GI41" s="956"/>
      <c r="GJ41" s="956"/>
      <c r="GK41" s="956"/>
      <c r="GL41" s="956"/>
      <c r="GM41" s="956"/>
      <c r="GN41" s="956"/>
      <c r="GO41" s="956" t="s">
        <v>74</v>
      </c>
      <c r="GP41" s="956"/>
      <c r="GQ41" s="956"/>
      <c r="GR41" s="956"/>
      <c r="GS41" s="956"/>
      <c r="GT41" s="956"/>
      <c r="GU41" s="956"/>
      <c r="GV41" s="956"/>
      <c r="GW41" s="956" t="s">
        <v>74</v>
      </c>
      <c r="GX41" s="956"/>
      <c r="GY41" s="956"/>
      <c r="GZ41" s="956"/>
      <c r="HA41" s="977" t="s">
        <v>74</v>
      </c>
      <c r="HB41" s="956"/>
      <c r="HC41" s="956"/>
      <c r="HD41" s="956"/>
      <c r="HE41" s="956"/>
      <c r="HF41" s="956" t="s">
        <v>74</v>
      </c>
      <c r="HG41" s="956"/>
      <c r="HH41" s="956"/>
      <c r="HI41" s="956"/>
      <c r="HJ41" s="956"/>
      <c r="HK41" s="956"/>
      <c r="HL41" s="956"/>
      <c r="HM41" s="977" t="s">
        <v>74</v>
      </c>
      <c r="HN41" s="956"/>
      <c r="HO41" s="956"/>
      <c r="HP41" s="956" t="s">
        <v>74</v>
      </c>
      <c r="HQ41" s="956"/>
      <c r="HR41" s="956" t="s">
        <v>74</v>
      </c>
      <c r="HS41" s="956"/>
      <c r="HT41" s="956"/>
      <c r="HU41" s="956"/>
      <c r="HV41" s="956"/>
      <c r="HW41" s="956"/>
      <c r="HX41" s="1000"/>
      <c r="HY41" s="956" t="s">
        <v>74</v>
      </c>
      <c r="HZ41" s="956" t="s">
        <v>74</v>
      </c>
      <c r="IA41" s="956" t="s">
        <v>74</v>
      </c>
      <c r="IB41" s="1027"/>
      <c r="IC41" s="1028"/>
      <c r="ID41" s="1028"/>
      <c r="IE41" s="1027"/>
      <c r="IF41" s="1027"/>
      <c r="IG41" s="939" t="s">
        <v>74</v>
      </c>
      <c r="IH41" s="1027"/>
      <c r="II41" s="1027"/>
      <c r="IJ41" s="1027"/>
      <c r="IK41" s="1027"/>
      <c r="IL41" s="1027"/>
      <c r="IM41" s="1027"/>
      <c r="IN41" s="1027"/>
      <c r="IO41" s="1027"/>
      <c r="IP41" s="990" t="s">
        <v>74</v>
      </c>
      <c r="IQ41" s="1028"/>
      <c r="IR41" s="1027"/>
      <c r="IS41" s="1027"/>
      <c r="IT41" s="1027"/>
      <c r="IU41" s="1027"/>
      <c r="IV41" s="972" t="s">
        <v>74</v>
      </c>
      <c r="IW41" s="972" t="s">
        <v>74</v>
      </c>
      <c r="IX41" s="929" t="str">
        <f>IF(ISNUMBER(SEARCH($A41,VLOOKUP(IX$2,职业列表!$B$1:$G$370,6,0))),"★","")</f>
        <v>★</v>
      </c>
      <c r="IY41" s="929" t="str">
        <f>IF(ISNUMBER(SEARCH($A41,VLOOKUP(IY$2,职业列表!$B$1:$G$370,6,0))),"★","")</f>
        <v>★</v>
      </c>
      <c r="IZ41" s="929" t="str">
        <f>IF(ISNUMBER(SEARCH($A41,VLOOKUP(IZ$2,职业列表!$B$1:$G$370,6,0))),"★","")</f>
        <v/>
      </c>
      <c r="JA41" s="929" t="str">
        <f>IF(ISNUMBER(SEARCH($A41,VLOOKUP(JA$2,职业列表!$B$1:$G$370,6,0))),"★","")</f>
        <v/>
      </c>
      <c r="JB41" s="929" t="str">
        <f>IF(ISNUMBER(SEARCH($A41,VLOOKUP(JB$2,职业列表!$B$1:$G$370,6,0))),"★","")</f>
        <v/>
      </c>
      <c r="JC41" s="929" t="str">
        <f>IF(ISNUMBER(SEARCH($A41,VLOOKUP(JC$2,职业列表!$B$1:$G$370,6,0))),"★","")</f>
        <v/>
      </c>
      <c r="JD41" s="929" t="str">
        <f>IF(ISNUMBER(SEARCH($A41,VLOOKUP(JD$2,职业列表!$B$1:$G$370,6,0))),"★","")</f>
        <v>★</v>
      </c>
      <c r="JE41" s="929" t="str">
        <f>IF(ISNUMBER(SEARCH($A41,VLOOKUP(JE$2,职业列表!$B$1:$G$370,6,0))),"★","")</f>
        <v/>
      </c>
      <c r="JF41" s="929" t="str">
        <f>IF(ISNUMBER(SEARCH($A41,VLOOKUP(JF$2,职业列表!$B$1:$G$370,6,0))),"★","")</f>
        <v/>
      </c>
      <c r="JG41" s="929" t="str">
        <f>IF(ISNUMBER(SEARCH($A41,VLOOKUP(JG$2,职业列表!$B$1:$G$370,6,0))),"★","")</f>
        <v/>
      </c>
      <c r="JH41" s="929" t="str">
        <f>IF(ISNUMBER(SEARCH($A41,VLOOKUP(JH$2,职业列表!$B$1:$G$370,6,0))),"★","")</f>
        <v/>
      </c>
      <c r="JI41" s="929" t="str">
        <f>IF(ISNUMBER(SEARCH($A41,VLOOKUP(JI$2,职业列表!$B$1:$G$370,6,0))),"★","")</f>
        <v/>
      </c>
      <c r="JJ41" s="929" t="str">
        <f>IF(ISNUMBER(SEARCH($A41,VLOOKUP(JJ$2,职业列表!$B$1:$G$370,6,0))),"★","")</f>
        <v/>
      </c>
      <c r="JK41" s="929" t="str">
        <f>IF(ISNUMBER(SEARCH($A41,VLOOKUP(JK$2,职业列表!$B$1:$G$370,6,0))),"★","")</f>
        <v>★</v>
      </c>
      <c r="JL41" s="929" t="str">
        <f>IF(ISNUMBER(SEARCH($A41,VLOOKUP(JL$2,职业列表!$B$1:$G$370,6,0))),"★","")</f>
        <v/>
      </c>
      <c r="JM41" s="929" t="str">
        <f>IF(ISNUMBER(SEARCH($A41,VLOOKUP(JM$2,职业列表!$B$1:$G$370,6,0))),"★","")</f>
        <v/>
      </c>
      <c r="JN41" s="929" t="str">
        <f>IF(ISNUMBER(SEARCH($A41,VLOOKUP(JN$2,职业列表!$B$1:$G$370,6,0))),"★","")</f>
        <v/>
      </c>
      <c r="JO41" s="929" t="str">
        <f>IF(ISNUMBER(SEARCH($A41,VLOOKUP(JO$2,职业列表!$B$1:$G$370,6,0))),"★","")</f>
        <v/>
      </c>
      <c r="JP41" s="929" t="str">
        <f>IF(ISNUMBER(SEARCH($A41,VLOOKUP(JP$2,职业列表!$B$1:$G$370,6,0))),"★","")</f>
        <v/>
      </c>
      <c r="JQ41" s="929" t="str">
        <f>IF(ISNUMBER(SEARCH($A41,VLOOKUP(JQ$2,职业列表!$B$1:$G$370,6,0))),"★","")</f>
        <v>★</v>
      </c>
      <c r="JR41" s="929" t="str">
        <f>IF(ISNUMBER(SEARCH($A41,VLOOKUP(JR$2,职业列表!$B$1:$G$370,6,0))),"★","")</f>
        <v>★</v>
      </c>
      <c r="JS41" s="929" t="str">
        <f>IF(ISNUMBER(SEARCH($A41,VLOOKUP(JS$2,职业列表!$B$1:$G$370,6,0))),"★","")</f>
        <v/>
      </c>
      <c r="JT41" s="929" t="str">
        <f>IF(ISNUMBER(SEARCH($A41,VLOOKUP(JT$2,职业列表!$B$1:$G$370,6,0))),"★","")</f>
        <v/>
      </c>
      <c r="JU41" s="929" t="str">
        <f>IF(ISNUMBER(SEARCH($A41,VLOOKUP(JU$2,职业列表!$B$1:$G$370,6,0))),"★","")</f>
        <v/>
      </c>
      <c r="JV41" s="929" t="str">
        <f>IF(ISNUMBER(SEARCH($A41,VLOOKUP(JV$2,职业列表!$B$1:$G$370,6,0))),"★","")</f>
        <v/>
      </c>
      <c r="JW41" s="929" t="str">
        <f>IF(ISNUMBER(SEARCH($A41,VLOOKUP(JW$2,职业列表!$B$1:$G$370,6,0))),"★","")</f>
        <v/>
      </c>
      <c r="JX41" s="929" t="str">
        <f>IF(ISNUMBER(SEARCH($A41,VLOOKUP(JX$2,职业列表!$B$1:$G$370,6,0))),"★","")</f>
        <v/>
      </c>
      <c r="JY41" s="929" t="str">
        <f>IF(ISNUMBER(SEARCH($A41,VLOOKUP(JY$2,职业列表!$B$1:$G$370,6,0))),"★","")</f>
        <v/>
      </c>
      <c r="JZ41" s="929" t="str">
        <f>IF(ISNUMBER(SEARCH($A41,VLOOKUP(JZ$2,职业列表!$B$1:$G$370,6,0))),"★","")</f>
        <v/>
      </c>
      <c r="KA41" s="929" t="str">
        <f>IF(ISNUMBER(SEARCH($A41,VLOOKUP(KA$2,职业列表!$B$1:$G$370,6,0))),"★","")</f>
        <v/>
      </c>
      <c r="KB41" s="929" t="str">
        <f>IF(ISNUMBER(SEARCH($A41,VLOOKUP(KB$2,职业列表!$B$1:$G$370,6,0))),"★","")</f>
        <v/>
      </c>
      <c r="KC41" s="929" t="str">
        <f>IF(ISNUMBER(SEARCH($A41,VLOOKUP(KC$2,职业列表!$B$1:$G$370,6,0))),"★","")</f>
        <v/>
      </c>
      <c r="KD41" s="929" t="str">
        <f>IF(ISNUMBER(SEARCH($A41,VLOOKUP(KD$2,职业列表!$B$1:$G$370,6,0))),"★","")</f>
        <v/>
      </c>
      <c r="KE41" s="929" t="str">
        <f>IF(ISNUMBER(SEARCH($A41,VLOOKUP(KE$2,职业列表!$B$1:$G$370,6,0))),"★","")</f>
        <v/>
      </c>
      <c r="KF41" s="929" t="str">
        <f>IF(ISNUMBER(SEARCH($A41,VLOOKUP(KF$2,职业列表!$B$1:$G$370,6,0))),"★","")</f>
        <v/>
      </c>
      <c r="KG41" s="929" t="str">
        <f>IF(ISNUMBER(SEARCH($A41,VLOOKUP(KG$2,职业列表!$B$1:$G$370,6,0))),"★","")</f>
        <v>★</v>
      </c>
      <c r="KH41" s="929" t="str">
        <f>IF(ISNUMBER(SEARCH($A41,VLOOKUP(KH$2,职业列表!$B$1:$G$370,6,0))),"★","")</f>
        <v/>
      </c>
      <c r="KI41" s="929" t="str">
        <f>IF(ISNUMBER(SEARCH($A41,VLOOKUP(KI$2,职业列表!$B$1:$G$370,6,0))),"★","")</f>
        <v/>
      </c>
      <c r="KJ41" s="929" t="str">
        <f>IF(ISNUMBER(SEARCH($A41,VLOOKUP(KJ$2,职业列表!$B$1:$G$370,6,0))),"★","")</f>
        <v>★</v>
      </c>
      <c r="KK41" s="929" t="str">
        <f>IF(ISNUMBER(SEARCH($A41,VLOOKUP(KK$2,职业列表!$B$1:$G$370,6,0))),"★","")</f>
        <v/>
      </c>
      <c r="KL41" s="929" t="s">
        <v>74</v>
      </c>
      <c r="KM41" s="929" t="str">
        <f>IF(ISNUMBER(SEARCH($A41,VLOOKUP(KM$2,职业列表!$B$1:$G$370,6,0))),"★","")</f>
        <v/>
      </c>
      <c r="KN41" s="929" t="str">
        <f>IF(ISNUMBER(SEARCH($A41,VLOOKUP(KN$2,职业列表!$B$1:$G$370,6,0))),"★","")</f>
        <v>★</v>
      </c>
      <c r="KO41" s="929" t="str">
        <f>IF(ISNUMBER(SEARCH($A41,VLOOKUP(KO$2,职业列表!$B$1:$G$370,6,0))),"★","")</f>
        <v/>
      </c>
      <c r="KP41" s="929" t="str">
        <f>IF(ISNUMBER(SEARCH($A41,VLOOKUP(KP$2,职业列表!$B$1:$G$370,6,0))),"★","")</f>
        <v/>
      </c>
      <c r="KQ41" s="929" t="str">
        <f>IF(ISNUMBER(SEARCH($A41,VLOOKUP(KQ$2,职业列表!$B$1:$G$370,6,0))),"★","")</f>
        <v/>
      </c>
      <c r="KR41" s="929" t="str">
        <f>IF(ISNUMBER(SEARCH($A41,VLOOKUP(KR$2,职业列表!$B$1:$G$370,6,0))),"★","")</f>
        <v/>
      </c>
      <c r="KS41" s="929" t="str">
        <f>IF(ISNUMBER(SEARCH($A41,VLOOKUP(KS$2,职业列表!$B$1:$G$370,6,0))),"★","")</f>
        <v/>
      </c>
      <c r="KT41" s="929" t="str">
        <f>IF(ISNUMBER(SEARCH($A41,VLOOKUP(KT$2,职业列表!$B$1:$G$370,6,0))),"★","")</f>
        <v>★</v>
      </c>
      <c r="KU41" s="929" t="str">
        <f>IF(ISNUMBER(SEARCH($A41,VLOOKUP(KU$2,职业列表!$B$1:$G$370,6,0))),"★","")</f>
        <v/>
      </c>
      <c r="KV41" s="929" t="str">
        <f>IF(ISNUMBER(SEARCH($A41,VLOOKUP(KV$2,职业列表!$B$1:$G$370,6,0))),"★","")</f>
        <v/>
      </c>
      <c r="KW41" s="929" t="str">
        <f>IF(ISNUMBER(SEARCH($A41,VLOOKUP(KW$2,职业列表!$B$1:$G$370,6,0))),"★","")</f>
        <v/>
      </c>
      <c r="KX41" s="929" t="str">
        <f>IF(ISNUMBER(SEARCH($A41,VLOOKUP(KX$2,职业列表!$B$1:$G$370,6,0))),"★","")</f>
        <v/>
      </c>
      <c r="KY41" s="929" t="str">
        <f>IF(ISNUMBER(SEARCH($A41,VLOOKUP(KY$2,职业列表!$B$1:$G$370,6,0))),"★","")</f>
        <v/>
      </c>
      <c r="KZ41" s="929" t="str">
        <f>IF(ISNUMBER(SEARCH($A41,VLOOKUP(KZ$2,职业列表!$B$1:$G$370,6,0))),"★","")</f>
        <v/>
      </c>
      <c r="LA41" s="929" t="str">
        <f>IF(ISNUMBER(SEARCH($A41,VLOOKUP(LA$2,职业列表!$B$1:$G$370,6,0))),"★","")</f>
        <v>★</v>
      </c>
      <c r="LB41" s="929" t="str">
        <f>IF(ISNUMBER(SEARCH($A41,VLOOKUP(LB$2,职业列表!$B$1:$G$370,6,0))),"★","")</f>
        <v/>
      </c>
      <c r="LC41" s="929" t="str">
        <f>IF(ISNUMBER(SEARCH($A41,VLOOKUP(LC$2,职业列表!$B$1:$G$370,6,0))),"★","")</f>
        <v/>
      </c>
      <c r="LD41" s="929" t="str">
        <f>IF(ISNUMBER(SEARCH($A41,VLOOKUP(LD$2,职业列表!$B$1:$G$370,6,0))),"★","")</f>
        <v/>
      </c>
      <c r="LE41" s="929" t="str">
        <f>IF(ISNUMBER(SEARCH($A41,VLOOKUP(LE$2,职业列表!$B$1:$G$370,6,0))),"★","")</f>
        <v/>
      </c>
      <c r="LF41" s="929" t="str">
        <f>IF(ISNUMBER(SEARCH($A41,VLOOKUP(LF$2,职业列表!$B$1:$G$370,6,0))),"★","")</f>
        <v/>
      </c>
      <c r="LG41" s="929" t="str">
        <f>IF(ISNUMBER(SEARCH($A41,VLOOKUP(LG$2,职业列表!$B$1:$G$370,6,0))),"★","")</f>
        <v/>
      </c>
      <c r="LH41" s="929" t="str">
        <f>IF(ISNUMBER(SEARCH($A41,VLOOKUP(LH$2,职业列表!$B$1:$G$370,6,0))),"★","")</f>
        <v/>
      </c>
      <c r="LI41" s="929" t="str">
        <f>IF(ISNUMBER(SEARCH($A41,VLOOKUP(LI$2,职业列表!$B$1:$G$370,6,0))),"★","")</f>
        <v>★</v>
      </c>
      <c r="LJ41" s="929" t="str">
        <f>IF(ISNUMBER(SEARCH($A41,VLOOKUP(LJ$2,职业列表!$B$1:$G$370,6,0))),"★","")</f>
        <v/>
      </c>
      <c r="LK41" s="929" t="str">
        <f>IF(ISNUMBER(SEARCH($A41,VLOOKUP(LK$2,职业列表!$B$1:$G$370,6,0))),"★","")</f>
        <v/>
      </c>
      <c r="LL41" s="929" t="str">
        <f>IF(ISNUMBER(SEARCH($A41,VLOOKUP(LL$2,职业列表!$B$1:$G$370,6,0))),"★","")</f>
        <v/>
      </c>
      <c r="LM41" s="929" t="str">
        <f>IF(ISNUMBER(SEARCH($A41,VLOOKUP(LM$2,职业列表!$B$1:$G$370,6,0))),"★","")</f>
        <v/>
      </c>
      <c r="LN41" s="929" t="str">
        <f>IF(ISNUMBER(SEARCH($A41,VLOOKUP(LN$2,职业列表!$B$1:$G$370,6,0))),"★","")</f>
        <v/>
      </c>
      <c r="LO41" s="929" t="str">
        <f>IF(ISNUMBER(SEARCH($A41,VLOOKUP(LO$2,职业列表!$B$1:$G$370,6,0))),"★","")</f>
        <v/>
      </c>
      <c r="LP41" s="929" t="str">
        <f>IF(ISNUMBER(SEARCH($A41,VLOOKUP(LP$2,职业列表!$B$1:$G$370,6,0))),"★","")</f>
        <v/>
      </c>
      <c r="LQ41" s="929" t="str">
        <f>IF(ISNUMBER(SEARCH($A41,VLOOKUP(LQ$2,职业列表!$B$1:$G$370,6,0))),"★","")</f>
        <v/>
      </c>
      <c r="LR41" s="929" t="str">
        <f>IF(ISNUMBER(SEARCH($A41,VLOOKUP(LR$2,职业列表!$B$1:$G$370,6,0))),"★","")</f>
        <v/>
      </c>
      <c r="LS41" s="929" t="str">
        <f>IF(ISNUMBER(SEARCH($A41,VLOOKUP(LS$2,职业列表!$B$1:$G$370,6,0))),"★","")</f>
        <v/>
      </c>
      <c r="LT41" s="929" t="str">
        <f>IF(ISNUMBER(SEARCH($A41,VLOOKUP(LT$2,职业列表!$B$1:$G$370,6,0))),"★","")</f>
        <v/>
      </c>
      <c r="LU41" s="929" t="str">
        <f>IF(ISNUMBER(SEARCH($A41,VLOOKUP(LU$2,职业列表!$B$1:$G$370,6,0))),"★","")</f>
        <v/>
      </c>
      <c r="LV41" s="929" t="str">
        <f>IF(ISNUMBER(SEARCH($A41,VLOOKUP(LV$2,职业列表!$B$1:$G$370,6,0))),"★","")</f>
        <v>★</v>
      </c>
      <c r="LW41" s="929" t="str">
        <f>IF(ISNUMBER(SEARCH($A41,VLOOKUP(LW$2,职业列表!$B$1:$G$370,6,0))),"★","")</f>
        <v>★</v>
      </c>
      <c r="LX41" s="929" t="str">
        <f>IF(ISNUMBER(SEARCH($A41,VLOOKUP(LX$2,职业列表!$B$1:$G$370,6,0))),"★","")</f>
        <v/>
      </c>
      <c r="LY41" s="929" t="str">
        <f>IF(ISNUMBER(SEARCH($A41,VLOOKUP(LY$2,职业列表!$B$1:$G$370,6,0))),"★","")</f>
        <v/>
      </c>
      <c r="LZ41" s="929" t="str">
        <f>IF(ISNUMBER(SEARCH($A41,VLOOKUP(LZ$2,职业列表!$B$1:$G$370,6,0))),"★","")</f>
        <v>★</v>
      </c>
      <c r="MA41" s="929" t="str">
        <f>IF(ISNUMBER(SEARCH($A41,VLOOKUP(MA$2,职业列表!$B$1:$G$370,6,0))),"★","")</f>
        <v/>
      </c>
      <c r="MB41" s="929" t="str">
        <f>IF(ISNUMBER(SEARCH($A41,VLOOKUP(MB$2,职业列表!$B$1:$G$370,6,0))),"★","")</f>
        <v/>
      </c>
      <c r="MC41" s="929" t="str">
        <f>IF(ISNUMBER(SEARCH($A41,VLOOKUP(MC$2,职业列表!$B$1:$G$370,6,0))),"★","")</f>
        <v/>
      </c>
      <c r="MD41" s="929" t="str">
        <f>IF(ISNUMBER(SEARCH($A41,VLOOKUP(MD$2,职业列表!$B$1:$G$370,6,0))),"★","")</f>
        <v/>
      </c>
      <c r="ME41" s="929" t="str">
        <f>IF(ISNUMBER(SEARCH($A41,VLOOKUP(ME$2,职业列表!$B$1:$G$370,6,0))),"★","")</f>
        <v>★</v>
      </c>
      <c r="MF41" s="929" t="str">
        <f>IF(ISNUMBER(SEARCH($A41,VLOOKUP(MF$2,职业列表!$B$1:$G$370,6,0))),"★","")</f>
        <v/>
      </c>
      <c r="MG41" s="929" t="str">
        <f>IF(ISNUMBER(SEARCH($A41,VLOOKUP(MG$2,职业列表!$B$1:$G$370,6,0))),"★","")</f>
        <v/>
      </c>
      <c r="MH41" s="929" t="str">
        <f>IF(ISNUMBER(SEARCH($A41,VLOOKUP(MH$2,职业列表!$B$1:$G$370,6,0))),"★","")</f>
        <v/>
      </c>
      <c r="MI41" s="929" t="str">
        <f>IF(ISNUMBER(SEARCH($A41,VLOOKUP(MI$2,职业列表!$B$1:$G$370,6,0))),"★","")</f>
        <v>★</v>
      </c>
      <c r="MJ41" s="929" t="str">
        <f>IF(ISNUMBER(SEARCH($A41,VLOOKUP(MJ$2,职业列表!$B$1:$G$370,6,0))),"★","")</f>
        <v>★</v>
      </c>
      <c r="MK41" s="929" t="str">
        <f>IF(ISNUMBER(SEARCH($A41,VLOOKUP(MK$2,职业列表!$B$1:$G$370,6,0))),"★","")</f>
        <v/>
      </c>
      <c r="ML41" s="929" t="str">
        <f>IF(ISNUMBER(SEARCH($A41,VLOOKUP(ML$2,职业列表!$B$1:$G$370,6,0))),"★","")</f>
        <v/>
      </c>
      <c r="MM41" s="929" t="str">
        <f>IF(ISNUMBER(SEARCH($A41,VLOOKUP(MM$2,职业列表!$B$1:$G$370,6,0))),"★","")</f>
        <v/>
      </c>
      <c r="MN41" s="929" t="str">
        <f>IF(ISNUMBER(SEARCH($A41,VLOOKUP(MN$2,职业列表!$B$1:$G$370,6,0))),"★","")</f>
        <v/>
      </c>
      <c r="MO41" s="929" t="str">
        <f>IF(ISNUMBER(SEARCH($A41,VLOOKUP(MO$2,职业列表!$B$1:$G$370,6,0))),"★","")</f>
        <v/>
      </c>
      <c r="MP41" s="929" t="str">
        <f>IF(ISNUMBER(SEARCH($A41,VLOOKUP(MP$2,职业列表!$B$1:$G$370,6,0))),"★","")</f>
        <v/>
      </c>
      <c r="MQ41" s="929" t="str">
        <f>IF(ISNUMBER(SEARCH($A41,VLOOKUP(MQ$2,职业列表!$B$1:$G$370,6,0))),"★","")</f>
        <v/>
      </c>
      <c r="MR41" s="929" t="str">
        <f>IF(ISNUMBER(SEARCH($A41,VLOOKUP(MR$2,职业列表!$B$1:$G$370,6,0))),"★","")</f>
        <v>★</v>
      </c>
      <c r="MS41" s="929" t="str">
        <f>IF(ISNUMBER(SEARCH($A41,VLOOKUP(MS$2,职业列表!$B$1:$G$370,6,0))),"★","")</f>
        <v/>
      </c>
      <c r="MT41" s="929" t="str">
        <f>IF(ISNUMBER(SEARCH($A41,VLOOKUP(MT$2,职业列表!$B$1:$G$370,6,0))),"★","")</f>
        <v/>
      </c>
      <c r="MU41" s="929" t="str">
        <f>IF(ISNUMBER(SEARCH($A41,VLOOKUP(MU$2,职业列表!$B$1:$G$370,6,0))),"★","")</f>
        <v/>
      </c>
      <c r="MV41" s="929" t="str">
        <f>IF(ISNUMBER(SEARCH($A41,VLOOKUP(MV$2,职业列表!$B$1:$G$370,6,0))),"★","")</f>
        <v/>
      </c>
      <c r="MW41" s="929" t="str">
        <f>IF(ISNUMBER(SEARCH($A41,VLOOKUP(MW$2,职业列表!$B$1:$G$370,6,0))),"★","")</f>
        <v/>
      </c>
      <c r="MX41" s="929" t="str">
        <f>IF(ISNUMBER(SEARCH($A41,VLOOKUP(MX$2,职业列表!$B$1:$G$370,6,0))),"★","")</f>
        <v/>
      </c>
      <c r="MY41" s="929" t="str">
        <f>IF(ISNUMBER(SEARCH($A41,VLOOKUP(MY$2,职业列表!$B$1:$G$370,6,0))),"★","")</f>
        <v/>
      </c>
      <c r="MZ41" s="929" t="str">
        <f>IF(ISNUMBER(SEARCH($A41,VLOOKUP(MZ$2,职业列表!$B$1:$G$370,6,0))),"★","")</f>
        <v/>
      </c>
      <c r="NA41" s="929" t="str">
        <f>IF(ISNUMBER(SEARCH($A41,VLOOKUP(NA$2,职业列表!$B$1:$G$370,6,0))),"★","")</f>
        <v/>
      </c>
      <c r="NB41" s="929" t="str">
        <f>IF(ISNUMBER(SEARCH($A41,VLOOKUP(NB$2,职业列表!$B$1:$G$370,6,0))),"★","")</f>
        <v/>
      </c>
      <c r="NC41" s="929" t="str">
        <f>IF(ISNUMBER(SEARCH($A41,VLOOKUP(NC$2,职业列表!$B$1:$G$370,6,0))),"★","")</f>
        <v/>
      </c>
      <c r="ND41" s="929" t="str">
        <f>IF(ISNUMBER(SEARCH($A41,VLOOKUP(ND$2,职业列表!$B$1:$G$370,6,0))),"★","")</f>
        <v>★</v>
      </c>
      <c r="NE41" s="929" t="str">
        <f>IF(ISNUMBER(SEARCH($A41,VLOOKUP(NE$2,职业列表!$B$1:$G$370,6,0))),"★","")</f>
        <v/>
      </c>
    </row>
    <row r="42" customFormat="1" spans="1:369">
      <c r="A42" s="932" t="s">
        <v>62</v>
      </c>
      <c r="B42" s="957" t="str">
        <f>IF(OR(A42="说服",A42="话术",A42="取悦",A42="恐吓"),"☯",IF(ISNUMBER(SEARCH(A42,VLOOKUP(IX$2,职业列表!$B$1:$G$370,6,0))),"★",""))</f>
        <v/>
      </c>
      <c r="C42" s="939" t="str">
        <f>IF(ISTEXT(IFERROR(VLOOKUP(A42,职业列表!I3:J10,1,FALSE),0)),"★","")</f>
        <v/>
      </c>
      <c r="D42" s="957" t="s">
        <v>74</v>
      </c>
      <c r="E42" s="957"/>
      <c r="F42" s="957"/>
      <c r="G42" s="957"/>
      <c r="H42" s="957" t="s">
        <v>74</v>
      </c>
      <c r="I42" s="957"/>
      <c r="J42" s="957"/>
      <c r="K42" s="957" t="s">
        <v>74</v>
      </c>
      <c r="L42" s="957" t="s">
        <v>74</v>
      </c>
      <c r="M42" s="957" t="s">
        <v>74</v>
      </c>
      <c r="N42" s="957" t="s">
        <v>2716</v>
      </c>
      <c r="O42" s="957"/>
      <c r="P42" s="957"/>
      <c r="Q42" s="957"/>
      <c r="R42" s="957" t="s">
        <v>74</v>
      </c>
      <c r="S42" s="957"/>
      <c r="T42" s="957"/>
      <c r="U42" s="957" t="s">
        <v>74</v>
      </c>
      <c r="V42" s="957"/>
      <c r="W42" s="957"/>
      <c r="X42" s="957"/>
      <c r="Y42" s="957" t="s">
        <v>74</v>
      </c>
      <c r="Z42" s="957" t="s">
        <v>74</v>
      </c>
      <c r="AA42" s="957" t="s">
        <v>74</v>
      </c>
      <c r="AB42" s="957"/>
      <c r="AC42" s="957"/>
      <c r="AD42" s="957"/>
      <c r="AE42" s="957"/>
      <c r="AF42" s="957"/>
      <c r="AG42" s="957"/>
      <c r="AH42" s="957"/>
      <c r="AI42" s="957"/>
      <c r="AJ42" s="957"/>
      <c r="AK42" s="957" t="s">
        <v>74</v>
      </c>
      <c r="AL42" s="957" t="s">
        <v>74</v>
      </c>
      <c r="AM42" s="957"/>
      <c r="AN42" s="957"/>
      <c r="AO42" s="957"/>
      <c r="AP42" s="957"/>
      <c r="AQ42" s="957" t="s">
        <v>2716</v>
      </c>
      <c r="AR42" s="957"/>
      <c r="AS42" s="957"/>
      <c r="AT42" s="957"/>
      <c r="AU42" s="957"/>
      <c r="AV42" s="957"/>
      <c r="AW42" s="957"/>
      <c r="AX42" s="957"/>
      <c r="AY42" s="957"/>
      <c r="AZ42" s="957"/>
      <c r="BA42" s="957" t="s">
        <v>74</v>
      </c>
      <c r="BB42" s="957"/>
      <c r="BC42" s="957"/>
      <c r="BD42" s="957"/>
      <c r="BE42" s="957"/>
      <c r="BF42" s="957"/>
      <c r="BG42" s="957"/>
      <c r="BH42" s="957" t="s">
        <v>74</v>
      </c>
      <c r="BI42" s="957"/>
      <c r="BJ42" s="957"/>
      <c r="BK42" s="957"/>
      <c r="BL42" s="957"/>
      <c r="BM42" s="957"/>
      <c r="BN42" s="957"/>
      <c r="BO42" s="957" t="s">
        <v>74</v>
      </c>
      <c r="BP42" s="957"/>
      <c r="BQ42" s="957" t="s">
        <v>74</v>
      </c>
      <c r="BR42" s="957" t="s">
        <v>2716</v>
      </c>
      <c r="BS42" s="957"/>
      <c r="BT42" s="957"/>
      <c r="BU42" s="957"/>
      <c r="BV42" s="957" t="s">
        <v>74</v>
      </c>
      <c r="BW42" s="957" t="s">
        <v>74</v>
      </c>
      <c r="BX42" s="957"/>
      <c r="BY42" s="957"/>
      <c r="BZ42" s="957"/>
      <c r="CA42" s="957"/>
      <c r="CB42" s="957" t="s">
        <v>74</v>
      </c>
      <c r="CC42" s="957"/>
      <c r="CD42" s="957"/>
      <c r="CE42" s="957" t="s">
        <v>74</v>
      </c>
      <c r="CF42" s="957"/>
      <c r="CG42" s="957" t="s">
        <v>74</v>
      </c>
      <c r="CH42" s="957" t="s">
        <v>74</v>
      </c>
      <c r="CI42" s="957"/>
      <c r="CJ42" s="957"/>
      <c r="CK42" s="957"/>
      <c r="CL42" s="957"/>
      <c r="CM42" s="957"/>
      <c r="CN42" s="957"/>
      <c r="CO42" s="957" t="s">
        <v>74</v>
      </c>
      <c r="CP42" s="957" t="s">
        <v>74</v>
      </c>
      <c r="CQ42" s="957"/>
      <c r="CR42" s="957"/>
      <c r="CS42" s="957"/>
      <c r="CT42" s="957" t="s">
        <v>74</v>
      </c>
      <c r="CU42" s="957" t="s">
        <v>74</v>
      </c>
      <c r="CV42" s="957"/>
      <c r="CW42" s="957"/>
      <c r="CX42" s="957"/>
      <c r="CY42" s="957" t="s">
        <v>2716</v>
      </c>
      <c r="CZ42" s="957" t="s">
        <v>2717</v>
      </c>
      <c r="DA42" s="957"/>
      <c r="DB42" s="957"/>
      <c r="DC42" s="957"/>
      <c r="DD42" s="957" t="s">
        <v>74</v>
      </c>
      <c r="DE42" s="957"/>
      <c r="DF42" s="957"/>
      <c r="DG42" s="957"/>
      <c r="DH42" s="957"/>
      <c r="DI42" s="957"/>
      <c r="DJ42" s="957" t="s">
        <v>2716</v>
      </c>
      <c r="DK42" s="957"/>
      <c r="DL42" s="957"/>
      <c r="DM42" s="957"/>
      <c r="DN42" s="957"/>
      <c r="DO42" s="957"/>
      <c r="DP42" s="957"/>
      <c r="DQ42" s="957"/>
      <c r="DR42" s="957"/>
      <c r="DS42" s="957"/>
      <c r="DT42" s="957" t="s">
        <v>74</v>
      </c>
      <c r="DU42" s="957" t="s">
        <v>74</v>
      </c>
      <c r="DV42" s="957" t="s">
        <v>74</v>
      </c>
      <c r="DW42" s="957" t="s">
        <v>74</v>
      </c>
      <c r="DX42" s="957" t="s">
        <v>74</v>
      </c>
      <c r="DY42" s="957"/>
      <c r="DZ42" s="957" t="s">
        <v>74</v>
      </c>
      <c r="EA42" s="957"/>
      <c r="EB42" s="957"/>
      <c r="EC42" s="957"/>
      <c r="ED42" s="957" t="s">
        <v>74</v>
      </c>
      <c r="EE42" s="957" t="s">
        <v>74</v>
      </c>
      <c r="EF42" s="957"/>
      <c r="EG42" s="957"/>
      <c r="EH42" s="957"/>
      <c r="EI42" s="957"/>
      <c r="EJ42" s="957" t="s">
        <v>74</v>
      </c>
      <c r="EK42" s="957"/>
      <c r="EL42" s="957"/>
      <c r="EM42" s="957"/>
      <c r="EN42" s="957"/>
      <c r="EO42" s="957"/>
      <c r="EP42" s="957"/>
      <c r="EQ42" s="957"/>
      <c r="ER42" s="957"/>
      <c r="ES42" s="957"/>
      <c r="ET42" s="957"/>
      <c r="EU42" s="957"/>
      <c r="EV42" s="957"/>
      <c r="EW42" s="957" t="s">
        <v>74</v>
      </c>
      <c r="EX42" s="957"/>
      <c r="EY42" s="957"/>
      <c r="EZ42" s="957" t="s">
        <v>74</v>
      </c>
      <c r="FA42" s="957"/>
      <c r="FB42" s="957"/>
      <c r="FC42" s="957"/>
      <c r="FD42" s="957"/>
      <c r="FE42" s="957" t="s">
        <v>2716</v>
      </c>
      <c r="FF42" s="957" t="s">
        <v>74</v>
      </c>
      <c r="FG42" s="957" t="s">
        <v>74</v>
      </c>
      <c r="FH42" s="957"/>
      <c r="FI42" s="957" t="s">
        <v>74</v>
      </c>
      <c r="FJ42" s="957"/>
      <c r="FK42" s="957" t="s">
        <v>2716</v>
      </c>
      <c r="FL42" s="957" t="s">
        <v>74</v>
      </c>
      <c r="FM42" s="957"/>
      <c r="FN42" s="957"/>
      <c r="FO42" s="957"/>
      <c r="FP42" s="957"/>
      <c r="FQ42" s="957"/>
      <c r="FR42" s="957" t="s">
        <v>74</v>
      </c>
      <c r="FS42" s="957" t="s">
        <v>74</v>
      </c>
      <c r="FT42" s="957"/>
      <c r="FU42" s="957"/>
      <c r="FV42" s="957"/>
      <c r="FW42" s="957"/>
      <c r="FX42" s="957"/>
      <c r="FY42" s="957"/>
      <c r="FZ42" s="957" t="s">
        <v>2716</v>
      </c>
      <c r="GA42" s="957"/>
      <c r="GB42" s="957"/>
      <c r="GC42" s="957"/>
      <c r="GD42" s="957"/>
      <c r="GE42" s="957"/>
      <c r="GF42" s="957" t="s">
        <v>2716</v>
      </c>
      <c r="GG42" s="957"/>
      <c r="GH42" s="957"/>
      <c r="GI42" s="957"/>
      <c r="GJ42" s="957"/>
      <c r="GK42" s="957"/>
      <c r="GL42" s="957"/>
      <c r="GM42" s="957"/>
      <c r="GN42" s="957"/>
      <c r="GO42" s="957"/>
      <c r="GP42" s="957"/>
      <c r="GQ42" s="957" t="s">
        <v>74</v>
      </c>
      <c r="GR42" s="957"/>
      <c r="GS42" s="957"/>
      <c r="GT42" s="957" t="s">
        <v>74</v>
      </c>
      <c r="GU42" s="957"/>
      <c r="GV42" s="957" t="s">
        <v>74</v>
      </c>
      <c r="GW42" s="957"/>
      <c r="GX42" s="957"/>
      <c r="GY42" s="957"/>
      <c r="GZ42" s="957" t="s">
        <v>74</v>
      </c>
      <c r="HA42" s="957"/>
      <c r="HB42" s="963" t="s">
        <v>74</v>
      </c>
      <c r="HC42" s="957" t="s">
        <v>74</v>
      </c>
      <c r="HD42" s="957"/>
      <c r="HE42" s="957" t="s">
        <v>74</v>
      </c>
      <c r="HF42" s="957" t="s">
        <v>74</v>
      </c>
      <c r="HG42" s="957"/>
      <c r="HH42" s="957"/>
      <c r="HI42" s="957"/>
      <c r="HJ42" s="957"/>
      <c r="HK42" s="957"/>
      <c r="HL42" s="957"/>
      <c r="HM42" s="957" t="s">
        <v>74</v>
      </c>
      <c r="HN42" s="957" t="s">
        <v>74</v>
      </c>
      <c r="HO42" s="957"/>
      <c r="HP42" s="957" t="s">
        <v>74</v>
      </c>
      <c r="HQ42" s="957" t="s">
        <v>74</v>
      </c>
      <c r="HR42" s="957"/>
      <c r="HS42" s="963" t="s">
        <v>74</v>
      </c>
      <c r="HT42" s="963" t="s">
        <v>74</v>
      </c>
      <c r="HU42" s="957"/>
      <c r="HV42" s="957"/>
      <c r="HW42" s="957"/>
      <c r="HX42" s="1001" t="s">
        <v>74</v>
      </c>
      <c r="HY42" s="939" t="s">
        <v>74</v>
      </c>
      <c r="HZ42" s="1029"/>
      <c r="IA42" s="957" t="s">
        <v>74</v>
      </c>
      <c r="IB42" s="1029"/>
      <c r="IC42" s="1030"/>
      <c r="ID42" s="1030"/>
      <c r="IE42" s="1029"/>
      <c r="IF42" s="1029"/>
      <c r="IG42" s="939" t="s">
        <v>74</v>
      </c>
      <c r="IH42" s="1029"/>
      <c r="II42" s="939" t="s">
        <v>74</v>
      </c>
      <c r="IJ42" s="1029"/>
      <c r="IK42" s="939" t="s">
        <v>74</v>
      </c>
      <c r="IL42" s="1029"/>
      <c r="IM42" s="1029"/>
      <c r="IN42" s="1029"/>
      <c r="IO42" s="1029"/>
      <c r="IP42" s="990" t="s">
        <v>74</v>
      </c>
      <c r="IQ42" s="1030"/>
      <c r="IR42" s="1029"/>
      <c r="IS42" s="1029"/>
      <c r="IT42" s="1029"/>
      <c r="IU42" s="1029"/>
      <c r="IV42" s="1029"/>
      <c r="IW42" s="1054"/>
      <c r="IX42" s="929" t="str">
        <f>IF(ISNUMBER(SEARCH($A42,VLOOKUP(IX$2,职业列表!$B$1:$G$370,6,0))),"★","")</f>
        <v/>
      </c>
      <c r="IY42" s="929" t="str">
        <f>IF(ISNUMBER(SEARCH($A42,VLOOKUP(IY$2,职业列表!$B$1:$G$370,6,0))),"★","")</f>
        <v/>
      </c>
      <c r="IZ42" s="929" t="str">
        <f>IF(ISNUMBER(SEARCH($A42,VLOOKUP(IZ$2,职业列表!$B$1:$G$370,6,0))),"★","")</f>
        <v/>
      </c>
      <c r="JA42" s="929" t="str">
        <f>IF(ISNUMBER(SEARCH($A42,VLOOKUP(JA$2,职业列表!$B$1:$G$370,6,0))),"★","")</f>
        <v/>
      </c>
      <c r="JB42" s="929" t="str">
        <f>IF(ISNUMBER(SEARCH($A42,VLOOKUP(JB$2,职业列表!$B$1:$G$370,6,0))),"★","")</f>
        <v/>
      </c>
      <c r="JC42" s="929" t="str">
        <f>IF(ISNUMBER(SEARCH($A42,VLOOKUP(JC$2,职业列表!$B$1:$G$370,6,0))),"★","")</f>
        <v/>
      </c>
      <c r="JD42" s="929" t="str">
        <f>IF(ISNUMBER(SEARCH($A42,VLOOKUP(JD$2,职业列表!$B$1:$G$370,6,0))),"★","")</f>
        <v/>
      </c>
      <c r="JE42" s="929" t="str">
        <f>IF(ISNUMBER(SEARCH($A42,VLOOKUP(JE$2,职业列表!$B$1:$G$370,6,0))),"★","")</f>
        <v/>
      </c>
      <c r="JF42" s="929" t="str">
        <f>IF(ISNUMBER(SEARCH($A42,VLOOKUP(JF$2,职业列表!$B$1:$G$370,6,0))),"★","")</f>
        <v/>
      </c>
      <c r="JG42" s="929" t="str">
        <f>IF(ISNUMBER(SEARCH($A42,VLOOKUP(JG$2,职业列表!$B$1:$G$370,6,0))),"★","")</f>
        <v/>
      </c>
      <c r="JH42" s="929" t="str">
        <f>IF(ISNUMBER(SEARCH($A42,VLOOKUP(JH$2,职业列表!$B$1:$G$370,6,0))),"★","")</f>
        <v/>
      </c>
      <c r="JI42" s="929" t="str">
        <f>IF(ISNUMBER(SEARCH($A42,VLOOKUP(JI$2,职业列表!$B$1:$G$370,6,0))),"★","")</f>
        <v/>
      </c>
      <c r="JJ42" s="929" t="str">
        <f>IF(ISNUMBER(SEARCH($A42,VLOOKUP(JJ$2,职业列表!$B$1:$G$370,6,0))),"★","")</f>
        <v/>
      </c>
      <c r="JK42" s="929" t="str">
        <f>IF(ISNUMBER(SEARCH($A42,VLOOKUP(JK$2,职业列表!$B$1:$G$370,6,0))),"★","")</f>
        <v/>
      </c>
      <c r="JL42" s="929" t="str">
        <f>IF(ISNUMBER(SEARCH($A42,VLOOKUP(JL$2,职业列表!$B$1:$G$370,6,0))),"★","")</f>
        <v/>
      </c>
      <c r="JM42" s="929" t="str">
        <f>IF(ISNUMBER(SEARCH($A42,VLOOKUP(JM$2,职业列表!$B$1:$G$370,6,0))),"★","")</f>
        <v/>
      </c>
      <c r="JN42" s="929" t="str">
        <f>IF(ISNUMBER(SEARCH($A42,VLOOKUP(JN$2,职业列表!$B$1:$G$370,6,0))),"★","")</f>
        <v/>
      </c>
      <c r="JO42" s="929" t="str">
        <f>IF(ISNUMBER(SEARCH($A42,VLOOKUP(JO$2,职业列表!$B$1:$G$370,6,0))),"★","")</f>
        <v/>
      </c>
      <c r="JP42" s="929" t="str">
        <f>IF(ISNUMBER(SEARCH($A42,VLOOKUP(JP$2,职业列表!$B$1:$G$370,6,0))),"★","")</f>
        <v/>
      </c>
      <c r="JQ42" s="929" t="str">
        <f>IF(ISNUMBER(SEARCH($A42,VLOOKUP(JQ$2,职业列表!$B$1:$G$370,6,0))),"★","")</f>
        <v/>
      </c>
      <c r="JR42" s="929" t="str">
        <f>IF(ISNUMBER(SEARCH($A42,VLOOKUP(JR$2,职业列表!$B$1:$G$370,6,0))),"★","")</f>
        <v/>
      </c>
      <c r="JS42" s="929" t="str">
        <f>IF(ISNUMBER(SEARCH($A42,VLOOKUP(JS$2,职业列表!$B$1:$G$370,6,0))),"★","")</f>
        <v/>
      </c>
      <c r="JT42" s="929" t="str">
        <f>IF(ISNUMBER(SEARCH($A42,VLOOKUP(JT$2,职业列表!$B$1:$G$370,6,0))),"★","")</f>
        <v/>
      </c>
      <c r="JU42" s="929" t="str">
        <f>IF(ISNUMBER(SEARCH($A42,VLOOKUP(JU$2,职业列表!$B$1:$G$370,6,0))),"★","")</f>
        <v/>
      </c>
      <c r="JV42" s="929" t="str">
        <f>IF(ISNUMBER(SEARCH($A42,VLOOKUP(JV$2,职业列表!$B$1:$G$370,6,0))),"★","")</f>
        <v/>
      </c>
      <c r="JW42" s="929" t="str">
        <f>IF(ISNUMBER(SEARCH($A42,VLOOKUP(JW$2,职业列表!$B$1:$G$370,6,0))),"★","")</f>
        <v/>
      </c>
      <c r="JX42" s="929" t="str">
        <f>IF(ISNUMBER(SEARCH($A42,VLOOKUP(JX$2,职业列表!$B$1:$G$370,6,0))),"★","")</f>
        <v/>
      </c>
      <c r="JY42" s="929" t="str">
        <f>IF(ISNUMBER(SEARCH($A42,VLOOKUP(JY$2,职业列表!$B$1:$G$370,6,0))),"★","")</f>
        <v/>
      </c>
      <c r="JZ42" s="929" t="str">
        <f>IF(ISNUMBER(SEARCH($A42,VLOOKUP(JZ$2,职业列表!$B$1:$G$370,6,0))),"★","")</f>
        <v/>
      </c>
      <c r="KA42" s="929" t="str">
        <f>IF(ISNUMBER(SEARCH($A42,VLOOKUP(KA$2,职业列表!$B$1:$G$370,6,0))),"★","")</f>
        <v/>
      </c>
      <c r="KB42" s="929" t="str">
        <f>IF(ISNUMBER(SEARCH($A42,VLOOKUP(KB$2,职业列表!$B$1:$G$370,6,0))),"★","")</f>
        <v/>
      </c>
      <c r="KC42" s="929" t="str">
        <f>IF(ISNUMBER(SEARCH($A42,VLOOKUP(KC$2,职业列表!$B$1:$G$370,6,0))),"★","")</f>
        <v/>
      </c>
      <c r="KD42" s="929" t="str">
        <f>IF(ISNUMBER(SEARCH($A42,VLOOKUP(KD$2,职业列表!$B$1:$G$370,6,0))),"★","")</f>
        <v/>
      </c>
      <c r="KE42" s="929" t="str">
        <f>IF(ISNUMBER(SEARCH($A42,VLOOKUP(KE$2,职业列表!$B$1:$G$370,6,0))),"★","")</f>
        <v/>
      </c>
      <c r="KF42" s="929" t="str">
        <f>IF(ISNUMBER(SEARCH($A42,VLOOKUP(KF$2,职业列表!$B$1:$G$370,6,0))),"★","")</f>
        <v/>
      </c>
      <c r="KG42" s="929" t="str">
        <f>IF(ISNUMBER(SEARCH($A42,VLOOKUP(KG$2,职业列表!$B$1:$G$370,6,0))),"★","")</f>
        <v/>
      </c>
      <c r="KH42" s="929" t="str">
        <f>IF(ISNUMBER(SEARCH($A42,VLOOKUP(KH$2,职业列表!$B$1:$G$370,6,0))),"★","")</f>
        <v/>
      </c>
      <c r="KI42" s="929" t="str">
        <f>IF(ISNUMBER(SEARCH($A42,VLOOKUP(KI$2,职业列表!$B$1:$G$370,6,0))),"★","")</f>
        <v/>
      </c>
      <c r="KJ42" s="929" t="str">
        <f>IF(ISNUMBER(SEARCH($A42,VLOOKUP(KJ$2,职业列表!$B$1:$G$370,6,0))),"★","")</f>
        <v/>
      </c>
      <c r="KK42" s="929" t="str">
        <f>IF(ISNUMBER(SEARCH($A42,VLOOKUP(KK$2,职业列表!$B$1:$G$370,6,0))),"★","")</f>
        <v/>
      </c>
      <c r="KL42" s="929" t="str">
        <f>IF(ISNUMBER(SEARCH($A42,VLOOKUP(KL$2,职业列表!$B$1:$G$370,6,0))),"★","")</f>
        <v/>
      </c>
      <c r="KM42" s="929" t="str">
        <f>IF(ISNUMBER(SEARCH($A42,VLOOKUP(KM$2,职业列表!$B$1:$G$370,6,0))),"★","")</f>
        <v/>
      </c>
      <c r="KN42" s="929" t="str">
        <f>IF(ISNUMBER(SEARCH($A42,VLOOKUP(KN$2,职业列表!$B$1:$G$370,6,0))),"★","")</f>
        <v/>
      </c>
      <c r="KO42" s="929" t="str">
        <f>IF(ISNUMBER(SEARCH($A42,VLOOKUP(KO$2,职业列表!$B$1:$G$370,6,0))),"★","")</f>
        <v/>
      </c>
      <c r="KP42" s="929" t="str">
        <f>IF(ISNUMBER(SEARCH($A42,VLOOKUP(KP$2,职业列表!$B$1:$G$370,6,0))),"★","")</f>
        <v/>
      </c>
      <c r="KQ42" s="929" t="str">
        <f>IF(ISNUMBER(SEARCH($A42,VLOOKUP(KQ$2,职业列表!$B$1:$G$370,6,0))),"★","")</f>
        <v/>
      </c>
      <c r="KR42" s="929" t="str">
        <f>IF(ISNUMBER(SEARCH($A42,VLOOKUP(KR$2,职业列表!$B$1:$G$370,6,0))),"★","")</f>
        <v/>
      </c>
      <c r="KS42" s="929" t="str">
        <f>IF(ISNUMBER(SEARCH($A42,VLOOKUP(KS$2,职业列表!$B$1:$G$370,6,0))),"★","")</f>
        <v/>
      </c>
      <c r="KT42" s="929" t="str">
        <f>IF(ISNUMBER(SEARCH($A42,VLOOKUP(KT$2,职业列表!$B$1:$G$370,6,0))),"★","")</f>
        <v/>
      </c>
      <c r="KU42" s="929" t="str">
        <f>IF(ISNUMBER(SEARCH($A42,VLOOKUP(KU$2,职业列表!$B$1:$G$370,6,0))),"★","")</f>
        <v/>
      </c>
      <c r="KV42" s="929" t="str">
        <f>IF(ISNUMBER(SEARCH($A42,VLOOKUP(KV$2,职业列表!$B$1:$G$370,6,0))),"★","")</f>
        <v/>
      </c>
      <c r="KW42" s="929" t="str">
        <f>IF(ISNUMBER(SEARCH($A42,VLOOKUP(KW$2,职业列表!$B$1:$G$370,6,0))),"★","")</f>
        <v/>
      </c>
      <c r="KX42" s="929" t="str">
        <f>IF(ISNUMBER(SEARCH($A42,VLOOKUP(KX$2,职业列表!$B$1:$G$370,6,0))),"★","")</f>
        <v/>
      </c>
      <c r="KY42" s="929" t="str">
        <f>IF(ISNUMBER(SEARCH($A42,VLOOKUP(KY$2,职业列表!$B$1:$G$370,6,0))),"★","")</f>
        <v/>
      </c>
      <c r="KZ42" s="929" t="str">
        <f>IF(ISNUMBER(SEARCH($A42,VLOOKUP(KZ$2,职业列表!$B$1:$G$370,6,0))),"★","")</f>
        <v/>
      </c>
      <c r="LA42" s="929" t="str">
        <f>IF(ISNUMBER(SEARCH($A42,VLOOKUP(LA$2,职业列表!$B$1:$G$370,6,0))),"★","")</f>
        <v/>
      </c>
      <c r="LB42" s="929" t="str">
        <f>IF(ISNUMBER(SEARCH($A42,VLOOKUP(LB$2,职业列表!$B$1:$G$370,6,0))),"★","")</f>
        <v/>
      </c>
      <c r="LC42" s="929" t="str">
        <f>IF(ISNUMBER(SEARCH($A42,VLOOKUP(LC$2,职业列表!$B$1:$G$370,6,0))),"★","")</f>
        <v/>
      </c>
      <c r="LD42" s="929" t="str">
        <f>IF(ISNUMBER(SEARCH($A42,VLOOKUP(LD$2,职业列表!$B$1:$G$370,6,0))),"★","")</f>
        <v/>
      </c>
      <c r="LE42" s="929" t="str">
        <f>IF(ISNUMBER(SEARCH($A42,VLOOKUP(LE$2,职业列表!$B$1:$G$370,6,0))),"★","")</f>
        <v/>
      </c>
      <c r="LF42" s="929" t="str">
        <f>IF(ISNUMBER(SEARCH($A42,VLOOKUP(LF$2,职业列表!$B$1:$G$370,6,0))),"★","")</f>
        <v/>
      </c>
      <c r="LG42" s="929" t="str">
        <f>IF(ISNUMBER(SEARCH($A42,VLOOKUP(LG$2,职业列表!$B$1:$G$370,6,0))),"★","")</f>
        <v/>
      </c>
      <c r="LH42" s="929" t="str">
        <f>IF(ISNUMBER(SEARCH($A42,VLOOKUP(LH$2,职业列表!$B$1:$G$370,6,0))),"★","")</f>
        <v/>
      </c>
      <c r="LI42" s="929" t="str">
        <f>IF(ISNUMBER(SEARCH($A42,VLOOKUP(LI$2,职业列表!$B$1:$G$370,6,0))),"★","")</f>
        <v/>
      </c>
      <c r="LJ42" s="929" t="str">
        <f>IF(ISNUMBER(SEARCH($A42,VLOOKUP(LJ$2,职业列表!$B$1:$G$370,6,0))),"★","")</f>
        <v/>
      </c>
      <c r="LK42" s="929" t="str">
        <f>IF(ISNUMBER(SEARCH($A42,VLOOKUP(LK$2,职业列表!$B$1:$G$370,6,0))),"★","")</f>
        <v/>
      </c>
      <c r="LL42" s="929" t="str">
        <f>IF(ISNUMBER(SEARCH($A42,VLOOKUP(LL$2,职业列表!$B$1:$G$370,6,0))),"★","")</f>
        <v/>
      </c>
      <c r="LM42" s="929" t="str">
        <f>IF(ISNUMBER(SEARCH($A42,VLOOKUP(LM$2,职业列表!$B$1:$G$370,6,0))),"★","")</f>
        <v/>
      </c>
      <c r="LN42" s="929" t="str">
        <f>IF(ISNUMBER(SEARCH($A42,VLOOKUP(LN$2,职业列表!$B$1:$G$370,6,0))),"★","")</f>
        <v/>
      </c>
      <c r="LO42" s="929" t="str">
        <f>IF(ISNUMBER(SEARCH($A42,VLOOKUP(LO$2,职业列表!$B$1:$G$370,6,0))),"★","")</f>
        <v/>
      </c>
      <c r="LP42" s="929" t="str">
        <f>IF(ISNUMBER(SEARCH($A42,VLOOKUP(LP$2,职业列表!$B$1:$G$370,6,0))),"★","")</f>
        <v/>
      </c>
      <c r="LQ42" s="929" t="str">
        <f>IF(ISNUMBER(SEARCH($A42,VLOOKUP(LQ$2,职业列表!$B$1:$G$370,6,0))),"★","")</f>
        <v/>
      </c>
      <c r="LR42" s="929" t="str">
        <f>IF(ISNUMBER(SEARCH($A42,VLOOKUP(LR$2,职业列表!$B$1:$G$370,6,0))),"★","")</f>
        <v/>
      </c>
      <c r="LS42" s="929" t="str">
        <f>IF(ISNUMBER(SEARCH($A42,VLOOKUP(LS$2,职业列表!$B$1:$G$370,6,0))),"★","")</f>
        <v/>
      </c>
      <c r="LT42" s="929" t="str">
        <f>IF(ISNUMBER(SEARCH($A42,VLOOKUP(LT$2,职业列表!$B$1:$G$370,6,0))),"★","")</f>
        <v/>
      </c>
      <c r="LU42" s="929" t="str">
        <f>IF(ISNUMBER(SEARCH($A42,VLOOKUP(LU$2,职业列表!$B$1:$G$370,6,0))),"★","")</f>
        <v/>
      </c>
      <c r="LV42" s="929" t="str">
        <f>IF(ISNUMBER(SEARCH($A42,VLOOKUP(LV$2,职业列表!$B$1:$G$370,6,0))),"★","")</f>
        <v/>
      </c>
      <c r="LW42" s="929" t="str">
        <f>IF(ISNUMBER(SEARCH($A42,VLOOKUP(LW$2,职业列表!$B$1:$G$370,6,0))),"★","")</f>
        <v/>
      </c>
      <c r="LX42" s="929" t="str">
        <f>IF(ISNUMBER(SEARCH($A42,VLOOKUP(LX$2,职业列表!$B$1:$G$370,6,0))),"★","")</f>
        <v/>
      </c>
      <c r="LY42" s="929" t="str">
        <f>IF(ISNUMBER(SEARCH($A42,VLOOKUP(LY$2,职业列表!$B$1:$G$370,6,0))),"★","")</f>
        <v/>
      </c>
      <c r="LZ42" s="929" t="str">
        <f>IF(ISNUMBER(SEARCH($A42,VLOOKUP(LZ$2,职业列表!$B$1:$G$370,6,0))),"★","")</f>
        <v/>
      </c>
      <c r="MA42" s="929" t="str">
        <f>IF(ISNUMBER(SEARCH($A42,VLOOKUP(MA$2,职业列表!$B$1:$G$370,6,0))),"★","")</f>
        <v/>
      </c>
      <c r="MB42" s="929" t="str">
        <f>IF(ISNUMBER(SEARCH($A42,VLOOKUP(MB$2,职业列表!$B$1:$G$370,6,0))),"★","")</f>
        <v/>
      </c>
      <c r="MC42" s="929" t="str">
        <f>IF(ISNUMBER(SEARCH($A42,VLOOKUP(MC$2,职业列表!$B$1:$G$370,6,0))),"★","")</f>
        <v/>
      </c>
      <c r="MD42" s="929" t="str">
        <f>IF(ISNUMBER(SEARCH($A42,VLOOKUP(MD$2,职业列表!$B$1:$G$370,6,0))),"★","")</f>
        <v/>
      </c>
      <c r="ME42" s="929" t="str">
        <f>IF(ISNUMBER(SEARCH($A42,VLOOKUP(ME$2,职业列表!$B$1:$G$370,6,0))),"★","")</f>
        <v/>
      </c>
      <c r="MF42" s="929" t="str">
        <f>IF(ISNUMBER(SEARCH($A42,VLOOKUP(MF$2,职业列表!$B$1:$G$370,6,0))),"★","")</f>
        <v/>
      </c>
      <c r="MG42" s="929" t="str">
        <f>IF(ISNUMBER(SEARCH($A42,VLOOKUP(MG$2,职业列表!$B$1:$G$370,6,0))),"★","")</f>
        <v/>
      </c>
      <c r="MH42" s="929" t="str">
        <f>IF(ISNUMBER(SEARCH($A42,VLOOKUP(MH$2,职业列表!$B$1:$G$370,6,0))),"★","")</f>
        <v/>
      </c>
      <c r="MI42" s="929" t="str">
        <f>IF(ISNUMBER(SEARCH($A42,VLOOKUP(MI$2,职业列表!$B$1:$G$370,6,0))),"★","")</f>
        <v/>
      </c>
      <c r="MJ42" s="929" t="str">
        <f>IF(ISNUMBER(SEARCH($A42,VLOOKUP(MJ$2,职业列表!$B$1:$G$370,6,0))),"★","")</f>
        <v/>
      </c>
      <c r="MK42" s="929" t="str">
        <f>IF(ISNUMBER(SEARCH($A42,VLOOKUP(MK$2,职业列表!$B$1:$G$370,6,0))),"★","")</f>
        <v/>
      </c>
      <c r="ML42" s="929" t="str">
        <f>IF(ISNUMBER(SEARCH($A42,VLOOKUP(ML$2,职业列表!$B$1:$G$370,6,0))),"★","")</f>
        <v/>
      </c>
      <c r="MM42" s="929" t="str">
        <f>IF(ISNUMBER(SEARCH($A42,VLOOKUP(MM$2,职业列表!$B$1:$G$370,6,0))),"★","")</f>
        <v/>
      </c>
      <c r="MN42" s="929" t="str">
        <f>IF(ISNUMBER(SEARCH($A42,VLOOKUP(MN$2,职业列表!$B$1:$G$370,6,0))),"★","")</f>
        <v/>
      </c>
      <c r="MO42" s="929" t="str">
        <f>IF(ISNUMBER(SEARCH($A42,VLOOKUP(MO$2,职业列表!$B$1:$G$370,6,0))),"★","")</f>
        <v/>
      </c>
      <c r="MP42" s="929" t="str">
        <f>IF(ISNUMBER(SEARCH($A42,VLOOKUP(MP$2,职业列表!$B$1:$G$370,6,0))),"★","")</f>
        <v/>
      </c>
      <c r="MQ42" s="929" t="str">
        <f>IF(ISNUMBER(SEARCH($A42,VLOOKUP(MQ$2,职业列表!$B$1:$G$370,6,0))),"★","")</f>
        <v/>
      </c>
      <c r="MR42" s="929" t="str">
        <f>IF(ISNUMBER(SEARCH($A42,VLOOKUP(MR$2,职业列表!$B$1:$G$370,6,0))),"★","")</f>
        <v/>
      </c>
      <c r="MS42" s="929" t="str">
        <f>IF(ISNUMBER(SEARCH($A42,VLOOKUP(MS$2,职业列表!$B$1:$G$370,6,0))),"★","")</f>
        <v/>
      </c>
      <c r="MT42" s="929" t="str">
        <f>IF(ISNUMBER(SEARCH($A42,VLOOKUP(MT$2,职业列表!$B$1:$G$370,6,0))),"★","")</f>
        <v/>
      </c>
      <c r="MU42" s="929" t="str">
        <f>IF(ISNUMBER(SEARCH($A42,VLOOKUP(MU$2,职业列表!$B$1:$G$370,6,0))),"★","")</f>
        <v/>
      </c>
      <c r="MV42" s="929" t="str">
        <f>IF(ISNUMBER(SEARCH($A42,VLOOKUP(MV$2,职业列表!$B$1:$G$370,6,0))),"★","")</f>
        <v/>
      </c>
      <c r="MW42" s="929" t="str">
        <f>IF(ISNUMBER(SEARCH($A42,VLOOKUP(MW$2,职业列表!$B$1:$G$370,6,0))),"★","")</f>
        <v/>
      </c>
      <c r="MX42" s="929" t="str">
        <f>IF(ISNUMBER(SEARCH($A42,VLOOKUP(MX$2,职业列表!$B$1:$G$370,6,0))),"★","")</f>
        <v/>
      </c>
      <c r="MY42" s="929" t="str">
        <f>IF(ISNUMBER(SEARCH($A42,VLOOKUP(MY$2,职业列表!$B$1:$G$370,6,0))),"★","")</f>
        <v/>
      </c>
      <c r="MZ42" s="929" t="str">
        <f>IF(ISNUMBER(SEARCH($A42,VLOOKUP(MZ$2,职业列表!$B$1:$G$370,6,0))),"★","")</f>
        <v/>
      </c>
      <c r="NA42" s="929" t="str">
        <f>IF(ISNUMBER(SEARCH($A42,VLOOKUP(NA$2,职业列表!$B$1:$G$370,6,0))),"★","")</f>
        <v/>
      </c>
      <c r="NB42" s="929" t="str">
        <f>IF(ISNUMBER(SEARCH($A42,VLOOKUP(NB$2,职业列表!$B$1:$G$370,6,0))),"★","")</f>
        <v/>
      </c>
      <c r="NC42" s="929" t="str">
        <f>IF(ISNUMBER(SEARCH($A42,VLOOKUP(NC$2,职业列表!$B$1:$G$370,6,0))),"★","")</f>
        <v/>
      </c>
      <c r="ND42" s="929" t="str">
        <f>IF(ISNUMBER(SEARCH($A42,VLOOKUP(ND$2,职业列表!$B$1:$G$370,6,0))),"★","")</f>
        <v/>
      </c>
      <c r="NE42" s="929" t="str">
        <f>IF(ISNUMBER(SEARCH($A42,VLOOKUP(NE$2,职业列表!$B$1:$G$370,6,0))),"★","")</f>
        <v/>
      </c>
    </row>
    <row r="43" customFormat="1" spans="1:369">
      <c r="A43" s="932" t="s">
        <v>66</v>
      </c>
      <c r="B43" s="957" t="str">
        <f>IF(OR(A43="说服",A43="话术",A43="取悦",A43="恐吓"),"☯",IF(ISNUMBER(SEARCH(A43,VLOOKUP(IX$2,职业列表!$B$1:$G$370,6,0))),"★",""))</f>
        <v/>
      </c>
      <c r="C43" s="939" t="str">
        <f>IF(ISTEXT(IFERROR(VLOOKUP(A43,职业列表!I3:J10,1,FALSE),0)),"★","")</f>
        <v/>
      </c>
      <c r="D43" s="957" t="s">
        <v>74</v>
      </c>
      <c r="E43" s="957"/>
      <c r="F43" s="957"/>
      <c r="G43" s="957"/>
      <c r="H43" s="957"/>
      <c r="I43" s="957" t="s">
        <v>74</v>
      </c>
      <c r="J43" s="957" t="s">
        <v>74</v>
      </c>
      <c r="K43" s="957"/>
      <c r="L43" s="957"/>
      <c r="M43" s="957"/>
      <c r="N43" s="957"/>
      <c r="O43" s="957"/>
      <c r="P43" s="957" t="s">
        <v>74</v>
      </c>
      <c r="Q43" s="957"/>
      <c r="R43" s="957"/>
      <c r="S43" s="957" t="s">
        <v>74</v>
      </c>
      <c r="T43" s="957" t="s">
        <v>2716</v>
      </c>
      <c r="U43" s="957"/>
      <c r="V43" s="957"/>
      <c r="W43" s="957"/>
      <c r="X43" s="957" t="s">
        <v>74</v>
      </c>
      <c r="Y43" s="957" t="s">
        <v>74</v>
      </c>
      <c r="Z43" s="957"/>
      <c r="AA43" s="957"/>
      <c r="AB43" s="957"/>
      <c r="AC43" s="957"/>
      <c r="AD43" s="957"/>
      <c r="AE43" s="957"/>
      <c r="AF43" s="957"/>
      <c r="AG43" s="957" t="s">
        <v>74</v>
      </c>
      <c r="AH43" s="957" t="s">
        <v>74</v>
      </c>
      <c r="AI43" s="957"/>
      <c r="AJ43" s="957" t="s">
        <v>74</v>
      </c>
      <c r="AK43" s="957"/>
      <c r="AL43" s="957"/>
      <c r="AM43" s="957" t="s">
        <v>74</v>
      </c>
      <c r="AN43" s="957"/>
      <c r="AO43" s="957"/>
      <c r="AP43" s="957"/>
      <c r="AQ43" s="957"/>
      <c r="AR43" s="957"/>
      <c r="AS43" s="957"/>
      <c r="AT43" s="957"/>
      <c r="AU43" s="957" t="s">
        <v>74</v>
      </c>
      <c r="AV43" s="957" t="s">
        <v>74</v>
      </c>
      <c r="AW43" s="957" t="s">
        <v>74</v>
      </c>
      <c r="AX43" s="957"/>
      <c r="AY43" s="957"/>
      <c r="AZ43" s="957" t="s">
        <v>74</v>
      </c>
      <c r="BA43" s="957"/>
      <c r="BB43" s="957" t="s">
        <v>74</v>
      </c>
      <c r="BC43" s="957"/>
      <c r="BD43" s="957"/>
      <c r="BE43" s="957"/>
      <c r="BF43" s="957"/>
      <c r="BG43" s="957" t="s">
        <v>74</v>
      </c>
      <c r="BH43" s="957"/>
      <c r="BI43" s="957" t="s">
        <v>74</v>
      </c>
      <c r="BJ43" s="957" t="s">
        <v>74</v>
      </c>
      <c r="BK43" s="957"/>
      <c r="BL43" s="957"/>
      <c r="BM43" s="957" t="s">
        <v>74</v>
      </c>
      <c r="BN43" s="957" t="s">
        <v>74</v>
      </c>
      <c r="BO43" s="970"/>
      <c r="BP43" s="957" t="s">
        <v>74</v>
      </c>
      <c r="BQ43" s="957" t="s">
        <v>74</v>
      </c>
      <c r="BR43" s="957"/>
      <c r="BS43" s="957"/>
      <c r="BT43" s="957"/>
      <c r="BU43" s="957"/>
      <c r="BV43" s="957"/>
      <c r="BW43" s="957"/>
      <c r="BX43" s="957"/>
      <c r="BY43" s="957"/>
      <c r="BZ43" s="957"/>
      <c r="CA43" s="957" t="s">
        <v>74</v>
      </c>
      <c r="CB43" s="957"/>
      <c r="CC43" s="957" t="s">
        <v>74</v>
      </c>
      <c r="CD43" s="957" t="s">
        <v>74</v>
      </c>
      <c r="CE43" s="957"/>
      <c r="CF43" s="957" t="s">
        <v>74</v>
      </c>
      <c r="CG43" s="957"/>
      <c r="CH43" s="957"/>
      <c r="CI43" s="957"/>
      <c r="CJ43" s="957"/>
      <c r="CK43" s="957"/>
      <c r="CL43" s="957" t="s">
        <v>74</v>
      </c>
      <c r="CM43" s="957" t="s">
        <v>74</v>
      </c>
      <c r="CN43" s="957"/>
      <c r="CO43" s="957"/>
      <c r="CP43" s="957"/>
      <c r="CQ43" s="957"/>
      <c r="CR43" s="957"/>
      <c r="CS43" s="957" t="s">
        <v>74</v>
      </c>
      <c r="CT43" s="957" t="s">
        <v>74</v>
      </c>
      <c r="CU43" s="957"/>
      <c r="CV43" s="957"/>
      <c r="CW43" s="957"/>
      <c r="CX43" s="957" t="s">
        <v>74</v>
      </c>
      <c r="CY43" s="957"/>
      <c r="CZ43" s="957"/>
      <c r="DA43" s="957" t="s">
        <v>74</v>
      </c>
      <c r="DB43" s="957"/>
      <c r="DC43" s="957" t="s">
        <v>74</v>
      </c>
      <c r="DD43" s="957" t="s">
        <v>74</v>
      </c>
      <c r="DE43" s="957"/>
      <c r="DF43" s="957" t="s">
        <v>74</v>
      </c>
      <c r="DG43" s="957"/>
      <c r="DH43" s="957" t="s">
        <v>74</v>
      </c>
      <c r="DI43" s="957" t="s">
        <v>74</v>
      </c>
      <c r="DJ43" s="957" t="s">
        <v>74</v>
      </c>
      <c r="DK43" s="957"/>
      <c r="DL43" s="957"/>
      <c r="DM43" s="957"/>
      <c r="DN43" s="957" t="s">
        <v>74</v>
      </c>
      <c r="DO43" s="957"/>
      <c r="DP43" s="957"/>
      <c r="DQ43" s="957"/>
      <c r="DR43" s="957"/>
      <c r="DS43" s="957"/>
      <c r="DT43" s="957"/>
      <c r="DU43" s="957"/>
      <c r="DV43" s="957" t="s">
        <v>74</v>
      </c>
      <c r="DW43" s="957"/>
      <c r="DX43" s="957"/>
      <c r="DY43" s="957"/>
      <c r="DZ43" s="957" t="s">
        <v>74</v>
      </c>
      <c r="EA43" s="957"/>
      <c r="EB43" s="957"/>
      <c r="EC43" s="957" t="s">
        <v>74</v>
      </c>
      <c r="ED43" s="957" t="s">
        <v>74</v>
      </c>
      <c r="EE43" s="957"/>
      <c r="EF43" s="957"/>
      <c r="EG43" s="957"/>
      <c r="EH43" s="957"/>
      <c r="EI43" s="957"/>
      <c r="EJ43" s="957"/>
      <c r="EK43" s="957"/>
      <c r="EL43" s="957"/>
      <c r="EM43" s="957"/>
      <c r="EN43" s="957"/>
      <c r="EO43" s="957" t="s">
        <v>74</v>
      </c>
      <c r="EP43" s="957"/>
      <c r="EQ43" s="957"/>
      <c r="ER43" s="957" t="s">
        <v>74</v>
      </c>
      <c r="ES43" s="957" t="s">
        <v>74</v>
      </c>
      <c r="ET43" s="957"/>
      <c r="EU43" s="957"/>
      <c r="EV43" s="957"/>
      <c r="EW43" s="957"/>
      <c r="EX43" s="957" t="s">
        <v>74</v>
      </c>
      <c r="EY43" s="957"/>
      <c r="EZ43" s="957"/>
      <c r="FA43" s="957"/>
      <c r="FB43" s="957"/>
      <c r="FC43" s="957"/>
      <c r="FD43" s="957"/>
      <c r="FE43" s="957" t="s">
        <v>74</v>
      </c>
      <c r="FF43" s="957"/>
      <c r="FG43" s="957"/>
      <c r="FH43" s="957"/>
      <c r="FI43" s="957"/>
      <c r="FJ43" s="957" t="s">
        <v>74</v>
      </c>
      <c r="FK43" s="957"/>
      <c r="FL43" s="957"/>
      <c r="FM43" s="957" t="s">
        <v>74</v>
      </c>
      <c r="FN43" s="957" t="s">
        <v>74</v>
      </c>
      <c r="FO43" s="957"/>
      <c r="FP43" s="957"/>
      <c r="FQ43" s="957"/>
      <c r="FR43" s="957" t="s">
        <v>74</v>
      </c>
      <c r="FS43" s="957"/>
      <c r="FT43" s="957" t="s">
        <v>74</v>
      </c>
      <c r="FU43" s="957"/>
      <c r="FV43" s="957"/>
      <c r="FW43" s="957"/>
      <c r="FX43" s="957" t="s">
        <v>74</v>
      </c>
      <c r="FY43" s="957" t="s">
        <v>74</v>
      </c>
      <c r="FZ43" s="957"/>
      <c r="GA43" s="957"/>
      <c r="GB43" s="957"/>
      <c r="GC43" s="957"/>
      <c r="GD43" s="957"/>
      <c r="GE43" s="957"/>
      <c r="GF43" s="957"/>
      <c r="GG43" s="957" t="s">
        <v>74</v>
      </c>
      <c r="GH43" s="957" t="s">
        <v>74</v>
      </c>
      <c r="GI43" s="957" t="s">
        <v>74</v>
      </c>
      <c r="GJ43" s="957"/>
      <c r="GK43" s="957"/>
      <c r="GL43" s="957"/>
      <c r="GM43" s="957"/>
      <c r="GN43" s="957" t="s">
        <v>74</v>
      </c>
      <c r="GO43" s="957" t="s">
        <v>74</v>
      </c>
      <c r="GP43" s="957"/>
      <c r="GQ43" s="957"/>
      <c r="GR43" s="957"/>
      <c r="GS43" s="957"/>
      <c r="GT43" s="957"/>
      <c r="GU43" s="957"/>
      <c r="GV43" s="957" t="s">
        <v>74</v>
      </c>
      <c r="GW43" s="957"/>
      <c r="GX43" s="957" t="s">
        <v>74</v>
      </c>
      <c r="GY43" s="957"/>
      <c r="GZ43" s="957"/>
      <c r="HA43" s="957"/>
      <c r="HB43" s="957"/>
      <c r="HC43" s="957"/>
      <c r="HD43" s="963" t="s">
        <v>74</v>
      </c>
      <c r="HE43" s="957"/>
      <c r="HF43" s="957" t="s">
        <v>74</v>
      </c>
      <c r="HG43" s="957"/>
      <c r="HH43" s="957"/>
      <c r="HI43" s="957"/>
      <c r="HJ43" s="957" t="s">
        <v>74</v>
      </c>
      <c r="HK43" s="957"/>
      <c r="HL43" s="957"/>
      <c r="HM43" s="957" t="s">
        <v>74</v>
      </c>
      <c r="HN43" s="963" t="s">
        <v>74</v>
      </c>
      <c r="HO43" s="957"/>
      <c r="HP43" s="957" t="s">
        <v>74</v>
      </c>
      <c r="HQ43" s="957"/>
      <c r="HR43" s="957" t="s">
        <v>74</v>
      </c>
      <c r="HS43" s="957"/>
      <c r="HT43" s="957"/>
      <c r="HU43" s="957" t="s">
        <v>74</v>
      </c>
      <c r="HV43" s="963" t="s">
        <v>74</v>
      </c>
      <c r="HW43" s="963" t="s">
        <v>74</v>
      </c>
      <c r="HX43" s="1001" t="s">
        <v>74</v>
      </c>
      <c r="HY43" s="1029"/>
      <c r="HZ43" s="953" t="s">
        <v>74</v>
      </c>
      <c r="IA43" s="1029"/>
      <c r="IB43" s="1029"/>
      <c r="IC43" s="1030"/>
      <c r="ID43" s="1030"/>
      <c r="IE43" s="939" t="s">
        <v>74</v>
      </c>
      <c r="IF43" s="939" t="s">
        <v>74</v>
      </c>
      <c r="IG43" s="1029"/>
      <c r="IH43" s="1029"/>
      <c r="II43" s="1029"/>
      <c r="IJ43" s="939" t="s">
        <v>74</v>
      </c>
      <c r="IK43" s="1029"/>
      <c r="IL43" s="1029"/>
      <c r="IM43" s="1029"/>
      <c r="IN43" s="939" t="s">
        <v>74</v>
      </c>
      <c r="IO43" s="939" t="s">
        <v>74</v>
      </c>
      <c r="IP43" s="1030"/>
      <c r="IQ43" s="1030"/>
      <c r="IR43" s="1029"/>
      <c r="IS43" s="1029"/>
      <c r="IT43" s="1029" t="s">
        <v>74</v>
      </c>
      <c r="IU43" s="1029"/>
      <c r="IV43" s="1029"/>
      <c r="IW43" s="1054"/>
      <c r="IX43" s="929" t="str">
        <f>IF(ISNUMBER(SEARCH($A43,VLOOKUP(IX$2,职业列表!$B$1:$G$370,6,0))),"★","")</f>
        <v/>
      </c>
      <c r="IY43" s="929" t="str">
        <f>IF(ISNUMBER(SEARCH($A43,VLOOKUP(IY$2,职业列表!$B$1:$G$370,6,0))),"★","")</f>
        <v>★</v>
      </c>
      <c r="IZ43" s="929" t="str">
        <f>IF(ISNUMBER(SEARCH($A43,VLOOKUP(IZ$2,职业列表!$B$1:$G$370,6,0))),"★","")</f>
        <v/>
      </c>
      <c r="JA43" s="929" t="str">
        <f>IF(ISNUMBER(SEARCH($A43,VLOOKUP(JA$2,职业列表!$B$1:$G$370,6,0))),"★","")</f>
        <v/>
      </c>
      <c r="JB43" s="929" t="str">
        <f>IF(ISNUMBER(SEARCH($A43,VLOOKUP(JB$2,职业列表!$B$1:$G$370,6,0))),"★","")</f>
        <v/>
      </c>
      <c r="JC43" s="929" t="str">
        <f>IF(ISNUMBER(SEARCH($A43,VLOOKUP(JC$2,职业列表!$B$1:$G$370,6,0))),"★","")</f>
        <v/>
      </c>
      <c r="JD43" s="929" t="str">
        <f>IF(ISNUMBER(SEARCH($A43,VLOOKUP(JD$2,职业列表!$B$1:$G$370,6,0))),"★","")</f>
        <v/>
      </c>
      <c r="JE43" s="929" t="str">
        <f>IF(ISNUMBER(SEARCH($A43,VLOOKUP(JE$2,职业列表!$B$1:$G$370,6,0))),"★","")</f>
        <v/>
      </c>
      <c r="JF43" s="929" t="str">
        <f>IF(ISNUMBER(SEARCH($A43,VLOOKUP(JF$2,职业列表!$B$1:$G$370,6,0))),"★","")</f>
        <v/>
      </c>
      <c r="JG43" s="929" t="str">
        <f>IF(ISNUMBER(SEARCH($A43,VLOOKUP(JG$2,职业列表!$B$1:$G$370,6,0))),"★","")</f>
        <v>★</v>
      </c>
      <c r="JH43" s="929" t="str">
        <f>IF(ISNUMBER(SEARCH($A43,VLOOKUP(JH$2,职业列表!$B$1:$G$370,6,0))),"★","")</f>
        <v/>
      </c>
      <c r="JI43" s="929" t="str">
        <f>IF(ISNUMBER(SEARCH($A43,VLOOKUP(JI$2,职业列表!$B$1:$G$370,6,0))),"★","")</f>
        <v/>
      </c>
      <c r="JJ43" s="929" t="str">
        <f>IF(ISNUMBER(SEARCH($A43,VLOOKUP(JJ$2,职业列表!$B$1:$G$370,6,0))),"★","")</f>
        <v/>
      </c>
      <c r="JK43" s="929" t="str">
        <f>IF(ISNUMBER(SEARCH($A43,VLOOKUP(JK$2,职业列表!$B$1:$G$370,6,0))),"★","")</f>
        <v/>
      </c>
      <c r="JL43" s="929" t="str">
        <f>IF(ISNUMBER(SEARCH($A43,VLOOKUP(JL$2,职业列表!$B$1:$G$370,6,0))),"★","")</f>
        <v/>
      </c>
      <c r="JM43" s="929" t="str">
        <f>IF(ISNUMBER(SEARCH($A43,VLOOKUP(JM$2,职业列表!$B$1:$G$370,6,0))),"★","")</f>
        <v/>
      </c>
      <c r="JN43" s="929" t="str">
        <f>IF(ISNUMBER(SEARCH($A43,VLOOKUP(JN$2,职业列表!$B$1:$G$370,6,0))),"★","")</f>
        <v/>
      </c>
      <c r="JO43" s="929" t="str">
        <f>IF(ISNUMBER(SEARCH($A43,VLOOKUP(JO$2,职业列表!$B$1:$G$370,6,0))),"★","")</f>
        <v/>
      </c>
      <c r="JP43" s="929" t="str">
        <f>IF(ISNUMBER(SEARCH($A43,VLOOKUP(JP$2,职业列表!$B$1:$G$370,6,0))),"★","")</f>
        <v/>
      </c>
      <c r="JQ43" s="929" t="str">
        <f>IF(ISNUMBER(SEARCH($A43,VLOOKUP(JQ$2,职业列表!$B$1:$G$370,6,0))),"★","")</f>
        <v>★</v>
      </c>
      <c r="JR43" s="929" t="str">
        <f>IF(ISNUMBER(SEARCH($A43,VLOOKUP(JR$2,职业列表!$B$1:$G$370,6,0))),"★","")</f>
        <v>★</v>
      </c>
      <c r="JS43" s="929" t="str">
        <f>IF(ISNUMBER(SEARCH($A43,VLOOKUP(JS$2,职业列表!$B$1:$G$370,6,0))),"★","")</f>
        <v/>
      </c>
      <c r="JT43" s="929" t="str">
        <f>IF(ISNUMBER(SEARCH($A43,VLOOKUP(JT$2,职业列表!$B$1:$G$370,6,0))),"★","")</f>
        <v/>
      </c>
      <c r="JU43" s="929" t="str">
        <f>IF(ISNUMBER(SEARCH($A43,VLOOKUP(JU$2,职业列表!$B$1:$G$370,6,0))),"★","")</f>
        <v/>
      </c>
      <c r="JV43" s="929" t="str">
        <f>IF(ISNUMBER(SEARCH($A43,VLOOKUP(JV$2,职业列表!$B$1:$G$370,6,0))),"★","")</f>
        <v/>
      </c>
      <c r="JW43" s="929" t="str">
        <f>IF(ISNUMBER(SEARCH($A43,VLOOKUP(JW$2,职业列表!$B$1:$G$370,6,0))),"★","")</f>
        <v/>
      </c>
      <c r="JX43" s="929" t="str">
        <f>IF(ISNUMBER(SEARCH($A43,VLOOKUP(JX$2,职业列表!$B$1:$G$370,6,0))),"★","")</f>
        <v/>
      </c>
      <c r="JY43" s="929" t="str">
        <f>IF(ISNUMBER(SEARCH($A43,VLOOKUP(JY$2,职业列表!$B$1:$G$370,6,0))),"★","")</f>
        <v/>
      </c>
      <c r="JZ43" s="929" t="str">
        <f>IF(ISNUMBER(SEARCH($A43,VLOOKUP(JZ$2,职业列表!$B$1:$G$370,6,0))),"★","")</f>
        <v/>
      </c>
      <c r="KA43" s="929" t="str">
        <f>IF(ISNUMBER(SEARCH($A43,VLOOKUP(KA$2,职业列表!$B$1:$G$370,6,0))),"★","")</f>
        <v/>
      </c>
      <c r="KB43" s="929" t="str">
        <f>IF(ISNUMBER(SEARCH($A43,VLOOKUP(KB$2,职业列表!$B$1:$G$370,6,0))),"★","")</f>
        <v>★</v>
      </c>
      <c r="KC43" s="929" t="str">
        <f>IF(ISNUMBER(SEARCH($A43,VLOOKUP(KC$2,职业列表!$B$1:$G$370,6,0))),"★","")</f>
        <v/>
      </c>
      <c r="KD43" s="929" t="str">
        <f>IF(ISNUMBER(SEARCH($A43,VLOOKUP(KD$2,职业列表!$B$1:$G$370,6,0))),"★","")</f>
        <v/>
      </c>
      <c r="KE43" s="929" t="str">
        <f>IF(ISNUMBER(SEARCH($A43,VLOOKUP(KE$2,职业列表!$B$1:$G$370,6,0))),"★","")</f>
        <v>★</v>
      </c>
      <c r="KF43" s="929" t="str">
        <f>IF(ISNUMBER(SEARCH($A43,VLOOKUP(KF$2,职业列表!$B$1:$G$370,6,0))),"★","")</f>
        <v/>
      </c>
      <c r="KG43" s="929" t="str">
        <f>IF(ISNUMBER(SEARCH($A43,VLOOKUP(KG$2,职业列表!$B$1:$G$370,6,0))),"★","")</f>
        <v>★</v>
      </c>
      <c r="KH43" s="929" t="str">
        <f>IF(ISNUMBER(SEARCH($A43,VLOOKUP(KH$2,职业列表!$B$1:$G$370,6,0))),"★","")</f>
        <v/>
      </c>
      <c r="KI43" s="929" t="str">
        <f>IF(ISNUMBER(SEARCH($A43,VLOOKUP(KI$2,职业列表!$B$1:$G$370,6,0))),"★","")</f>
        <v/>
      </c>
      <c r="KJ43" s="929" t="str">
        <f>IF(ISNUMBER(SEARCH($A43,VLOOKUP(KJ$2,职业列表!$B$1:$G$370,6,0))),"★","")</f>
        <v/>
      </c>
      <c r="KK43" s="929" t="str">
        <f>IF(ISNUMBER(SEARCH($A43,VLOOKUP(KK$2,职业列表!$B$1:$G$370,6,0))),"★","")</f>
        <v/>
      </c>
      <c r="KL43" s="929" t="str">
        <f>IF(ISNUMBER(SEARCH($A43,VLOOKUP(KL$2,职业列表!$B$1:$G$370,6,0))),"★","")</f>
        <v/>
      </c>
      <c r="KM43" s="929" t="str">
        <f>IF(ISNUMBER(SEARCH($A43,VLOOKUP(KM$2,职业列表!$B$1:$G$370,6,0))),"★","")</f>
        <v/>
      </c>
      <c r="KN43" s="929" t="str">
        <f>IF(ISNUMBER(SEARCH($A43,VLOOKUP(KN$2,职业列表!$B$1:$G$370,6,0))),"★","")</f>
        <v>★</v>
      </c>
      <c r="KO43" s="929" t="str">
        <f>IF(ISNUMBER(SEARCH($A43,VLOOKUP(KO$2,职业列表!$B$1:$G$370,6,0))),"★","")</f>
        <v>★</v>
      </c>
      <c r="KP43" s="929" t="str">
        <f>IF(ISNUMBER(SEARCH($A43,VLOOKUP(KP$2,职业列表!$B$1:$G$370,6,0))),"★","")</f>
        <v>★</v>
      </c>
      <c r="KQ43" s="929" t="str">
        <f>IF(ISNUMBER(SEARCH($A43,VLOOKUP(KQ$2,职业列表!$B$1:$G$370,6,0))),"★","")</f>
        <v/>
      </c>
      <c r="KR43" s="929" t="str">
        <f>IF(ISNUMBER(SEARCH($A43,VLOOKUP(KR$2,职业列表!$B$1:$G$370,6,0))),"★","")</f>
        <v/>
      </c>
      <c r="KS43" s="929" t="str">
        <f>IF(ISNUMBER(SEARCH($A43,VLOOKUP(KS$2,职业列表!$B$1:$G$370,6,0))),"★","")</f>
        <v/>
      </c>
      <c r="KT43" s="929" t="str">
        <f>IF(ISNUMBER(SEARCH($A43,VLOOKUP(KT$2,职业列表!$B$1:$G$370,6,0))),"★","")</f>
        <v/>
      </c>
      <c r="KU43" s="929" t="str">
        <f>IF(ISNUMBER(SEARCH($A43,VLOOKUP(KU$2,职业列表!$B$1:$G$370,6,0))),"★","")</f>
        <v/>
      </c>
      <c r="KV43" s="929" t="str">
        <f>IF(ISNUMBER(SEARCH($A43,VLOOKUP(KV$2,职业列表!$B$1:$G$370,6,0))),"★","")</f>
        <v/>
      </c>
      <c r="KW43" s="929" t="str">
        <f>IF(ISNUMBER(SEARCH($A43,VLOOKUP(KW$2,职业列表!$B$1:$G$370,6,0))),"★","")</f>
        <v/>
      </c>
      <c r="KX43" s="929" t="str">
        <f>IF(ISNUMBER(SEARCH($A43,VLOOKUP(KX$2,职业列表!$B$1:$G$370,6,0))),"★","")</f>
        <v/>
      </c>
      <c r="KY43" s="929" t="str">
        <f>IF(ISNUMBER(SEARCH($A43,VLOOKUP(KY$2,职业列表!$B$1:$G$370,6,0))),"★","")</f>
        <v/>
      </c>
      <c r="KZ43" s="929" t="str">
        <f>IF(ISNUMBER(SEARCH($A43,VLOOKUP(KZ$2,职业列表!$B$1:$G$370,6,0))),"★","")</f>
        <v/>
      </c>
      <c r="LA43" s="929" t="str">
        <f>IF(ISNUMBER(SEARCH($A43,VLOOKUP(LA$2,职业列表!$B$1:$G$370,6,0))),"★","")</f>
        <v/>
      </c>
      <c r="LB43" s="929" t="str">
        <f>IF(ISNUMBER(SEARCH($A43,VLOOKUP(LB$2,职业列表!$B$1:$G$370,6,0))),"★","")</f>
        <v/>
      </c>
      <c r="LC43" s="929" t="str">
        <f>IF(ISNUMBER(SEARCH($A43,VLOOKUP(LC$2,职业列表!$B$1:$G$370,6,0))),"★","")</f>
        <v/>
      </c>
      <c r="LD43" s="929" t="str">
        <f>IF(ISNUMBER(SEARCH($A43,VLOOKUP(LD$2,职业列表!$B$1:$G$370,6,0))),"★","")</f>
        <v/>
      </c>
      <c r="LE43" s="929" t="str">
        <f>IF(ISNUMBER(SEARCH($A43,VLOOKUP(LE$2,职业列表!$B$1:$G$370,6,0))),"★","")</f>
        <v>★</v>
      </c>
      <c r="LF43" s="929" t="str">
        <f>IF(ISNUMBER(SEARCH($A43,VLOOKUP(LF$2,职业列表!$B$1:$G$370,6,0))),"★","")</f>
        <v/>
      </c>
      <c r="LG43" s="929" t="str">
        <f>IF(ISNUMBER(SEARCH($A43,VLOOKUP(LG$2,职业列表!$B$1:$G$370,6,0))),"★","")</f>
        <v>★</v>
      </c>
      <c r="LH43" s="929" t="str">
        <f>IF(ISNUMBER(SEARCH($A43,VLOOKUP(LH$2,职业列表!$B$1:$G$370,6,0))),"★","")</f>
        <v>★</v>
      </c>
      <c r="LI43" s="929" t="str">
        <f>IF(ISNUMBER(SEARCH($A43,VLOOKUP(LI$2,职业列表!$B$1:$G$370,6,0))),"★","")</f>
        <v/>
      </c>
      <c r="LJ43" s="929" t="str">
        <f>IF(ISNUMBER(SEARCH($A43,VLOOKUP(LJ$2,职业列表!$B$1:$G$370,6,0))),"★","")</f>
        <v/>
      </c>
      <c r="LK43" s="929" t="str">
        <f>IF(ISNUMBER(SEARCH($A43,VLOOKUP(LK$2,职业列表!$B$1:$G$370,6,0))),"★","")</f>
        <v>★</v>
      </c>
      <c r="LL43" s="929" t="str">
        <f>IF(ISNUMBER(SEARCH($A43,VLOOKUP(LL$2,职业列表!$B$1:$G$370,6,0))),"★","")</f>
        <v/>
      </c>
      <c r="LM43" s="929" t="str">
        <f>IF(ISNUMBER(SEARCH($A43,VLOOKUP(LM$2,职业列表!$B$1:$G$370,6,0))),"★","")</f>
        <v/>
      </c>
      <c r="LN43" s="929" t="str">
        <f>IF(ISNUMBER(SEARCH($A43,VLOOKUP(LN$2,职业列表!$B$1:$G$370,6,0))),"★","")</f>
        <v/>
      </c>
      <c r="LO43" s="929" t="str">
        <f>IF(ISNUMBER(SEARCH($A43,VLOOKUP(LO$2,职业列表!$B$1:$G$370,6,0))),"★","")</f>
        <v>★</v>
      </c>
      <c r="LP43" s="929" t="str">
        <f>IF(ISNUMBER(SEARCH($A43,VLOOKUP(LP$2,职业列表!$B$1:$G$370,6,0))),"★","")</f>
        <v/>
      </c>
      <c r="LQ43" s="929" t="str">
        <f>IF(ISNUMBER(SEARCH($A43,VLOOKUP(LQ$2,职业列表!$B$1:$G$370,6,0))),"★","")</f>
        <v>★</v>
      </c>
      <c r="LR43" s="929" t="str">
        <f>IF(ISNUMBER(SEARCH($A43,VLOOKUP(LR$2,职业列表!$B$1:$G$370,6,0))),"★","")</f>
        <v>★</v>
      </c>
      <c r="LS43" s="929" t="str">
        <f>IF(ISNUMBER(SEARCH($A43,VLOOKUP(LS$2,职业列表!$B$1:$G$370,6,0))),"★","")</f>
        <v/>
      </c>
      <c r="LT43" s="929" t="str">
        <f>IF(ISNUMBER(SEARCH($A43,VLOOKUP(LT$2,职业列表!$B$1:$G$370,6,0))),"★","")</f>
        <v>★</v>
      </c>
      <c r="LU43" s="929" t="str">
        <f>IF(ISNUMBER(SEARCH($A43,VLOOKUP(LU$2,职业列表!$B$1:$G$370,6,0))),"★","")</f>
        <v/>
      </c>
      <c r="LV43" s="929" t="str">
        <f>IF(ISNUMBER(SEARCH($A43,VLOOKUP(LV$2,职业列表!$B$1:$G$370,6,0))),"★","")</f>
        <v/>
      </c>
      <c r="LW43" s="929" t="str">
        <f>IF(ISNUMBER(SEARCH($A43,VLOOKUP(LW$2,职业列表!$B$1:$G$370,6,0))),"★","")</f>
        <v/>
      </c>
      <c r="LX43" s="929" t="str">
        <f>IF(ISNUMBER(SEARCH($A43,VLOOKUP(LX$2,职业列表!$B$1:$G$370,6,0))),"★","")</f>
        <v>★</v>
      </c>
      <c r="LY43" s="929" t="str">
        <f>IF(ISNUMBER(SEARCH($A43,VLOOKUP(LY$2,职业列表!$B$1:$G$370,6,0))),"★","")</f>
        <v>★</v>
      </c>
      <c r="LZ43" s="929" t="str">
        <f>IF(ISNUMBER(SEARCH($A43,VLOOKUP(LZ$2,职业列表!$B$1:$G$370,6,0))),"★","")</f>
        <v>★</v>
      </c>
      <c r="MA43" s="929" t="str">
        <f>IF(ISNUMBER(SEARCH($A43,VLOOKUP(MA$2,职业列表!$B$1:$G$370,6,0))),"★","")</f>
        <v/>
      </c>
      <c r="MB43" s="929" t="str">
        <f>IF(ISNUMBER(SEARCH($A43,VLOOKUP(MB$2,职业列表!$B$1:$G$370,6,0))),"★","")</f>
        <v/>
      </c>
      <c r="MC43" s="929" t="str">
        <f>IF(ISNUMBER(SEARCH($A43,VLOOKUP(MC$2,职业列表!$B$1:$G$370,6,0))),"★","")</f>
        <v/>
      </c>
      <c r="MD43" s="929" t="str">
        <f>IF(ISNUMBER(SEARCH($A43,VLOOKUP(MD$2,职业列表!$B$1:$G$370,6,0))),"★","")</f>
        <v/>
      </c>
      <c r="ME43" s="929" t="str">
        <f>IF(ISNUMBER(SEARCH($A43,VLOOKUP(ME$2,职业列表!$B$1:$G$370,6,0))),"★","")</f>
        <v/>
      </c>
      <c r="MF43" s="929" t="str">
        <f>IF(ISNUMBER(SEARCH($A43,VLOOKUP(MF$2,职业列表!$B$1:$G$370,6,0))),"★","")</f>
        <v/>
      </c>
      <c r="MG43" s="929" t="str">
        <f>IF(ISNUMBER(SEARCH($A43,VLOOKUP(MG$2,职业列表!$B$1:$G$370,6,0))),"★","")</f>
        <v/>
      </c>
      <c r="MH43" s="929" t="str">
        <f>IF(ISNUMBER(SEARCH($A43,VLOOKUP(MH$2,职业列表!$B$1:$G$370,6,0))),"★","")</f>
        <v/>
      </c>
      <c r="MI43" s="929" t="str">
        <f>IF(ISNUMBER(SEARCH($A43,VLOOKUP(MI$2,职业列表!$B$1:$G$370,6,0))),"★","")</f>
        <v/>
      </c>
      <c r="MJ43" s="929" t="str">
        <f>IF(ISNUMBER(SEARCH($A43,VLOOKUP(MJ$2,职业列表!$B$1:$G$370,6,0))),"★","")</f>
        <v/>
      </c>
      <c r="MK43" s="929" t="str">
        <f>IF(ISNUMBER(SEARCH($A43,VLOOKUP(MK$2,职业列表!$B$1:$G$370,6,0))),"★","")</f>
        <v/>
      </c>
      <c r="ML43" s="929" t="str">
        <f>IF(ISNUMBER(SEARCH($A43,VLOOKUP(ML$2,职业列表!$B$1:$G$370,6,0))),"★","")</f>
        <v/>
      </c>
      <c r="MM43" s="929" t="str">
        <f>IF(ISNUMBER(SEARCH($A43,VLOOKUP(MM$2,职业列表!$B$1:$G$370,6,0))),"★","")</f>
        <v/>
      </c>
      <c r="MN43" s="929" t="str">
        <f>IF(ISNUMBER(SEARCH($A43,VLOOKUP(MN$2,职业列表!$B$1:$G$370,6,0))),"★","")</f>
        <v/>
      </c>
      <c r="MO43" s="929" t="str">
        <f>IF(ISNUMBER(SEARCH($A43,VLOOKUP(MO$2,职业列表!$B$1:$G$370,6,0))),"★","")</f>
        <v>★</v>
      </c>
      <c r="MP43" s="929" t="str">
        <f>IF(ISNUMBER(SEARCH($A43,VLOOKUP(MP$2,职业列表!$B$1:$G$370,6,0))),"★","")</f>
        <v/>
      </c>
      <c r="MQ43" s="929" t="str">
        <f>IF(ISNUMBER(SEARCH($A43,VLOOKUP(MQ$2,职业列表!$B$1:$G$370,6,0))),"★","")</f>
        <v/>
      </c>
      <c r="MR43" s="929" t="str">
        <f>IF(ISNUMBER(SEARCH($A43,VLOOKUP(MR$2,职业列表!$B$1:$G$370,6,0))),"★","")</f>
        <v/>
      </c>
      <c r="MS43" s="929" t="str">
        <f>IF(ISNUMBER(SEARCH($A43,VLOOKUP(MS$2,职业列表!$B$1:$G$370,6,0))),"★","")</f>
        <v/>
      </c>
      <c r="MT43" s="929" t="str">
        <f>IF(ISNUMBER(SEARCH($A43,VLOOKUP(MT$2,职业列表!$B$1:$G$370,6,0))),"★","")</f>
        <v>★</v>
      </c>
      <c r="MU43" s="929" t="str">
        <f>IF(ISNUMBER(SEARCH($A43,VLOOKUP(MU$2,职业列表!$B$1:$G$370,6,0))),"★","")</f>
        <v/>
      </c>
      <c r="MV43" s="929" t="str">
        <f>IF(ISNUMBER(SEARCH($A43,VLOOKUP(MV$2,职业列表!$B$1:$G$370,6,0))),"★","")</f>
        <v/>
      </c>
      <c r="MW43" s="929" t="str">
        <f>IF(ISNUMBER(SEARCH($A43,VLOOKUP(MW$2,职业列表!$B$1:$G$370,6,0))),"★","")</f>
        <v>★</v>
      </c>
      <c r="MX43" s="929" t="str">
        <f>IF(ISNUMBER(SEARCH($A43,VLOOKUP(MX$2,职业列表!$B$1:$G$370,6,0))),"★","")</f>
        <v/>
      </c>
      <c r="MY43" s="929" t="str">
        <f>IF(ISNUMBER(SEARCH($A43,VLOOKUP(MY$2,职业列表!$B$1:$G$370,6,0))),"★","")</f>
        <v/>
      </c>
      <c r="MZ43" s="929" t="str">
        <f>IF(ISNUMBER(SEARCH($A43,VLOOKUP(MZ$2,职业列表!$B$1:$G$370,6,0))),"★","")</f>
        <v/>
      </c>
      <c r="NA43" s="929" t="str">
        <f>IF(ISNUMBER(SEARCH($A43,VLOOKUP(NA$2,职业列表!$B$1:$G$370,6,0))),"★","")</f>
        <v/>
      </c>
      <c r="NB43" s="929" t="str">
        <f>IF(ISNUMBER(SEARCH($A43,VLOOKUP(NB$2,职业列表!$B$1:$G$370,6,0))),"★","")</f>
        <v>★</v>
      </c>
      <c r="NC43" s="929" t="str">
        <f>IF(ISNUMBER(SEARCH($A43,VLOOKUP(NC$2,职业列表!$B$1:$G$370,6,0))),"★","")</f>
        <v/>
      </c>
      <c r="ND43" s="929" t="str">
        <f>IF(ISNUMBER(SEARCH($A43,VLOOKUP(ND$2,职业列表!$B$1:$G$370,6,0))),"★","")</f>
        <v/>
      </c>
      <c r="NE43" s="929" t="str">
        <f>IF(ISNUMBER(SEARCH($A43,VLOOKUP(NE$2,职业列表!$B$1:$G$370,6,0))),"★","")</f>
        <v>★</v>
      </c>
    </row>
    <row r="44" customFormat="1" spans="1:369">
      <c r="A44" s="932" t="s">
        <v>69</v>
      </c>
      <c r="B44" s="939" t="str">
        <f>IF(OR(A44="说服",A44="话术",A44="取悦",A44="恐吓"),"☯",IF(ISNUMBER(SEARCH(A44,VLOOKUP(IX$2,职业列表!$B$1:$G$370,6,0))),"★",""))</f>
        <v/>
      </c>
      <c r="C44" s="939" t="str">
        <f>IF(ISTEXT(IFERROR(VLOOKUP(A44,职业列表!I3:J10,1,FALSE),0)),"★","")</f>
        <v/>
      </c>
      <c r="D44" s="939"/>
      <c r="E44" s="939"/>
      <c r="F44" s="939"/>
      <c r="G44" s="939"/>
      <c r="H44" s="939"/>
      <c r="I44" s="939"/>
      <c r="J44" s="939"/>
      <c r="K44" s="939"/>
      <c r="L44" s="939"/>
      <c r="M44" s="939"/>
      <c r="N44" s="939"/>
      <c r="O44" s="939"/>
      <c r="P44" s="939"/>
      <c r="Q44" s="939"/>
      <c r="R44" s="939"/>
      <c r="S44" s="939"/>
      <c r="T44" s="939"/>
      <c r="U44" s="939"/>
      <c r="V44" s="939"/>
      <c r="W44" s="939"/>
      <c r="X44" s="939"/>
      <c r="Y44" s="939"/>
      <c r="Z44" s="939"/>
      <c r="AA44" s="939"/>
      <c r="AB44" s="939"/>
      <c r="AC44" s="939"/>
      <c r="AD44" s="939" t="s">
        <v>74</v>
      </c>
      <c r="AE44" s="939" t="s">
        <v>74</v>
      </c>
      <c r="AF44" s="939"/>
      <c r="AG44" s="939" t="s">
        <v>74</v>
      </c>
      <c r="AH44" s="939"/>
      <c r="AI44" s="939" t="s">
        <v>2719</v>
      </c>
      <c r="AJ44" s="939"/>
      <c r="AK44" s="939"/>
      <c r="AL44" s="939"/>
      <c r="AM44" s="939"/>
      <c r="AN44" s="939"/>
      <c r="AO44" s="939"/>
      <c r="AP44" s="939"/>
      <c r="AQ44" s="939"/>
      <c r="AR44" s="939"/>
      <c r="AS44" s="939"/>
      <c r="AT44" s="939"/>
      <c r="AU44" s="939"/>
      <c r="AV44" s="939"/>
      <c r="AW44" s="939"/>
      <c r="AX44" s="939"/>
      <c r="AY44" s="939"/>
      <c r="AZ44" s="939"/>
      <c r="BA44" s="939"/>
      <c r="BB44" s="939"/>
      <c r="BC44" s="939"/>
      <c r="BD44" s="939"/>
      <c r="BE44" s="939"/>
      <c r="BF44" s="939"/>
      <c r="BG44" s="939"/>
      <c r="BH44" s="939"/>
      <c r="BI44" s="939"/>
      <c r="BJ44" s="939"/>
      <c r="BK44" s="939"/>
      <c r="BL44" s="939"/>
      <c r="BM44" s="939" t="s">
        <v>2716</v>
      </c>
      <c r="BN44" s="939"/>
      <c r="BO44" s="939"/>
      <c r="BP44" s="939"/>
      <c r="BQ44" s="939"/>
      <c r="BR44" s="939"/>
      <c r="BS44" s="939"/>
      <c r="BT44" s="939"/>
      <c r="BU44" s="939"/>
      <c r="BV44" s="939"/>
      <c r="BW44" s="939"/>
      <c r="BX44" s="939"/>
      <c r="BY44" s="939"/>
      <c r="BZ44" s="939"/>
      <c r="CA44" s="939"/>
      <c r="CB44" s="939"/>
      <c r="CC44" s="939"/>
      <c r="CD44" s="939"/>
      <c r="CE44" s="939"/>
      <c r="CF44" s="939"/>
      <c r="CG44" s="939"/>
      <c r="CH44" s="939"/>
      <c r="CI44" s="939"/>
      <c r="CJ44" s="939"/>
      <c r="CK44" s="939"/>
      <c r="CL44" s="939"/>
      <c r="CM44" s="939"/>
      <c r="CN44" s="939"/>
      <c r="CO44" s="939"/>
      <c r="CP44" s="939"/>
      <c r="CQ44" s="939"/>
      <c r="CR44" s="939"/>
      <c r="CS44" s="939"/>
      <c r="CT44" s="939"/>
      <c r="CU44" s="939"/>
      <c r="CV44" s="939"/>
      <c r="CW44" s="939"/>
      <c r="CX44" s="939"/>
      <c r="CY44" s="939"/>
      <c r="CZ44" s="939"/>
      <c r="DA44" s="939"/>
      <c r="DB44" s="939"/>
      <c r="DC44" s="939"/>
      <c r="DD44" s="939"/>
      <c r="DE44" s="939"/>
      <c r="DF44" s="939"/>
      <c r="DG44" s="939"/>
      <c r="DH44" s="939"/>
      <c r="DI44" s="939"/>
      <c r="DJ44" s="939"/>
      <c r="DK44" s="939"/>
      <c r="DL44" s="939"/>
      <c r="DM44" s="939"/>
      <c r="DN44" s="939"/>
      <c r="DO44" s="939"/>
      <c r="DP44" s="939"/>
      <c r="DQ44" s="939"/>
      <c r="DR44" s="939"/>
      <c r="DS44" s="939"/>
      <c r="DT44" s="939"/>
      <c r="DU44" s="939"/>
      <c r="DV44" s="939"/>
      <c r="DW44" s="939"/>
      <c r="DX44" s="939"/>
      <c r="DY44" s="939"/>
      <c r="DZ44" s="939"/>
      <c r="EA44" s="939"/>
      <c r="EB44" s="939"/>
      <c r="EC44" s="939"/>
      <c r="ED44" s="939"/>
      <c r="EE44" s="939"/>
      <c r="EF44" s="939"/>
      <c r="EG44" s="939"/>
      <c r="EH44" s="939"/>
      <c r="EI44" s="939"/>
      <c r="EJ44" s="939"/>
      <c r="EK44" s="939"/>
      <c r="EL44" s="939"/>
      <c r="EM44" s="939"/>
      <c r="EN44" s="939"/>
      <c r="EO44" s="939"/>
      <c r="EP44" s="939"/>
      <c r="EQ44" s="939"/>
      <c r="ER44" s="939"/>
      <c r="ES44" s="939"/>
      <c r="ET44" s="939"/>
      <c r="EU44" s="939"/>
      <c r="EV44" s="939"/>
      <c r="EW44" s="939"/>
      <c r="EX44" s="939"/>
      <c r="EY44" s="939"/>
      <c r="EZ44" s="939"/>
      <c r="FA44" s="939"/>
      <c r="FB44" s="939"/>
      <c r="FC44" s="939"/>
      <c r="FD44" s="939"/>
      <c r="FE44" s="939"/>
      <c r="FF44" s="939"/>
      <c r="FG44" s="939"/>
      <c r="FH44" s="939"/>
      <c r="FI44" s="939"/>
      <c r="FJ44" s="939"/>
      <c r="FK44" s="939"/>
      <c r="FL44" s="939"/>
      <c r="FM44" s="939"/>
      <c r="FN44" s="939"/>
      <c r="FO44" s="939"/>
      <c r="FP44" s="939"/>
      <c r="FQ44" s="939"/>
      <c r="FR44" s="939"/>
      <c r="FS44" s="939"/>
      <c r="FT44" s="939"/>
      <c r="FU44" s="939" t="s">
        <v>74</v>
      </c>
      <c r="FV44" s="939"/>
      <c r="FW44" s="939"/>
      <c r="FX44" s="939"/>
      <c r="FY44" s="939"/>
      <c r="FZ44" s="939"/>
      <c r="GA44" s="939"/>
      <c r="GB44" s="939"/>
      <c r="GC44" s="939"/>
      <c r="GD44" s="939"/>
      <c r="GE44" s="939"/>
      <c r="GF44" s="939"/>
      <c r="GG44" s="939"/>
      <c r="GH44" s="939"/>
      <c r="GI44" s="939"/>
      <c r="GJ44" s="939"/>
      <c r="GK44" s="939"/>
      <c r="GL44" s="939"/>
      <c r="GM44" s="939"/>
      <c r="GN44" s="939"/>
      <c r="GO44" s="939"/>
      <c r="GP44" s="939"/>
      <c r="GQ44" s="939"/>
      <c r="GR44" s="939"/>
      <c r="GS44" s="939"/>
      <c r="GT44" s="939"/>
      <c r="GU44" s="939"/>
      <c r="GV44" s="939"/>
      <c r="GW44" s="939"/>
      <c r="GX44" s="939"/>
      <c r="GY44" s="939" t="s">
        <v>2716</v>
      </c>
      <c r="GZ44" s="939"/>
      <c r="HA44" s="939"/>
      <c r="HB44" s="939"/>
      <c r="HC44" s="939"/>
      <c r="HD44" s="939"/>
      <c r="HE44" s="939"/>
      <c r="HF44" s="939"/>
      <c r="HG44" s="939"/>
      <c r="HH44" s="939" t="s">
        <v>74</v>
      </c>
      <c r="HI44" s="939"/>
      <c r="HJ44" s="939"/>
      <c r="HK44" s="939"/>
      <c r="HL44" s="939"/>
      <c r="HM44" s="940" t="s">
        <v>74</v>
      </c>
      <c r="HN44" s="939"/>
      <c r="HO44" s="939"/>
      <c r="HP44" s="939"/>
      <c r="HQ44" s="939"/>
      <c r="HR44" s="939"/>
      <c r="HS44" s="939"/>
      <c r="HT44" s="939"/>
      <c r="HU44" s="939"/>
      <c r="HV44" s="939"/>
      <c r="HW44" s="939"/>
      <c r="HX44" s="990" t="s">
        <v>74</v>
      </c>
      <c r="HY44" s="1012"/>
      <c r="HZ44" s="1012"/>
      <c r="IA44" s="1012"/>
      <c r="IB44" s="1012"/>
      <c r="IC44" s="1013"/>
      <c r="ID44" s="1013"/>
      <c r="IE44" s="1012"/>
      <c r="IF44" s="1012"/>
      <c r="IG44" s="1012"/>
      <c r="IH44" s="1012"/>
      <c r="II44" s="1012"/>
      <c r="IJ44" s="1012"/>
      <c r="IK44" s="1012"/>
      <c r="IL44" s="1012"/>
      <c r="IM44" s="1012"/>
      <c r="IN44" s="1012"/>
      <c r="IO44" s="1012"/>
      <c r="IP44" s="1013"/>
      <c r="IQ44" s="1013"/>
      <c r="IR44" s="1012"/>
      <c r="IS44" s="1012"/>
      <c r="IT44" s="1012"/>
      <c r="IU44" s="1012"/>
      <c r="IV44" s="1012"/>
      <c r="IW44" s="929"/>
      <c r="IX44" s="929" t="str">
        <f>IF(ISNUMBER(SEARCH($A44,VLOOKUP(IX$2,职业列表!$B$1:$G$370,6,0))),"★","")</f>
        <v/>
      </c>
      <c r="IY44" s="929" t="str">
        <f>IF(ISNUMBER(SEARCH($A44,VLOOKUP(IY$2,职业列表!$B$1:$G$370,6,0))),"★","")</f>
        <v/>
      </c>
      <c r="IZ44" s="929" t="str">
        <f>IF(ISNUMBER(SEARCH($A44,VLOOKUP(IZ$2,职业列表!$B$1:$G$370,6,0))),"★","")</f>
        <v/>
      </c>
      <c r="JA44" s="929" t="str">
        <f>IF(ISNUMBER(SEARCH($A44,VLOOKUP(JA$2,职业列表!$B$1:$G$370,6,0))),"★","")</f>
        <v/>
      </c>
      <c r="JB44" s="929" t="str">
        <f>IF(ISNUMBER(SEARCH($A44,VLOOKUP(JB$2,职业列表!$B$1:$G$370,6,0))),"★","")</f>
        <v/>
      </c>
      <c r="JC44" s="929" t="str">
        <f>IF(ISNUMBER(SEARCH($A44,VLOOKUP(JC$2,职业列表!$B$1:$G$370,6,0))),"★","")</f>
        <v/>
      </c>
      <c r="JD44" s="929" t="str">
        <f>IF(ISNUMBER(SEARCH($A44,VLOOKUP(JD$2,职业列表!$B$1:$G$370,6,0))),"★","")</f>
        <v/>
      </c>
      <c r="JE44" s="929" t="str">
        <f>IF(ISNUMBER(SEARCH($A44,VLOOKUP(JE$2,职业列表!$B$1:$G$370,6,0))),"★","")</f>
        <v/>
      </c>
      <c r="JF44" s="929" t="str">
        <f>IF(ISNUMBER(SEARCH($A44,VLOOKUP(JF$2,职业列表!$B$1:$G$370,6,0))),"★","")</f>
        <v/>
      </c>
      <c r="JG44" s="929" t="str">
        <f>IF(ISNUMBER(SEARCH($A44,VLOOKUP(JG$2,职业列表!$B$1:$G$370,6,0))),"★","")</f>
        <v/>
      </c>
      <c r="JH44" s="929" t="str">
        <f>IF(ISNUMBER(SEARCH($A44,VLOOKUP(JH$2,职业列表!$B$1:$G$370,6,0))),"★","")</f>
        <v/>
      </c>
      <c r="JI44" s="929" t="str">
        <f>IF(ISNUMBER(SEARCH($A44,VLOOKUP(JI$2,职业列表!$B$1:$G$370,6,0))),"★","")</f>
        <v/>
      </c>
      <c r="JJ44" s="929" t="str">
        <f>IF(ISNUMBER(SEARCH($A44,VLOOKUP(JJ$2,职业列表!$B$1:$G$370,6,0))),"★","")</f>
        <v/>
      </c>
      <c r="JK44" s="929" t="str">
        <f>IF(ISNUMBER(SEARCH($A44,VLOOKUP(JK$2,职业列表!$B$1:$G$370,6,0))),"★","")</f>
        <v/>
      </c>
      <c r="JL44" s="929" t="str">
        <f>IF(ISNUMBER(SEARCH($A44,VLOOKUP(JL$2,职业列表!$B$1:$G$370,6,0))),"★","")</f>
        <v/>
      </c>
      <c r="JM44" s="929" t="str">
        <f>IF(ISNUMBER(SEARCH($A44,VLOOKUP(JM$2,职业列表!$B$1:$G$370,6,0))),"★","")</f>
        <v/>
      </c>
      <c r="JN44" s="929" t="str">
        <f>IF(ISNUMBER(SEARCH($A44,VLOOKUP(JN$2,职业列表!$B$1:$G$370,6,0))),"★","")</f>
        <v/>
      </c>
      <c r="JO44" s="929" t="str">
        <f>IF(ISNUMBER(SEARCH($A44,VLOOKUP(JO$2,职业列表!$B$1:$G$370,6,0))),"★","")</f>
        <v/>
      </c>
      <c r="JP44" s="929" t="str">
        <f>IF(ISNUMBER(SEARCH($A44,VLOOKUP(JP$2,职业列表!$B$1:$G$370,6,0))),"★","")</f>
        <v/>
      </c>
      <c r="JQ44" s="929" t="str">
        <f>IF(ISNUMBER(SEARCH($A44,VLOOKUP(JQ$2,职业列表!$B$1:$G$370,6,0))),"★","")</f>
        <v/>
      </c>
      <c r="JR44" s="929" t="str">
        <f>IF(ISNUMBER(SEARCH($A44,VLOOKUP(JR$2,职业列表!$B$1:$G$370,6,0))),"★","")</f>
        <v/>
      </c>
      <c r="JS44" s="929" t="str">
        <f>IF(ISNUMBER(SEARCH($A44,VLOOKUP(JS$2,职业列表!$B$1:$G$370,6,0))),"★","")</f>
        <v/>
      </c>
      <c r="JT44" s="929" t="str">
        <f>IF(ISNUMBER(SEARCH($A44,VLOOKUP(JT$2,职业列表!$B$1:$G$370,6,0))),"★","")</f>
        <v/>
      </c>
      <c r="JU44" s="929" t="str">
        <f>IF(ISNUMBER(SEARCH($A44,VLOOKUP(JU$2,职业列表!$B$1:$G$370,6,0))),"★","")</f>
        <v/>
      </c>
      <c r="JV44" s="929" t="str">
        <f>IF(ISNUMBER(SEARCH($A44,VLOOKUP(JV$2,职业列表!$B$1:$G$370,6,0))),"★","")</f>
        <v/>
      </c>
      <c r="JW44" s="929" t="str">
        <f>IF(ISNUMBER(SEARCH($A44,VLOOKUP(JW$2,职业列表!$B$1:$G$370,6,0))),"★","")</f>
        <v/>
      </c>
      <c r="JX44" s="929" t="str">
        <f>IF(ISNUMBER(SEARCH($A44,VLOOKUP(JX$2,职业列表!$B$1:$G$370,6,0))),"★","")</f>
        <v/>
      </c>
      <c r="JY44" s="929" t="str">
        <f>IF(ISNUMBER(SEARCH($A44,VLOOKUP(JY$2,职业列表!$B$1:$G$370,6,0))),"★","")</f>
        <v/>
      </c>
      <c r="JZ44" s="929" t="str">
        <f>IF(ISNUMBER(SEARCH($A44,VLOOKUP(JZ$2,职业列表!$B$1:$G$370,6,0))),"★","")</f>
        <v/>
      </c>
      <c r="KA44" s="929" t="str">
        <f>IF(ISNUMBER(SEARCH($A44,VLOOKUP(KA$2,职业列表!$B$1:$G$370,6,0))),"★","")</f>
        <v/>
      </c>
      <c r="KB44" s="929" t="str">
        <f>IF(ISNUMBER(SEARCH($A44,VLOOKUP(KB$2,职业列表!$B$1:$G$370,6,0))),"★","")</f>
        <v/>
      </c>
      <c r="KC44" s="929" t="str">
        <f>IF(ISNUMBER(SEARCH($A44,VLOOKUP(KC$2,职业列表!$B$1:$G$370,6,0))),"★","")</f>
        <v/>
      </c>
      <c r="KD44" s="929" t="str">
        <f>IF(ISNUMBER(SEARCH($A44,VLOOKUP(KD$2,职业列表!$B$1:$G$370,6,0))),"★","")</f>
        <v/>
      </c>
      <c r="KE44" s="929" t="str">
        <f>IF(ISNUMBER(SEARCH($A44,VLOOKUP(KE$2,职业列表!$B$1:$G$370,6,0))),"★","")</f>
        <v/>
      </c>
      <c r="KF44" s="929" t="str">
        <f>IF(ISNUMBER(SEARCH($A44,VLOOKUP(KF$2,职业列表!$B$1:$G$370,6,0))),"★","")</f>
        <v/>
      </c>
      <c r="KG44" s="929" t="str">
        <f>IF(ISNUMBER(SEARCH($A44,VLOOKUP(KG$2,职业列表!$B$1:$G$370,6,0))),"★","")</f>
        <v/>
      </c>
      <c r="KH44" s="929" t="str">
        <f>IF(ISNUMBER(SEARCH($A44,VLOOKUP(KH$2,职业列表!$B$1:$G$370,6,0))),"★","")</f>
        <v/>
      </c>
      <c r="KI44" s="929" t="str">
        <f>IF(ISNUMBER(SEARCH($A44,VLOOKUP(KI$2,职业列表!$B$1:$G$370,6,0))),"★","")</f>
        <v/>
      </c>
      <c r="KJ44" s="929" t="str">
        <f>IF(ISNUMBER(SEARCH($A44,VLOOKUP(KJ$2,职业列表!$B$1:$G$370,6,0))),"★","")</f>
        <v/>
      </c>
      <c r="KK44" s="929" t="str">
        <f>IF(ISNUMBER(SEARCH($A44,VLOOKUP(KK$2,职业列表!$B$1:$G$370,6,0))),"★","")</f>
        <v/>
      </c>
      <c r="KL44" s="929" t="str">
        <f>IF(ISNUMBER(SEARCH($A44,VLOOKUP(KL$2,职业列表!$B$1:$G$370,6,0))),"★","")</f>
        <v/>
      </c>
      <c r="KM44" s="929" t="str">
        <f>IF(ISNUMBER(SEARCH($A44,VLOOKUP(KM$2,职业列表!$B$1:$G$370,6,0))),"★","")</f>
        <v/>
      </c>
      <c r="KN44" s="929" t="str">
        <f>IF(ISNUMBER(SEARCH($A44,VLOOKUP(KN$2,职业列表!$B$1:$G$370,6,0))),"★","")</f>
        <v/>
      </c>
      <c r="KO44" s="929" t="str">
        <f>IF(ISNUMBER(SEARCH($A44,VLOOKUP(KO$2,职业列表!$B$1:$G$370,6,0))),"★","")</f>
        <v/>
      </c>
      <c r="KP44" s="929" t="str">
        <f>IF(ISNUMBER(SEARCH($A44,VLOOKUP(KP$2,职业列表!$B$1:$G$370,6,0))),"★","")</f>
        <v/>
      </c>
      <c r="KQ44" s="929" t="str">
        <f>IF(ISNUMBER(SEARCH($A44,VLOOKUP(KQ$2,职业列表!$B$1:$G$370,6,0))),"★","")</f>
        <v/>
      </c>
      <c r="KR44" s="929" t="str">
        <f>IF(ISNUMBER(SEARCH($A44,VLOOKUP(KR$2,职业列表!$B$1:$G$370,6,0))),"★","")</f>
        <v/>
      </c>
      <c r="KS44" s="929" t="str">
        <f>IF(ISNUMBER(SEARCH($A44,VLOOKUP(KS$2,职业列表!$B$1:$G$370,6,0))),"★","")</f>
        <v/>
      </c>
      <c r="KT44" s="929" t="str">
        <f>IF(ISNUMBER(SEARCH($A44,VLOOKUP(KT$2,职业列表!$B$1:$G$370,6,0))),"★","")</f>
        <v/>
      </c>
      <c r="KU44" s="929" t="str">
        <f>IF(ISNUMBER(SEARCH($A44,VLOOKUP(KU$2,职业列表!$B$1:$G$370,6,0))),"★","")</f>
        <v/>
      </c>
      <c r="KV44" s="929" t="str">
        <f>IF(ISNUMBER(SEARCH($A44,VLOOKUP(KV$2,职业列表!$B$1:$G$370,6,0))),"★","")</f>
        <v/>
      </c>
      <c r="KW44" s="929" t="str">
        <f>IF(ISNUMBER(SEARCH($A44,VLOOKUP(KW$2,职业列表!$B$1:$G$370,6,0))),"★","")</f>
        <v/>
      </c>
      <c r="KX44" s="929" t="str">
        <f>IF(ISNUMBER(SEARCH($A44,VLOOKUP(KX$2,职业列表!$B$1:$G$370,6,0))),"★","")</f>
        <v/>
      </c>
      <c r="KY44" s="929" t="str">
        <f>IF(ISNUMBER(SEARCH($A44,VLOOKUP(KY$2,职业列表!$B$1:$G$370,6,0))),"★","")</f>
        <v/>
      </c>
      <c r="KZ44" s="929" t="str">
        <f>IF(ISNUMBER(SEARCH($A44,VLOOKUP(KZ$2,职业列表!$B$1:$G$370,6,0))),"★","")</f>
        <v/>
      </c>
      <c r="LA44" s="929" t="str">
        <f>IF(ISNUMBER(SEARCH($A44,VLOOKUP(LA$2,职业列表!$B$1:$G$370,6,0))),"★","")</f>
        <v/>
      </c>
      <c r="LB44" s="929" t="str">
        <f>IF(ISNUMBER(SEARCH($A44,VLOOKUP(LB$2,职业列表!$B$1:$G$370,6,0))),"★","")</f>
        <v/>
      </c>
      <c r="LC44" s="929" t="str">
        <f>IF(ISNUMBER(SEARCH($A44,VLOOKUP(LC$2,职业列表!$B$1:$G$370,6,0))),"★","")</f>
        <v/>
      </c>
      <c r="LD44" s="929" t="str">
        <f>IF(ISNUMBER(SEARCH($A44,VLOOKUP(LD$2,职业列表!$B$1:$G$370,6,0))),"★","")</f>
        <v/>
      </c>
      <c r="LE44" s="929" t="str">
        <f>IF(ISNUMBER(SEARCH($A44,VLOOKUP(LE$2,职业列表!$B$1:$G$370,6,0))),"★","")</f>
        <v/>
      </c>
      <c r="LF44" s="929" t="str">
        <f>IF(ISNUMBER(SEARCH($A44,VLOOKUP(LF$2,职业列表!$B$1:$G$370,6,0))),"★","")</f>
        <v/>
      </c>
      <c r="LG44" s="929" t="str">
        <f>IF(ISNUMBER(SEARCH($A44,VLOOKUP(LG$2,职业列表!$B$1:$G$370,6,0))),"★","")</f>
        <v/>
      </c>
      <c r="LH44" s="929" t="str">
        <f>IF(ISNUMBER(SEARCH($A44,VLOOKUP(LH$2,职业列表!$B$1:$G$370,6,0))),"★","")</f>
        <v/>
      </c>
      <c r="LI44" s="929" t="str">
        <f>IF(ISNUMBER(SEARCH($A44,VLOOKUP(LI$2,职业列表!$B$1:$G$370,6,0))),"★","")</f>
        <v/>
      </c>
      <c r="LJ44" s="929" t="str">
        <f>IF(ISNUMBER(SEARCH($A44,VLOOKUP(LJ$2,职业列表!$B$1:$G$370,6,0))),"★","")</f>
        <v/>
      </c>
      <c r="LK44" s="929" t="str">
        <f>IF(ISNUMBER(SEARCH($A44,VLOOKUP(LK$2,职业列表!$B$1:$G$370,6,0))),"★","")</f>
        <v/>
      </c>
      <c r="LL44" s="929" t="str">
        <f>IF(ISNUMBER(SEARCH($A44,VLOOKUP(LL$2,职业列表!$B$1:$G$370,6,0))),"★","")</f>
        <v/>
      </c>
      <c r="LM44" s="929" t="str">
        <f>IF(ISNUMBER(SEARCH($A44,VLOOKUP(LM$2,职业列表!$B$1:$G$370,6,0))),"★","")</f>
        <v/>
      </c>
      <c r="LN44" s="929" t="str">
        <f>IF(ISNUMBER(SEARCH($A44,VLOOKUP(LN$2,职业列表!$B$1:$G$370,6,0))),"★","")</f>
        <v/>
      </c>
      <c r="LO44" s="929" t="str">
        <f>IF(ISNUMBER(SEARCH($A44,VLOOKUP(LO$2,职业列表!$B$1:$G$370,6,0))),"★","")</f>
        <v/>
      </c>
      <c r="LP44" s="929" t="str">
        <f>IF(ISNUMBER(SEARCH($A44,VLOOKUP(LP$2,职业列表!$B$1:$G$370,6,0))),"★","")</f>
        <v/>
      </c>
      <c r="LQ44" s="929" t="str">
        <f>IF(ISNUMBER(SEARCH($A44,VLOOKUP(LQ$2,职业列表!$B$1:$G$370,6,0))),"★","")</f>
        <v/>
      </c>
      <c r="LR44" s="929" t="str">
        <f>IF(ISNUMBER(SEARCH($A44,VLOOKUP(LR$2,职业列表!$B$1:$G$370,6,0))),"★","")</f>
        <v/>
      </c>
      <c r="LS44" s="929" t="str">
        <f>IF(ISNUMBER(SEARCH($A44,VLOOKUP(LS$2,职业列表!$B$1:$G$370,6,0))),"★","")</f>
        <v/>
      </c>
      <c r="LT44" s="929" t="str">
        <f>IF(ISNUMBER(SEARCH($A44,VLOOKUP(LT$2,职业列表!$B$1:$G$370,6,0))),"★","")</f>
        <v/>
      </c>
      <c r="LU44" s="929" t="str">
        <f>IF(ISNUMBER(SEARCH($A44,VLOOKUP(LU$2,职业列表!$B$1:$G$370,6,0))),"★","")</f>
        <v/>
      </c>
      <c r="LV44" s="929" t="str">
        <f>IF(ISNUMBER(SEARCH($A44,VLOOKUP(LV$2,职业列表!$B$1:$G$370,6,0))),"★","")</f>
        <v/>
      </c>
      <c r="LW44" s="929" t="str">
        <f>IF(ISNUMBER(SEARCH($A44,VLOOKUP(LW$2,职业列表!$B$1:$G$370,6,0))),"★","")</f>
        <v/>
      </c>
      <c r="LX44" s="929" t="str">
        <f>IF(ISNUMBER(SEARCH($A44,VLOOKUP(LX$2,职业列表!$B$1:$G$370,6,0))),"★","")</f>
        <v/>
      </c>
      <c r="LY44" s="929" t="str">
        <f>IF(ISNUMBER(SEARCH($A44,VLOOKUP(LY$2,职业列表!$B$1:$G$370,6,0))),"★","")</f>
        <v/>
      </c>
      <c r="LZ44" s="929" t="str">
        <f>IF(ISNUMBER(SEARCH($A44,VLOOKUP(LZ$2,职业列表!$B$1:$G$370,6,0))),"★","")</f>
        <v/>
      </c>
      <c r="MA44" s="929" t="str">
        <f>IF(ISNUMBER(SEARCH($A44,VLOOKUP(MA$2,职业列表!$B$1:$G$370,6,0))),"★","")</f>
        <v/>
      </c>
      <c r="MB44" s="929" t="str">
        <f>IF(ISNUMBER(SEARCH($A44,VLOOKUP(MB$2,职业列表!$B$1:$G$370,6,0))),"★","")</f>
        <v/>
      </c>
      <c r="MC44" s="929" t="str">
        <f>IF(ISNUMBER(SEARCH($A44,VLOOKUP(MC$2,职业列表!$B$1:$G$370,6,0))),"★","")</f>
        <v/>
      </c>
      <c r="MD44" s="929" t="str">
        <f>IF(ISNUMBER(SEARCH($A44,VLOOKUP(MD$2,职业列表!$B$1:$G$370,6,0))),"★","")</f>
        <v/>
      </c>
      <c r="ME44" s="929" t="str">
        <f>IF(ISNUMBER(SEARCH($A44,VLOOKUP(ME$2,职业列表!$B$1:$G$370,6,0))),"★","")</f>
        <v/>
      </c>
      <c r="MF44" s="929" t="str">
        <f>IF(ISNUMBER(SEARCH($A44,VLOOKUP(MF$2,职业列表!$B$1:$G$370,6,0))),"★","")</f>
        <v/>
      </c>
      <c r="MG44" s="929" t="str">
        <f>IF(ISNUMBER(SEARCH($A44,VLOOKUP(MG$2,职业列表!$B$1:$G$370,6,0))),"★","")</f>
        <v/>
      </c>
      <c r="MH44" s="929" t="str">
        <f>IF(ISNUMBER(SEARCH($A44,VLOOKUP(MH$2,职业列表!$B$1:$G$370,6,0))),"★","")</f>
        <v/>
      </c>
      <c r="MI44" s="929" t="str">
        <f>IF(ISNUMBER(SEARCH($A44,VLOOKUP(MI$2,职业列表!$B$1:$G$370,6,0))),"★","")</f>
        <v/>
      </c>
      <c r="MJ44" s="929" t="str">
        <f>IF(ISNUMBER(SEARCH($A44,VLOOKUP(MJ$2,职业列表!$B$1:$G$370,6,0))),"★","")</f>
        <v/>
      </c>
      <c r="MK44" s="929" t="str">
        <f>IF(ISNUMBER(SEARCH($A44,VLOOKUP(MK$2,职业列表!$B$1:$G$370,6,0))),"★","")</f>
        <v/>
      </c>
      <c r="ML44" s="929" t="str">
        <f>IF(ISNUMBER(SEARCH($A44,VLOOKUP(ML$2,职业列表!$B$1:$G$370,6,0))),"★","")</f>
        <v/>
      </c>
      <c r="MM44" s="929" t="str">
        <f>IF(ISNUMBER(SEARCH($A44,VLOOKUP(MM$2,职业列表!$B$1:$G$370,6,0))),"★","")</f>
        <v/>
      </c>
      <c r="MN44" s="929" t="str">
        <f>IF(ISNUMBER(SEARCH($A44,VLOOKUP(MN$2,职业列表!$B$1:$G$370,6,0))),"★","")</f>
        <v/>
      </c>
      <c r="MO44" s="929" t="str">
        <f>IF(ISNUMBER(SEARCH($A44,VLOOKUP(MO$2,职业列表!$B$1:$G$370,6,0))),"★","")</f>
        <v/>
      </c>
      <c r="MP44" s="929" t="str">
        <f>IF(ISNUMBER(SEARCH($A44,VLOOKUP(MP$2,职业列表!$B$1:$G$370,6,0))),"★","")</f>
        <v/>
      </c>
      <c r="MQ44" s="929" t="str">
        <f>IF(ISNUMBER(SEARCH($A44,VLOOKUP(MQ$2,职业列表!$B$1:$G$370,6,0))),"★","")</f>
        <v/>
      </c>
      <c r="MR44" s="929" t="str">
        <f>IF(ISNUMBER(SEARCH($A44,VLOOKUP(MR$2,职业列表!$B$1:$G$370,6,0))),"★","")</f>
        <v/>
      </c>
      <c r="MS44" s="929" t="str">
        <f>IF(ISNUMBER(SEARCH($A44,VLOOKUP(MS$2,职业列表!$B$1:$G$370,6,0))),"★","")</f>
        <v/>
      </c>
      <c r="MT44" s="929" t="str">
        <f>IF(ISNUMBER(SEARCH($A44,VLOOKUP(MT$2,职业列表!$B$1:$G$370,6,0))),"★","")</f>
        <v/>
      </c>
      <c r="MU44" s="929" t="str">
        <f>IF(ISNUMBER(SEARCH($A44,VLOOKUP(MU$2,职业列表!$B$1:$G$370,6,0))),"★","")</f>
        <v/>
      </c>
      <c r="MV44" s="929" t="str">
        <f>IF(ISNUMBER(SEARCH($A44,VLOOKUP(MV$2,职业列表!$B$1:$G$370,6,0))),"★","")</f>
        <v/>
      </c>
      <c r="MW44" s="929" t="str">
        <f>IF(ISNUMBER(SEARCH($A44,VLOOKUP(MW$2,职业列表!$B$1:$G$370,6,0))),"★","")</f>
        <v/>
      </c>
      <c r="MX44" s="929" t="str">
        <f>IF(ISNUMBER(SEARCH($A44,VLOOKUP(MX$2,职业列表!$B$1:$G$370,6,0))),"★","")</f>
        <v/>
      </c>
      <c r="MY44" s="929" t="str">
        <f>IF(ISNUMBER(SEARCH($A44,VLOOKUP(MY$2,职业列表!$B$1:$G$370,6,0))),"★","")</f>
        <v/>
      </c>
      <c r="MZ44" s="929" t="str">
        <f>IF(ISNUMBER(SEARCH($A44,VLOOKUP(MZ$2,职业列表!$B$1:$G$370,6,0))),"★","")</f>
        <v/>
      </c>
      <c r="NA44" s="929" t="str">
        <f>IF(ISNUMBER(SEARCH($A44,VLOOKUP(NA$2,职业列表!$B$1:$G$370,6,0))),"★","")</f>
        <v/>
      </c>
      <c r="NB44" s="929" t="str">
        <f>IF(ISNUMBER(SEARCH($A44,VLOOKUP(NB$2,职业列表!$B$1:$G$370,6,0))),"★","")</f>
        <v/>
      </c>
      <c r="NC44" s="929" t="str">
        <f>IF(ISNUMBER(SEARCH($A44,VLOOKUP(NC$2,职业列表!$B$1:$G$370,6,0))),"★","")</f>
        <v/>
      </c>
      <c r="ND44" s="929" t="str">
        <f>IF(ISNUMBER(SEARCH($A44,VLOOKUP(ND$2,职业列表!$B$1:$G$370,6,0))),"★","")</f>
        <v/>
      </c>
      <c r="NE44" s="929" t="str">
        <f>IF(ISNUMBER(SEARCH($A44,VLOOKUP(NE$2,职业列表!$B$1:$G$370,6,0))),"★","")</f>
        <v/>
      </c>
    </row>
    <row r="45" customFormat="1" spans="1:369">
      <c r="A45" s="932" t="s">
        <v>71</v>
      </c>
      <c r="B45" s="939" t="str">
        <f>IF(OR(A45="说服",A45="话术",A45="取悦",A45="恐吓"),"☯",IF(ISNUMBER(SEARCH(A45,VLOOKUP(IX$2,职业列表!$B$1:$G$370,6,0))),"★",""))</f>
        <v/>
      </c>
      <c r="C45" s="939" t="str">
        <f>IF(ISTEXT(IFERROR(VLOOKUP(A45,职业列表!I3:J10,1,FALSE),0)),"★","")</f>
        <v/>
      </c>
      <c r="D45" s="939"/>
      <c r="E45" s="939"/>
      <c r="F45" s="939"/>
      <c r="G45" s="939"/>
      <c r="H45" s="939"/>
      <c r="I45" s="939"/>
      <c r="J45" s="939"/>
      <c r="K45" s="939"/>
      <c r="L45" s="939"/>
      <c r="M45" s="939" t="s">
        <v>74</v>
      </c>
      <c r="N45" s="939"/>
      <c r="O45" s="939"/>
      <c r="P45" s="939"/>
      <c r="Q45" s="939"/>
      <c r="R45" s="939"/>
      <c r="S45" s="939"/>
      <c r="T45" s="939"/>
      <c r="U45" s="939"/>
      <c r="V45" s="939"/>
      <c r="W45" s="939"/>
      <c r="X45" s="939"/>
      <c r="Y45" s="939"/>
      <c r="Z45" s="939"/>
      <c r="AA45" s="939"/>
      <c r="AB45" s="939"/>
      <c r="AC45" s="939" t="s">
        <v>74</v>
      </c>
      <c r="AD45" s="939" t="s">
        <v>74</v>
      </c>
      <c r="AE45" s="939" t="s">
        <v>2716</v>
      </c>
      <c r="AF45" s="939"/>
      <c r="AG45" s="939" t="s">
        <v>2716</v>
      </c>
      <c r="AH45" s="939"/>
      <c r="AI45" s="940" t="s">
        <v>2719</v>
      </c>
      <c r="AJ45" s="939"/>
      <c r="AK45" s="939"/>
      <c r="AL45" s="939"/>
      <c r="AM45" s="939"/>
      <c r="AN45" s="939"/>
      <c r="AO45" s="939"/>
      <c r="AP45" s="939"/>
      <c r="AQ45" s="939" t="s">
        <v>74</v>
      </c>
      <c r="AR45" s="939"/>
      <c r="AS45" s="939" t="s">
        <v>74</v>
      </c>
      <c r="AT45" s="939"/>
      <c r="AU45" s="939"/>
      <c r="AV45" s="939" t="s">
        <v>74</v>
      </c>
      <c r="AW45" s="939" t="s">
        <v>74</v>
      </c>
      <c r="AX45" s="939" t="s">
        <v>74</v>
      </c>
      <c r="AY45" s="939"/>
      <c r="AZ45" s="939"/>
      <c r="BA45" s="939" t="s">
        <v>74</v>
      </c>
      <c r="BB45" s="939"/>
      <c r="BC45" s="939"/>
      <c r="BD45" s="939" t="s">
        <v>74</v>
      </c>
      <c r="BE45" s="939"/>
      <c r="BF45" s="939" t="s">
        <v>74</v>
      </c>
      <c r="BG45" s="939"/>
      <c r="BH45" s="939"/>
      <c r="BI45" s="939"/>
      <c r="BJ45" s="939"/>
      <c r="BK45" s="939"/>
      <c r="BL45" s="939"/>
      <c r="BM45" s="939"/>
      <c r="BN45" s="939" t="s">
        <v>74</v>
      </c>
      <c r="BO45" s="939"/>
      <c r="BP45" s="939"/>
      <c r="BQ45" s="939"/>
      <c r="BR45" s="939"/>
      <c r="BS45" s="939" t="s">
        <v>74</v>
      </c>
      <c r="BT45" s="939" t="s">
        <v>74</v>
      </c>
      <c r="BU45" s="939" t="s">
        <v>74</v>
      </c>
      <c r="BV45" s="939"/>
      <c r="BW45" s="939"/>
      <c r="BX45" s="939" t="s">
        <v>74</v>
      </c>
      <c r="BY45" s="939"/>
      <c r="BZ45" s="939" t="s">
        <v>74</v>
      </c>
      <c r="CA45" s="939"/>
      <c r="CB45" s="939"/>
      <c r="CC45" s="939"/>
      <c r="CD45" s="939"/>
      <c r="CE45" s="939"/>
      <c r="CF45" s="939"/>
      <c r="CG45" s="939"/>
      <c r="CH45" s="939"/>
      <c r="CI45" s="939"/>
      <c r="CJ45" s="939"/>
      <c r="CK45" s="939" t="s">
        <v>74</v>
      </c>
      <c r="CL45" s="939" t="s">
        <v>74</v>
      </c>
      <c r="CM45" s="939"/>
      <c r="CN45" s="939"/>
      <c r="CO45" s="939"/>
      <c r="CP45" s="939"/>
      <c r="CQ45" s="939" t="s">
        <v>74</v>
      </c>
      <c r="CR45" s="939"/>
      <c r="CS45" s="939"/>
      <c r="CT45" s="939"/>
      <c r="CU45" s="939"/>
      <c r="CV45" s="939" t="s">
        <v>2716</v>
      </c>
      <c r="CW45" s="939" t="s">
        <v>74</v>
      </c>
      <c r="CX45" s="939"/>
      <c r="CY45" s="939"/>
      <c r="CZ45" s="939"/>
      <c r="DA45" s="939" t="s">
        <v>74</v>
      </c>
      <c r="DB45" s="940" t="s">
        <v>2719</v>
      </c>
      <c r="DC45" s="939"/>
      <c r="DD45" s="939"/>
      <c r="DE45" s="939" t="s">
        <v>2716</v>
      </c>
      <c r="DF45" s="939"/>
      <c r="DG45" s="939"/>
      <c r="DH45" s="939"/>
      <c r="DI45" s="939"/>
      <c r="DJ45" s="939"/>
      <c r="DK45" s="939"/>
      <c r="DL45" s="939"/>
      <c r="DM45" s="939"/>
      <c r="DN45" s="939"/>
      <c r="DO45" s="939"/>
      <c r="DP45" s="939"/>
      <c r="DQ45" s="939"/>
      <c r="DR45" s="939"/>
      <c r="DS45" s="939"/>
      <c r="DT45" s="939"/>
      <c r="DU45" s="939"/>
      <c r="DV45" s="939"/>
      <c r="DW45" s="939"/>
      <c r="DX45" s="939"/>
      <c r="DY45" s="939"/>
      <c r="DZ45" s="939"/>
      <c r="EA45" s="939"/>
      <c r="EB45" s="939"/>
      <c r="EC45" s="939"/>
      <c r="ED45" s="939"/>
      <c r="EE45" s="939"/>
      <c r="EF45" s="939"/>
      <c r="EG45" s="939"/>
      <c r="EH45" s="939"/>
      <c r="EI45" s="939" t="s">
        <v>74</v>
      </c>
      <c r="EJ45" s="939"/>
      <c r="EK45" s="939" t="s">
        <v>74</v>
      </c>
      <c r="EL45" s="939"/>
      <c r="EM45" s="939"/>
      <c r="EN45" s="939" t="s">
        <v>2716</v>
      </c>
      <c r="EO45" s="939"/>
      <c r="EP45" s="939" t="s">
        <v>74</v>
      </c>
      <c r="EQ45" s="939"/>
      <c r="ER45" s="939"/>
      <c r="ES45" s="939"/>
      <c r="ET45" s="939"/>
      <c r="EU45" s="939"/>
      <c r="EV45" s="939"/>
      <c r="EW45" s="939"/>
      <c r="EX45" s="939"/>
      <c r="EY45" s="939"/>
      <c r="EZ45" s="939" t="s">
        <v>74</v>
      </c>
      <c r="FA45" s="939"/>
      <c r="FB45" s="939" t="s">
        <v>2716</v>
      </c>
      <c r="FC45" s="939"/>
      <c r="FD45" s="939" t="s">
        <v>74</v>
      </c>
      <c r="FE45" s="939"/>
      <c r="FF45" s="939"/>
      <c r="FG45" s="939"/>
      <c r="FH45" s="939"/>
      <c r="FI45" s="939"/>
      <c r="FJ45" s="939"/>
      <c r="FK45" s="939"/>
      <c r="FL45" s="939"/>
      <c r="FM45" s="939"/>
      <c r="FN45" s="939"/>
      <c r="FO45" s="939"/>
      <c r="FP45" s="939" t="s">
        <v>74</v>
      </c>
      <c r="FQ45" s="939"/>
      <c r="FR45" s="939"/>
      <c r="FS45" s="939"/>
      <c r="FT45" s="939"/>
      <c r="FU45" s="939" t="s">
        <v>74</v>
      </c>
      <c r="FV45" s="939"/>
      <c r="FW45" s="939"/>
      <c r="FX45" s="939"/>
      <c r="FY45" s="939"/>
      <c r="FZ45" s="939"/>
      <c r="GA45" s="939" t="s">
        <v>74</v>
      </c>
      <c r="GB45" s="939" t="s">
        <v>74</v>
      </c>
      <c r="GC45" s="939" t="s">
        <v>2719</v>
      </c>
      <c r="GD45" s="939" t="s">
        <v>2719</v>
      </c>
      <c r="GE45" s="939"/>
      <c r="GF45" s="939"/>
      <c r="GG45" s="939"/>
      <c r="GH45" s="939"/>
      <c r="GI45" s="939"/>
      <c r="GJ45" s="939"/>
      <c r="GK45" s="939"/>
      <c r="GL45" s="939"/>
      <c r="GM45" s="939"/>
      <c r="GN45" s="939"/>
      <c r="GO45" s="939"/>
      <c r="GP45" s="939" t="s">
        <v>74</v>
      </c>
      <c r="GQ45" s="939"/>
      <c r="GR45" s="939" t="s">
        <v>74</v>
      </c>
      <c r="GS45" s="939"/>
      <c r="GT45" s="939"/>
      <c r="GU45" s="939" t="s">
        <v>2719</v>
      </c>
      <c r="GV45" s="939"/>
      <c r="GW45" s="939"/>
      <c r="GX45" s="939"/>
      <c r="GY45" s="939"/>
      <c r="GZ45" s="939"/>
      <c r="HA45" s="939"/>
      <c r="HB45" s="939"/>
      <c r="HC45" s="939"/>
      <c r="HD45" s="939" t="s">
        <v>74</v>
      </c>
      <c r="HE45" s="939"/>
      <c r="HF45" s="939"/>
      <c r="HG45" s="940" t="s">
        <v>74</v>
      </c>
      <c r="HH45" s="939"/>
      <c r="HI45" s="939"/>
      <c r="HJ45" s="939"/>
      <c r="HK45" s="939"/>
      <c r="HL45" s="939"/>
      <c r="HM45" s="939"/>
      <c r="HN45" s="939"/>
      <c r="HO45" s="939" t="s">
        <v>74</v>
      </c>
      <c r="HP45" s="939"/>
      <c r="HQ45" s="939"/>
      <c r="HR45" s="939"/>
      <c r="HS45" s="939"/>
      <c r="HT45" s="939" t="s">
        <v>74</v>
      </c>
      <c r="HU45" s="939"/>
      <c r="HV45" s="939"/>
      <c r="HW45" s="939" t="s">
        <v>74</v>
      </c>
      <c r="HX45" s="990"/>
      <c r="HY45" s="1012"/>
      <c r="HZ45" s="1012"/>
      <c r="IA45" s="1012"/>
      <c r="IB45" s="1012"/>
      <c r="IC45" s="1013"/>
      <c r="ID45" s="1013"/>
      <c r="IE45" s="1012"/>
      <c r="IF45" s="1012"/>
      <c r="IG45" s="1012"/>
      <c r="IH45" s="939" t="s">
        <v>74</v>
      </c>
      <c r="II45" s="1012"/>
      <c r="IJ45" s="1012"/>
      <c r="IK45" s="1012"/>
      <c r="IL45" s="1012"/>
      <c r="IM45" s="939" t="s">
        <v>74</v>
      </c>
      <c r="IN45" s="1012"/>
      <c r="IO45" s="1012"/>
      <c r="IP45" s="1013"/>
      <c r="IQ45" s="1013"/>
      <c r="IR45" s="939" t="s">
        <v>74</v>
      </c>
      <c r="IS45" s="1012"/>
      <c r="IT45" s="1012"/>
      <c r="IU45" s="1012"/>
      <c r="IV45" s="1012"/>
      <c r="IW45" s="929"/>
      <c r="IX45" s="929" t="str">
        <f>IF(ISNUMBER(SEARCH($A45,VLOOKUP(IX$2,职业列表!$B$1:$G$370,6,0))),"★","")</f>
        <v/>
      </c>
      <c r="IY45" s="929" t="str">
        <f>IF(ISNUMBER(SEARCH($A45,VLOOKUP(IY$2,职业列表!$B$1:$G$370,6,0))),"★","")</f>
        <v/>
      </c>
      <c r="IZ45" s="929" t="str">
        <f>IF(ISNUMBER(SEARCH($A45,VLOOKUP(IZ$2,职业列表!$B$1:$G$370,6,0))),"★","")</f>
        <v>★</v>
      </c>
      <c r="JA45" s="929" t="str">
        <f>IF(ISNUMBER(SEARCH($A45,VLOOKUP(JA$2,职业列表!$B$1:$G$370,6,0))),"★","")</f>
        <v>★</v>
      </c>
      <c r="JB45" s="929" t="str">
        <f>IF(ISNUMBER(SEARCH($A45,VLOOKUP(JB$2,职业列表!$B$1:$G$370,6,0))),"★","")</f>
        <v>★</v>
      </c>
      <c r="JC45" s="929" t="str">
        <f>IF(ISNUMBER(SEARCH($A45,VLOOKUP(JC$2,职业列表!$B$1:$G$370,6,0))),"★","")</f>
        <v>★</v>
      </c>
      <c r="JD45" s="929" t="str">
        <f>IF(ISNUMBER(SEARCH($A45,VLOOKUP(JD$2,职业列表!$B$1:$G$370,6,0))),"★","")</f>
        <v/>
      </c>
      <c r="JE45" s="929" t="str">
        <f>IF(ISNUMBER(SEARCH($A45,VLOOKUP(JE$2,职业列表!$B$1:$G$370,6,0))),"★","")</f>
        <v>★</v>
      </c>
      <c r="JF45" s="929" t="str">
        <f>IF(ISNUMBER(SEARCH($A45,VLOOKUP(JF$2,职业列表!$B$1:$G$370,6,0))),"★","")</f>
        <v/>
      </c>
      <c r="JG45" s="929" t="str">
        <f>IF(ISNUMBER(SEARCH($A45,VLOOKUP(JG$2,职业列表!$B$1:$G$370,6,0))),"★","")</f>
        <v/>
      </c>
      <c r="JH45" s="929" t="str">
        <f>IF(ISNUMBER(SEARCH($A45,VLOOKUP(JH$2,职业列表!$B$1:$G$370,6,0))),"★","")</f>
        <v>★</v>
      </c>
      <c r="JI45" s="929" t="str">
        <f>IF(ISNUMBER(SEARCH($A45,VLOOKUP(JI$2,职业列表!$B$1:$G$370,6,0))),"★","")</f>
        <v>★</v>
      </c>
      <c r="JJ45" s="929" t="str">
        <f>IF(ISNUMBER(SEARCH($A45,VLOOKUP(JJ$2,职业列表!$B$1:$G$370,6,0))),"★","")</f>
        <v>★</v>
      </c>
      <c r="JK45" s="929" t="str">
        <f>IF(ISNUMBER(SEARCH($A45,VLOOKUP(JK$2,职业列表!$B$1:$G$370,6,0))),"★","")</f>
        <v/>
      </c>
      <c r="JL45" s="929" t="str">
        <f>IF(ISNUMBER(SEARCH($A45,VLOOKUP(JL$2,职业列表!$B$1:$G$370,6,0))),"★","")</f>
        <v>★</v>
      </c>
      <c r="JM45" s="929" t="str">
        <f>IF(ISNUMBER(SEARCH($A45,VLOOKUP(JM$2,职业列表!$B$1:$G$370,6,0))),"★","")</f>
        <v/>
      </c>
      <c r="JN45" s="929" t="str">
        <f>IF(ISNUMBER(SEARCH($A45,VLOOKUP(JN$2,职业列表!$B$1:$G$370,6,0))),"★","")</f>
        <v>★</v>
      </c>
      <c r="JO45" s="929" t="str">
        <f>IF(ISNUMBER(SEARCH($A45,VLOOKUP(JO$2,职业列表!$B$1:$G$370,6,0))),"★","")</f>
        <v>★</v>
      </c>
      <c r="JP45" s="929" t="str">
        <f>IF(ISNUMBER(SEARCH($A45,VLOOKUP(JP$2,职业列表!$B$1:$G$370,6,0))),"★","")</f>
        <v/>
      </c>
      <c r="JQ45" s="929" t="str">
        <f>IF(ISNUMBER(SEARCH($A45,VLOOKUP(JQ$2,职业列表!$B$1:$G$370,6,0))),"★","")</f>
        <v/>
      </c>
      <c r="JR45" s="929" t="str">
        <f>IF(ISNUMBER(SEARCH($A45,VLOOKUP(JR$2,职业列表!$B$1:$G$370,6,0))),"★","")</f>
        <v/>
      </c>
      <c r="JS45" s="929" t="str">
        <f>IF(ISNUMBER(SEARCH($A45,VLOOKUP(JS$2,职业列表!$B$1:$G$370,6,0))),"★","")</f>
        <v/>
      </c>
      <c r="JT45" s="929" t="str">
        <f>IF(ISNUMBER(SEARCH($A45,VLOOKUP(JT$2,职业列表!$B$1:$G$370,6,0))),"★","")</f>
        <v>★</v>
      </c>
      <c r="JU45" s="929" t="str">
        <f>IF(ISNUMBER(SEARCH($A45,VLOOKUP(JU$2,职业列表!$B$1:$G$370,6,0))),"★","")</f>
        <v>★</v>
      </c>
      <c r="JV45" s="929" t="str">
        <f>IF(ISNUMBER(SEARCH($A45,VLOOKUP(JV$2,职业列表!$B$1:$G$370,6,0))),"★","")</f>
        <v>★</v>
      </c>
      <c r="JW45" s="929" t="str">
        <f>IF(ISNUMBER(SEARCH($A45,VLOOKUP(JW$2,职业列表!$B$1:$G$370,6,0))),"★","")</f>
        <v/>
      </c>
      <c r="JX45" s="929" t="str">
        <f>IF(ISNUMBER(SEARCH($A45,VLOOKUP(JX$2,职业列表!$B$1:$G$370,6,0))),"★","")</f>
        <v/>
      </c>
      <c r="JY45" s="929" t="str">
        <f>IF(ISNUMBER(SEARCH($A45,VLOOKUP(JY$2,职业列表!$B$1:$G$370,6,0))),"★","")</f>
        <v/>
      </c>
      <c r="JZ45" s="929" t="str">
        <f>IF(ISNUMBER(SEARCH($A45,VLOOKUP(JZ$2,职业列表!$B$1:$G$370,6,0))),"★","")</f>
        <v/>
      </c>
      <c r="KA45" s="929" t="str">
        <f>IF(ISNUMBER(SEARCH($A45,VLOOKUP(KA$2,职业列表!$B$1:$G$370,6,0))),"★","")</f>
        <v/>
      </c>
      <c r="KB45" s="929" t="str">
        <f>IF(ISNUMBER(SEARCH($A45,VLOOKUP(KB$2,职业列表!$B$1:$G$370,6,0))),"★","")</f>
        <v/>
      </c>
      <c r="KC45" s="929" t="str">
        <f>IF(ISNUMBER(SEARCH($A45,VLOOKUP(KC$2,职业列表!$B$1:$G$370,6,0))),"★","")</f>
        <v/>
      </c>
      <c r="KD45" s="929" t="str">
        <f>IF(ISNUMBER(SEARCH($A45,VLOOKUP(KD$2,职业列表!$B$1:$G$370,6,0))),"★","")</f>
        <v>★</v>
      </c>
      <c r="KE45" s="929" t="str">
        <f>IF(ISNUMBER(SEARCH($A45,VLOOKUP(KE$2,职业列表!$B$1:$G$370,6,0))),"★","")</f>
        <v/>
      </c>
      <c r="KF45" s="929" t="str">
        <f>IF(ISNUMBER(SEARCH($A45,VLOOKUP(KF$2,职业列表!$B$1:$G$370,6,0))),"★","")</f>
        <v/>
      </c>
      <c r="KG45" s="929" t="str">
        <f>IF(ISNUMBER(SEARCH($A45,VLOOKUP(KG$2,职业列表!$B$1:$G$370,6,0))),"★","")</f>
        <v/>
      </c>
      <c r="KH45" s="929" t="str">
        <f>IF(ISNUMBER(SEARCH($A45,VLOOKUP(KH$2,职业列表!$B$1:$G$370,6,0))),"★","")</f>
        <v>★</v>
      </c>
      <c r="KI45" s="929" t="str">
        <f>IF(ISNUMBER(SEARCH($A45,VLOOKUP(KI$2,职业列表!$B$1:$G$370,6,0))),"★","")</f>
        <v>★</v>
      </c>
      <c r="KJ45" s="929" t="str">
        <f>IF(ISNUMBER(SEARCH($A45,VLOOKUP(KJ$2,职业列表!$B$1:$G$370,6,0))),"★","")</f>
        <v/>
      </c>
      <c r="KK45" s="929" t="str">
        <f>IF(ISNUMBER(SEARCH($A45,VLOOKUP(KK$2,职业列表!$B$1:$G$370,6,0))),"★","")</f>
        <v/>
      </c>
      <c r="KL45" s="929" t="str">
        <f>IF(ISNUMBER(SEARCH($A45,VLOOKUP(KL$2,职业列表!$B$1:$G$370,6,0))),"★","")</f>
        <v/>
      </c>
      <c r="KM45" s="929" t="str">
        <f>IF(ISNUMBER(SEARCH($A45,VLOOKUP(KM$2,职业列表!$B$1:$G$370,6,0))),"★","")</f>
        <v/>
      </c>
      <c r="KN45" s="929" t="str">
        <f>IF(ISNUMBER(SEARCH($A45,VLOOKUP(KN$2,职业列表!$B$1:$G$370,6,0))),"★","")</f>
        <v/>
      </c>
      <c r="KO45" s="929" t="str">
        <f>IF(ISNUMBER(SEARCH($A45,VLOOKUP(KO$2,职业列表!$B$1:$G$370,6,0))),"★","")</f>
        <v/>
      </c>
      <c r="KP45" s="929" t="str">
        <f>IF(ISNUMBER(SEARCH($A45,VLOOKUP(KP$2,职业列表!$B$1:$G$370,6,0))),"★","")</f>
        <v/>
      </c>
      <c r="KQ45" s="929" t="str">
        <f>IF(ISNUMBER(SEARCH($A45,VLOOKUP(KQ$2,职业列表!$B$1:$G$370,6,0))),"★","")</f>
        <v>★</v>
      </c>
      <c r="KR45" s="929" t="str">
        <f>IF(ISNUMBER(SEARCH($A45,VLOOKUP(KR$2,职业列表!$B$1:$G$370,6,0))),"★","")</f>
        <v/>
      </c>
      <c r="KS45" s="929" t="str">
        <f>IF(ISNUMBER(SEARCH($A45,VLOOKUP(KS$2,职业列表!$B$1:$G$370,6,0))),"★","")</f>
        <v>★</v>
      </c>
      <c r="KT45" s="929" t="str">
        <f>IF(ISNUMBER(SEARCH($A45,VLOOKUP(KT$2,职业列表!$B$1:$G$370,6,0))),"★","")</f>
        <v/>
      </c>
      <c r="KU45" s="929" t="str">
        <f>IF(ISNUMBER(SEARCH($A45,VLOOKUP(KU$2,职业列表!$B$1:$G$370,6,0))),"★","")</f>
        <v/>
      </c>
      <c r="KV45" s="929" t="str">
        <f>IF(ISNUMBER(SEARCH($A45,VLOOKUP(KV$2,职业列表!$B$1:$G$370,6,0))),"★","")</f>
        <v>★</v>
      </c>
      <c r="KW45" s="929" t="str">
        <f>IF(ISNUMBER(SEARCH($A45,VLOOKUP(KW$2,职业列表!$B$1:$G$370,6,0))),"★","")</f>
        <v>★</v>
      </c>
      <c r="KX45" s="929" t="str">
        <f>IF(ISNUMBER(SEARCH($A45,VLOOKUP(KX$2,职业列表!$B$1:$G$370,6,0))),"★","")</f>
        <v/>
      </c>
      <c r="KY45" s="929" t="str">
        <f>IF(ISNUMBER(SEARCH($A45,VLOOKUP(KY$2,职业列表!$B$1:$G$370,6,0))),"★","")</f>
        <v/>
      </c>
      <c r="KZ45" s="929" t="str">
        <f>IF(ISNUMBER(SEARCH($A45,VLOOKUP(KZ$2,职业列表!$B$1:$G$370,6,0))),"★","")</f>
        <v/>
      </c>
      <c r="LA45" s="929" t="str">
        <f>IF(ISNUMBER(SEARCH($A45,VLOOKUP(LA$2,职业列表!$B$1:$G$370,6,0))),"★","")</f>
        <v/>
      </c>
      <c r="LB45" s="929" t="str">
        <f>IF(ISNUMBER(SEARCH($A45,VLOOKUP(LB$2,职业列表!$B$1:$G$370,6,0))),"★","")</f>
        <v/>
      </c>
      <c r="LC45" s="929" t="str">
        <f>IF(ISNUMBER(SEARCH($A45,VLOOKUP(LC$2,职业列表!$B$1:$G$370,6,0))),"★","")</f>
        <v>★</v>
      </c>
      <c r="LD45" s="929" t="str">
        <f>IF(ISNUMBER(SEARCH($A45,VLOOKUP(LD$2,职业列表!$B$1:$G$370,6,0))),"★","")</f>
        <v/>
      </c>
      <c r="LE45" s="929" t="str">
        <f>IF(ISNUMBER(SEARCH($A45,VLOOKUP(LE$2,职业列表!$B$1:$G$370,6,0))),"★","")</f>
        <v/>
      </c>
      <c r="LF45" s="929" t="str">
        <f>IF(ISNUMBER(SEARCH($A45,VLOOKUP(LF$2,职业列表!$B$1:$G$370,6,0))),"★","")</f>
        <v/>
      </c>
      <c r="LG45" s="929" t="str">
        <f>IF(ISNUMBER(SEARCH($A45,VLOOKUP(LG$2,职业列表!$B$1:$G$370,6,0))),"★","")</f>
        <v/>
      </c>
      <c r="LH45" s="929" t="str">
        <f>IF(ISNUMBER(SEARCH($A45,VLOOKUP(LH$2,职业列表!$B$1:$G$370,6,0))),"★","")</f>
        <v/>
      </c>
      <c r="LI45" s="929" t="str">
        <f>IF(ISNUMBER(SEARCH($A45,VLOOKUP(LI$2,职业列表!$B$1:$G$370,6,0))),"★","")</f>
        <v/>
      </c>
      <c r="LJ45" s="929" t="str">
        <f>IF(ISNUMBER(SEARCH($A45,VLOOKUP(LJ$2,职业列表!$B$1:$G$370,6,0))),"★","")</f>
        <v>★</v>
      </c>
      <c r="LK45" s="929" t="str">
        <f>IF(ISNUMBER(SEARCH($A45,VLOOKUP(LK$2,职业列表!$B$1:$G$370,6,0))),"★","")</f>
        <v>★</v>
      </c>
      <c r="LL45" s="929" t="str">
        <f>IF(ISNUMBER(SEARCH($A45,VLOOKUP(LL$2,职业列表!$B$1:$G$370,6,0))),"★","")</f>
        <v>★</v>
      </c>
      <c r="LM45" s="929" t="str">
        <f>IF(ISNUMBER(SEARCH($A45,VLOOKUP(LM$2,职业列表!$B$1:$G$370,6,0))),"★","")</f>
        <v>★</v>
      </c>
      <c r="LN45" s="929" t="str">
        <f>IF(ISNUMBER(SEARCH($A45,VLOOKUP(LN$2,职业列表!$B$1:$G$370,6,0))),"★","")</f>
        <v>★</v>
      </c>
      <c r="LO45" s="929" t="str">
        <f>IF(ISNUMBER(SEARCH($A45,VLOOKUP(LO$2,职业列表!$B$1:$G$370,6,0))),"★","")</f>
        <v>★</v>
      </c>
      <c r="LP45" s="929" t="str">
        <f>IF(ISNUMBER(SEARCH($A45,VLOOKUP(LP$2,职业列表!$B$1:$G$370,6,0))),"★","")</f>
        <v>★</v>
      </c>
      <c r="LQ45" s="929" t="str">
        <f>IF(ISNUMBER(SEARCH($A45,VLOOKUP(LQ$2,职业列表!$B$1:$G$370,6,0))),"★","")</f>
        <v/>
      </c>
      <c r="LR45" s="929" t="str">
        <f>IF(ISNUMBER(SEARCH($A45,VLOOKUP(LR$2,职业列表!$B$1:$G$370,6,0))),"★","")</f>
        <v/>
      </c>
      <c r="LS45" s="929" t="str">
        <f>IF(ISNUMBER(SEARCH($A45,VLOOKUP(LS$2,职业列表!$B$1:$G$370,6,0))),"★","")</f>
        <v>★</v>
      </c>
      <c r="LT45" s="929" t="str">
        <f>IF(ISNUMBER(SEARCH($A45,VLOOKUP(LT$2,职业列表!$B$1:$G$370,6,0))),"★","")</f>
        <v/>
      </c>
      <c r="LU45" s="929" t="str">
        <f>IF(ISNUMBER(SEARCH($A45,VLOOKUP(LU$2,职业列表!$B$1:$G$370,6,0))),"★","")</f>
        <v>★</v>
      </c>
      <c r="LV45" s="929" t="str">
        <f>IF(ISNUMBER(SEARCH($A45,VLOOKUP(LV$2,职业列表!$B$1:$G$370,6,0))),"★","")</f>
        <v/>
      </c>
      <c r="LW45" s="929" t="str">
        <f>IF(ISNUMBER(SEARCH($A45,VLOOKUP(LW$2,职业列表!$B$1:$G$370,6,0))),"★","")</f>
        <v/>
      </c>
      <c r="LX45" s="929" t="str">
        <f>IF(ISNUMBER(SEARCH($A45,VLOOKUP(LX$2,职业列表!$B$1:$G$370,6,0))),"★","")</f>
        <v/>
      </c>
      <c r="LY45" s="929" t="str">
        <f>IF(ISNUMBER(SEARCH($A45,VLOOKUP(LY$2,职业列表!$B$1:$G$370,6,0))),"★","")</f>
        <v>★</v>
      </c>
      <c r="LZ45" s="929" t="str">
        <f>IF(ISNUMBER(SEARCH($A45,VLOOKUP(LZ$2,职业列表!$B$1:$G$370,6,0))),"★","")</f>
        <v>★</v>
      </c>
      <c r="MA45" s="929" t="str">
        <f>IF(ISNUMBER(SEARCH($A45,VLOOKUP(MA$2,职业列表!$B$1:$G$370,6,0))),"★","")</f>
        <v>★</v>
      </c>
      <c r="MB45" s="929" t="str">
        <f>IF(ISNUMBER(SEARCH($A45,VLOOKUP(MB$2,职业列表!$B$1:$G$370,6,0))),"★","")</f>
        <v>★</v>
      </c>
      <c r="MC45" s="929" t="str">
        <f>IF(ISNUMBER(SEARCH($A45,VLOOKUP(MC$2,职业列表!$B$1:$G$370,6,0))),"★","")</f>
        <v/>
      </c>
      <c r="MD45" s="929" t="str">
        <f>IF(ISNUMBER(SEARCH($A45,VLOOKUP(MD$2,职业列表!$B$1:$G$370,6,0))),"★","")</f>
        <v/>
      </c>
      <c r="ME45" s="929" t="str">
        <f>IF(ISNUMBER(SEARCH($A45,VLOOKUP(ME$2,职业列表!$B$1:$G$370,6,0))),"★","")</f>
        <v/>
      </c>
      <c r="MF45" s="929" t="str">
        <f>IF(ISNUMBER(SEARCH($A45,VLOOKUP(MF$2,职业列表!$B$1:$G$370,6,0))),"★","")</f>
        <v/>
      </c>
      <c r="MG45" s="929" t="str">
        <f>IF(ISNUMBER(SEARCH($A45,VLOOKUP(MG$2,职业列表!$B$1:$G$370,6,0))),"★","")</f>
        <v/>
      </c>
      <c r="MH45" s="929" t="str">
        <f>IF(ISNUMBER(SEARCH($A45,VLOOKUP(MH$2,职业列表!$B$1:$G$370,6,0))),"★","")</f>
        <v/>
      </c>
      <c r="MI45" s="929" t="str">
        <f>IF(ISNUMBER(SEARCH($A45,VLOOKUP(MI$2,职业列表!$B$1:$G$370,6,0))),"★","")</f>
        <v/>
      </c>
      <c r="MJ45" s="929" t="str">
        <f>IF(ISNUMBER(SEARCH($A45,VLOOKUP(MJ$2,职业列表!$B$1:$G$370,6,0))),"★","")</f>
        <v/>
      </c>
      <c r="MK45" s="929" t="str">
        <f>IF(ISNUMBER(SEARCH($A45,VLOOKUP(MK$2,职业列表!$B$1:$G$370,6,0))),"★","")</f>
        <v>★</v>
      </c>
      <c r="ML45" s="929" t="str">
        <f>IF(ISNUMBER(SEARCH($A45,VLOOKUP(ML$2,职业列表!$B$1:$G$370,6,0))),"★","")</f>
        <v/>
      </c>
      <c r="MM45" s="929" t="str">
        <f>IF(ISNUMBER(SEARCH($A45,VLOOKUP(MM$2,职业列表!$B$1:$G$370,6,0))),"★","")</f>
        <v/>
      </c>
      <c r="MN45" s="929" t="str">
        <f>IF(ISNUMBER(SEARCH($A45,VLOOKUP(MN$2,职业列表!$B$1:$G$370,6,0))),"★","")</f>
        <v/>
      </c>
      <c r="MO45" s="929" t="str">
        <f>IF(ISNUMBER(SEARCH($A45,VLOOKUP(MO$2,职业列表!$B$1:$G$370,6,0))),"★","")</f>
        <v/>
      </c>
      <c r="MP45" s="929" t="str">
        <f>IF(ISNUMBER(SEARCH($A45,VLOOKUP(MP$2,职业列表!$B$1:$G$370,6,0))),"★","")</f>
        <v/>
      </c>
      <c r="MQ45" s="929" t="str">
        <f>IF(ISNUMBER(SEARCH($A45,VLOOKUP(MQ$2,职业列表!$B$1:$G$370,6,0))),"★","")</f>
        <v/>
      </c>
      <c r="MR45" s="929" t="str">
        <f>IF(ISNUMBER(SEARCH($A45,VLOOKUP(MR$2,职业列表!$B$1:$G$370,6,0))),"★","")</f>
        <v>★</v>
      </c>
      <c r="MS45" s="929" t="str">
        <f>IF(ISNUMBER(SEARCH($A45,VLOOKUP(MS$2,职业列表!$B$1:$G$370,6,0))),"★","")</f>
        <v/>
      </c>
      <c r="MT45" s="929" t="str">
        <f>IF(ISNUMBER(SEARCH($A45,VLOOKUP(MT$2,职业列表!$B$1:$G$370,6,0))),"★","")</f>
        <v/>
      </c>
      <c r="MU45" s="929" t="str">
        <f>IF(ISNUMBER(SEARCH($A45,VLOOKUP(MU$2,职业列表!$B$1:$G$370,6,0))),"★","")</f>
        <v/>
      </c>
      <c r="MV45" s="929" t="str">
        <f>IF(ISNUMBER(SEARCH($A45,VLOOKUP(MV$2,职业列表!$B$1:$G$370,6,0))),"★","")</f>
        <v/>
      </c>
      <c r="MW45" s="929" t="str">
        <f>IF(ISNUMBER(SEARCH($A45,VLOOKUP(MW$2,职业列表!$B$1:$G$370,6,0))),"★","")</f>
        <v>★</v>
      </c>
      <c r="MX45" s="929" t="str">
        <f>IF(ISNUMBER(SEARCH($A45,VLOOKUP(MX$2,职业列表!$B$1:$G$370,6,0))),"★","")</f>
        <v/>
      </c>
      <c r="MY45" s="929" t="str">
        <f>IF(ISNUMBER(SEARCH($A45,VLOOKUP(MY$2,职业列表!$B$1:$G$370,6,0))),"★","")</f>
        <v>★</v>
      </c>
      <c r="MZ45" s="929" t="str">
        <f>IF(ISNUMBER(SEARCH($A45,VLOOKUP(MZ$2,职业列表!$B$1:$G$370,6,0))),"★","")</f>
        <v>★</v>
      </c>
      <c r="NA45" s="929" t="str">
        <f>IF(ISNUMBER(SEARCH($A45,VLOOKUP(NA$2,职业列表!$B$1:$G$370,6,0))),"★","")</f>
        <v>★</v>
      </c>
      <c r="NB45" s="929" t="str">
        <f>IF(ISNUMBER(SEARCH($A45,VLOOKUP(NB$2,职业列表!$B$1:$G$370,6,0))),"★","")</f>
        <v>★</v>
      </c>
      <c r="NC45" s="929" t="str">
        <f>IF(ISNUMBER(SEARCH($A45,VLOOKUP(NC$2,职业列表!$B$1:$G$370,6,0))),"★","")</f>
        <v>★</v>
      </c>
      <c r="ND45" s="929" t="str">
        <f>IF(ISNUMBER(SEARCH($A45,VLOOKUP(ND$2,职业列表!$B$1:$G$370,6,0))),"★","")</f>
        <v/>
      </c>
      <c r="NE45" s="929" t="str">
        <f>IF(ISNUMBER(SEARCH($A45,VLOOKUP(NE$2,职业列表!$B$1:$G$370,6,0))),"★","")</f>
        <v>★</v>
      </c>
    </row>
    <row r="46" customFormat="1" spans="1:369">
      <c r="A46" s="951" t="s">
        <v>73</v>
      </c>
      <c r="B46" s="952" t="str">
        <f>IF(OR(A46="说服",A46="话术",A46="取悦",A46="恐吓"),"☯",IF(ISNUMBER(SEARCH(A46,VLOOKUP(IX$2,职业列表!$B$1:$G$370,6,0))),"★",""))</f>
        <v/>
      </c>
      <c r="C46" s="952" t="str">
        <f>IF(ISTEXT(IFERROR(VLOOKUP(A46,职业列表!I3:J10,1,FALSE),0)),"★","")</f>
        <v/>
      </c>
      <c r="D46" s="952"/>
      <c r="E46" s="952"/>
      <c r="F46" s="952"/>
      <c r="G46" s="952"/>
      <c r="H46" s="952"/>
      <c r="I46" s="952" t="s">
        <v>74</v>
      </c>
      <c r="J46" s="952"/>
      <c r="K46" s="952"/>
      <c r="L46" s="952"/>
      <c r="M46" s="952"/>
      <c r="N46" s="952"/>
      <c r="O46" s="952"/>
      <c r="P46" s="952"/>
      <c r="Q46" s="952"/>
      <c r="R46" s="952"/>
      <c r="S46" s="952"/>
      <c r="T46" s="952"/>
      <c r="U46" s="952"/>
      <c r="V46" s="952"/>
      <c r="W46" s="952"/>
      <c r="X46" s="952"/>
      <c r="Y46" s="952"/>
      <c r="Z46" s="952"/>
      <c r="AA46" s="952"/>
      <c r="AB46" s="952"/>
      <c r="AC46" s="952"/>
      <c r="AD46" s="952"/>
      <c r="AE46" s="952"/>
      <c r="AF46" s="952"/>
      <c r="AG46" s="952"/>
      <c r="AH46" s="952"/>
      <c r="AI46" s="952"/>
      <c r="AJ46" s="952"/>
      <c r="AK46" s="952"/>
      <c r="AL46" s="952"/>
      <c r="AM46" s="952"/>
      <c r="AN46" s="952"/>
      <c r="AO46" s="952"/>
      <c r="AP46" s="952"/>
      <c r="AQ46" s="952"/>
      <c r="AR46" s="952"/>
      <c r="AS46" s="952"/>
      <c r="AT46" s="952" t="s">
        <v>74</v>
      </c>
      <c r="AU46" s="952"/>
      <c r="AV46" s="952"/>
      <c r="AW46" s="952"/>
      <c r="AX46" s="952"/>
      <c r="AY46" s="952"/>
      <c r="AZ46" s="952"/>
      <c r="BA46" s="952"/>
      <c r="BB46" s="952"/>
      <c r="BC46" s="952"/>
      <c r="BD46" s="952"/>
      <c r="BE46" s="952"/>
      <c r="BF46" s="952"/>
      <c r="BG46" s="952"/>
      <c r="BH46" s="952" t="s">
        <v>74</v>
      </c>
      <c r="BI46" s="952"/>
      <c r="BJ46" s="952"/>
      <c r="BK46" s="952"/>
      <c r="BL46" s="952"/>
      <c r="BM46" s="952"/>
      <c r="BN46" s="952"/>
      <c r="BO46" s="952"/>
      <c r="BP46" s="952"/>
      <c r="BQ46" s="952"/>
      <c r="BR46" s="952"/>
      <c r="BS46" s="952"/>
      <c r="BT46" s="952"/>
      <c r="BU46" s="952"/>
      <c r="BV46" s="952"/>
      <c r="BW46" s="952"/>
      <c r="BX46" s="952"/>
      <c r="BY46" s="952"/>
      <c r="BZ46" s="952" t="s">
        <v>74</v>
      </c>
      <c r="CA46" s="952"/>
      <c r="CB46" s="952"/>
      <c r="CC46" s="952"/>
      <c r="CD46" s="952" t="s">
        <v>74</v>
      </c>
      <c r="CE46" s="952"/>
      <c r="CF46" s="952"/>
      <c r="CG46" s="952"/>
      <c r="CH46" s="952"/>
      <c r="CI46" s="952"/>
      <c r="CJ46" s="952"/>
      <c r="CK46" s="952"/>
      <c r="CL46" s="952"/>
      <c r="CM46" s="952"/>
      <c r="CN46" s="952"/>
      <c r="CO46" s="952"/>
      <c r="CP46" s="952"/>
      <c r="CQ46" s="952"/>
      <c r="CR46" s="952"/>
      <c r="CS46" s="952" t="s">
        <v>74</v>
      </c>
      <c r="CT46" s="952"/>
      <c r="CU46" s="952"/>
      <c r="CV46" s="952"/>
      <c r="CW46" s="952"/>
      <c r="CX46" s="952"/>
      <c r="CY46" s="952"/>
      <c r="CZ46" s="952"/>
      <c r="DA46" s="952"/>
      <c r="DB46" s="952"/>
      <c r="DC46" s="952"/>
      <c r="DD46" s="952"/>
      <c r="DE46" s="952"/>
      <c r="DF46" s="952"/>
      <c r="DG46" s="952"/>
      <c r="DH46" s="952"/>
      <c r="DI46" s="952"/>
      <c r="DJ46" s="952"/>
      <c r="DK46" s="952"/>
      <c r="DL46" s="952"/>
      <c r="DM46" s="952" t="s">
        <v>74</v>
      </c>
      <c r="DN46" s="952"/>
      <c r="DO46" s="952"/>
      <c r="DP46" s="952"/>
      <c r="DQ46" s="952"/>
      <c r="DR46" s="952"/>
      <c r="DS46" s="952"/>
      <c r="DT46" s="952"/>
      <c r="DU46" s="952"/>
      <c r="DV46" s="952"/>
      <c r="DW46" s="952"/>
      <c r="DX46" s="952"/>
      <c r="DY46" s="952"/>
      <c r="DZ46" s="952"/>
      <c r="EA46" s="952"/>
      <c r="EB46" s="952"/>
      <c r="EC46" s="952"/>
      <c r="ED46" s="952"/>
      <c r="EE46" s="952"/>
      <c r="EF46" s="952" t="s">
        <v>74</v>
      </c>
      <c r="EG46" s="952" t="s">
        <v>74</v>
      </c>
      <c r="EH46" s="952" t="s">
        <v>74</v>
      </c>
      <c r="EI46" s="952"/>
      <c r="EJ46" s="952"/>
      <c r="EK46" s="952"/>
      <c r="EL46" s="952" t="s">
        <v>74</v>
      </c>
      <c r="EM46" s="952"/>
      <c r="EN46" s="952"/>
      <c r="EO46" s="952"/>
      <c r="EP46" s="952"/>
      <c r="EQ46" s="952"/>
      <c r="ER46" s="952"/>
      <c r="ES46" s="952"/>
      <c r="ET46" s="952"/>
      <c r="EU46" s="952"/>
      <c r="EV46" s="952"/>
      <c r="EW46" s="952"/>
      <c r="EX46" s="952"/>
      <c r="EY46" s="952"/>
      <c r="EZ46" s="952" t="s">
        <v>74</v>
      </c>
      <c r="FA46" s="952" t="s">
        <v>74</v>
      </c>
      <c r="FB46" s="952"/>
      <c r="FC46" s="952"/>
      <c r="FD46" s="952"/>
      <c r="FE46" s="952"/>
      <c r="FF46" s="952"/>
      <c r="FG46" s="952"/>
      <c r="FH46" s="952"/>
      <c r="FI46" s="952"/>
      <c r="FJ46" s="952"/>
      <c r="FK46" s="952"/>
      <c r="FL46" s="952" t="s">
        <v>74</v>
      </c>
      <c r="FM46" s="952"/>
      <c r="FN46" s="952"/>
      <c r="FO46" s="952"/>
      <c r="FP46" s="952"/>
      <c r="FQ46" s="952"/>
      <c r="FR46" s="952"/>
      <c r="FS46" s="952"/>
      <c r="FT46" s="952"/>
      <c r="FU46" s="952" t="s">
        <v>74</v>
      </c>
      <c r="FV46" s="952" t="s">
        <v>74</v>
      </c>
      <c r="FW46" s="952" t="s">
        <v>74</v>
      </c>
      <c r="FX46" s="952"/>
      <c r="FY46" s="952"/>
      <c r="FZ46" s="952"/>
      <c r="GA46" s="952"/>
      <c r="GB46" s="952"/>
      <c r="GC46" s="952"/>
      <c r="GD46" s="952"/>
      <c r="GE46" s="952"/>
      <c r="GF46" s="952"/>
      <c r="GG46" s="952"/>
      <c r="GH46" s="952"/>
      <c r="GI46" s="952"/>
      <c r="GJ46" s="952"/>
      <c r="GK46" s="952"/>
      <c r="GL46" s="952"/>
      <c r="GM46" s="952"/>
      <c r="GN46" s="952"/>
      <c r="GO46" s="952"/>
      <c r="GP46" s="952"/>
      <c r="GQ46" s="952"/>
      <c r="GR46" s="952"/>
      <c r="GS46" s="952"/>
      <c r="GT46" s="952"/>
      <c r="GU46" s="952"/>
      <c r="GV46" s="952"/>
      <c r="GW46" s="952"/>
      <c r="GX46" s="952"/>
      <c r="GY46" s="952"/>
      <c r="GZ46" s="952"/>
      <c r="HA46" s="952"/>
      <c r="HB46" s="952"/>
      <c r="HC46" s="952"/>
      <c r="HD46" s="952"/>
      <c r="HE46" s="952"/>
      <c r="HF46" s="952"/>
      <c r="HG46" s="952"/>
      <c r="HH46" s="952"/>
      <c r="HI46" s="952"/>
      <c r="HJ46" s="952"/>
      <c r="HK46" s="952"/>
      <c r="HL46" s="952"/>
      <c r="HM46" s="952"/>
      <c r="HN46" s="952"/>
      <c r="HO46" s="952"/>
      <c r="HP46" s="952"/>
      <c r="HQ46" s="952" t="s">
        <v>74</v>
      </c>
      <c r="HR46" s="952"/>
      <c r="HS46" s="952"/>
      <c r="HT46" s="952"/>
      <c r="HU46" s="952"/>
      <c r="HV46" s="952"/>
      <c r="HW46" s="952"/>
      <c r="HX46" s="997"/>
      <c r="HY46" s="1023"/>
      <c r="HZ46" s="952" t="s">
        <v>74</v>
      </c>
      <c r="IA46" s="1023"/>
      <c r="IB46" s="1023"/>
      <c r="IC46" s="1024"/>
      <c r="ID46" s="1024"/>
      <c r="IE46" s="1023"/>
      <c r="IF46" s="939" t="s">
        <v>74</v>
      </c>
      <c r="IG46" s="1023"/>
      <c r="IH46" s="1023"/>
      <c r="II46" s="939" t="s">
        <v>74</v>
      </c>
      <c r="IJ46" s="1023"/>
      <c r="IK46" s="1023"/>
      <c r="IL46" s="1023"/>
      <c r="IM46" s="1023"/>
      <c r="IN46" s="1023"/>
      <c r="IO46" s="1023"/>
      <c r="IP46" s="1024"/>
      <c r="IQ46" s="1024"/>
      <c r="IR46" s="972" t="s">
        <v>74</v>
      </c>
      <c r="IS46" s="1023"/>
      <c r="IT46" s="1023"/>
      <c r="IU46" s="972" t="s">
        <v>74</v>
      </c>
      <c r="IV46" s="972" t="s">
        <v>74</v>
      </c>
      <c r="IW46" s="1055"/>
      <c r="IX46" s="929" t="str">
        <f>IF(ISNUMBER(SEARCH($A46,VLOOKUP(IX$2,职业列表!$B$1:$G$370,6,0))),"★","")</f>
        <v/>
      </c>
      <c r="IY46" s="929" t="str">
        <f>IF(ISNUMBER(SEARCH($A46,VLOOKUP(IY$2,职业列表!$B$1:$G$370,6,0))),"★","")</f>
        <v/>
      </c>
      <c r="IZ46" s="929" t="str">
        <f>IF(ISNUMBER(SEARCH($A46,VLOOKUP(IZ$2,职业列表!$B$1:$G$370,6,0))),"★","")</f>
        <v/>
      </c>
      <c r="JA46" s="929" t="str">
        <f>IF(ISNUMBER(SEARCH($A46,VLOOKUP(JA$2,职业列表!$B$1:$G$370,6,0))),"★","")</f>
        <v/>
      </c>
      <c r="JB46" s="929" t="str">
        <f>IF(ISNUMBER(SEARCH($A46,VLOOKUP(JB$2,职业列表!$B$1:$G$370,6,0))),"★","")</f>
        <v/>
      </c>
      <c r="JC46" s="929" t="str">
        <f>IF(ISNUMBER(SEARCH($A46,VLOOKUP(JC$2,职业列表!$B$1:$G$370,6,0))),"★","")</f>
        <v/>
      </c>
      <c r="JD46" s="929" t="str">
        <f>IF(ISNUMBER(SEARCH($A46,VLOOKUP(JD$2,职业列表!$B$1:$G$370,6,0))),"★","")</f>
        <v/>
      </c>
      <c r="JE46" s="929" t="str">
        <f>IF(ISNUMBER(SEARCH($A46,VLOOKUP(JE$2,职业列表!$B$1:$G$370,6,0))),"★","")</f>
        <v/>
      </c>
      <c r="JF46" s="929" t="str">
        <f>IF(ISNUMBER(SEARCH($A46,VLOOKUP(JF$2,职业列表!$B$1:$G$370,6,0))),"★","")</f>
        <v/>
      </c>
      <c r="JG46" s="929" t="str">
        <f>IF(ISNUMBER(SEARCH($A46,VLOOKUP(JG$2,职业列表!$B$1:$G$370,6,0))),"★","")</f>
        <v/>
      </c>
      <c r="JH46" s="929" t="str">
        <f>IF(ISNUMBER(SEARCH($A46,VLOOKUP(JH$2,职业列表!$B$1:$G$370,6,0))),"★","")</f>
        <v/>
      </c>
      <c r="JI46" s="929" t="str">
        <f>IF(ISNUMBER(SEARCH($A46,VLOOKUP(JI$2,职业列表!$B$1:$G$370,6,0))),"★","")</f>
        <v/>
      </c>
      <c r="JJ46" s="929" t="str">
        <f>IF(ISNUMBER(SEARCH($A46,VLOOKUP(JJ$2,职业列表!$B$1:$G$370,6,0))),"★","")</f>
        <v/>
      </c>
      <c r="JK46" s="929" t="str">
        <f>IF(ISNUMBER(SEARCH($A46,VLOOKUP(JK$2,职业列表!$B$1:$G$370,6,0))),"★","")</f>
        <v/>
      </c>
      <c r="JL46" s="929" t="str">
        <f>IF(ISNUMBER(SEARCH($A46,VLOOKUP(JL$2,职业列表!$B$1:$G$370,6,0))),"★","")</f>
        <v/>
      </c>
      <c r="JM46" s="929" t="str">
        <f>IF(ISNUMBER(SEARCH($A46,VLOOKUP(JM$2,职业列表!$B$1:$G$370,6,0))),"★","")</f>
        <v/>
      </c>
      <c r="JN46" s="929" t="str">
        <f>IF(ISNUMBER(SEARCH($A46,VLOOKUP(JN$2,职业列表!$B$1:$G$370,6,0))),"★","")</f>
        <v/>
      </c>
      <c r="JO46" s="929" t="str">
        <f>IF(ISNUMBER(SEARCH($A46,VLOOKUP(JO$2,职业列表!$B$1:$G$370,6,0))),"★","")</f>
        <v>★</v>
      </c>
      <c r="JP46" s="929" t="str">
        <f>IF(ISNUMBER(SEARCH($A46,VLOOKUP(JP$2,职业列表!$B$1:$G$370,6,0))),"★","")</f>
        <v/>
      </c>
      <c r="JQ46" s="929" t="str">
        <f>IF(ISNUMBER(SEARCH($A46,VLOOKUP(JQ$2,职业列表!$B$1:$G$370,6,0))),"★","")</f>
        <v/>
      </c>
      <c r="JR46" s="929" t="str">
        <f>IF(ISNUMBER(SEARCH($A46,VLOOKUP(JR$2,职业列表!$B$1:$G$370,6,0))),"★","")</f>
        <v/>
      </c>
      <c r="JS46" s="929" t="str">
        <f>IF(ISNUMBER(SEARCH($A46,VLOOKUP(JS$2,职业列表!$B$1:$G$370,6,0))),"★","")</f>
        <v>★</v>
      </c>
      <c r="JT46" s="929" t="str">
        <f>IF(ISNUMBER(SEARCH($A46,VLOOKUP(JT$2,职业列表!$B$1:$G$370,6,0))),"★","")</f>
        <v/>
      </c>
      <c r="JU46" s="929" t="str">
        <f>IF(ISNUMBER(SEARCH($A46,VLOOKUP(JU$2,职业列表!$B$1:$G$370,6,0))),"★","")</f>
        <v/>
      </c>
      <c r="JV46" s="929" t="str">
        <f>IF(ISNUMBER(SEARCH($A46,VLOOKUP(JV$2,职业列表!$B$1:$G$370,6,0))),"★","")</f>
        <v>★</v>
      </c>
      <c r="JW46" s="929" t="str">
        <f>IF(ISNUMBER(SEARCH($A46,VLOOKUP(JW$2,职业列表!$B$1:$G$370,6,0))),"★","")</f>
        <v>★</v>
      </c>
      <c r="JX46" s="929" t="str">
        <f>IF(ISNUMBER(SEARCH($A46,VLOOKUP(JX$2,职业列表!$B$1:$G$370,6,0))),"★","")</f>
        <v/>
      </c>
      <c r="JY46" s="929" t="str">
        <f>IF(ISNUMBER(SEARCH($A46,VLOOKUP(JY$2,职业列表!$B$1:$G$370,6,0))),"★","")</f>
        <v>★</v>
      </c>
      <c r="JZ46" s="929" t="str">
        <f>IF(ISNUMBER(SEARCH($A46,VLOOKUP(JZ$2,职业列表!$B$1:$G$370,6,0))),"★","")</f>
        <v>★</v>
      </c>
      <c r="KA46" s="929" t="str">
        <f>IF(ISNUMBER(SEARCH($A46,VLOOKUP(KA$2,职业列表!$B$1:$G$370,6,0))),"★","")</f>
        <v/>
      </c>
      <c r="KB46" s="929" t="str">
        <f>IF(ISNUMBER(SEARCH($A46,VLOOKUP(KB$2,职业列表!$B$1:$G$370,6,0))),"★","")</f>
        <v>★</v>
      </c>
      <c r="KC46" s="929" t="str">
        <f>IF(ISNUMBER(SEARCH($A46,VLOOKUP(KC$2,职业列表!$B$1:$G$370,6,0))),"★","")</f>
        <v/>
      </c>
      <c r="KD46" s="929" t="str">
        <f>IF(ISNUMBER(SEARCH($A46,VLOOKUP(KD$2,职业列表!$B$1:$G$370,6,0))),"★","")</f>
        <v/>
      </c>
      <c r="KE46" s="929" t="str">
        <f>IF(ISNUMBER(SEARCH($A46,VLOOKUP(KE$2,职业列表!$B$1:$G$370,6,0))),"★","")</f>
        <v/>
      </c>
      <c r="KF46" s="929" t="str">
        <f>IF(ISNUMBER(SEARCH($A46,VLOOKUP(KF$2,职业列表!$B$1:$G$370,6,0))),"★","")</f>
        <v/>
      </c>
      <c r="KG46" s="929" t="str">
        <f>IF(ISNUMBER(SEARCH($A46,VLOOKUP(KG$2,职业列表!$B$1:$G$370,6,0))),"★","")</f>
        <v/>
      </c>
      <c r="KH46" s="929" t="str">
        <f>IF(ISNUMBER(SEARCH($A46,VLOOKUP(KH$2,职业列表!$B$1:$G$370,6,0))),"★","")</f>
        <v>★</v>
      </c>
      <c r="KI46" s="929" t="str">
        <f>IF(ISNUMBER(SEARCH($A46,VLOOKUP(KI$2,职业列表!$B$1:$G$370,6,0))),"★","")</f>
        <v/>
      </c>
      <c r="KJ46" s="929" t="str">
        <f>IF(ISNUMBER(SEARCH($A46,VLOOKUP(KJ$2,职业列表!$B$1:$G$370,6,0))),"★","")</f>
        <v/>
      </c>
      <c r="KK46" s="929" t="str">
        <f>IF(ISNUMBER(SEARCH($A46,VLOOKUP(KK$2,职业列表!$B$1:$G$370,6,0))),"★","")</f>
        <v/>
      </c>
      <c r="KL46" s="929" t="str">
        <f>IF(ISNUMBER(SEARCH($A46,VLOOKUP(KL$2,职业列表!$B$1:$G$370,6,0))),"★","")</f>
        <v/>
      </c>
      <c r="KM46" s="929" t="str">
        <f>IF(ISNUMBER(SEARCH($A46,VLOOKUP(KM$2,职业列表!$B$1:$G$370,6,0))),"★","")</f>
        <v/>
      </c>
      <c r="KN46" s="929" t="str">
        <f>IF(ISNUMBER(SEARCH($A46,VLOOKUP(KN$2,职业列表!$B$1:$G$370,6,0))),"★","")</f>
        <v/>
      </c>
      <c r="KO46" s="929" t="str">
        <f>IF(ISNUMBER(SEARCH($A46,VLOOKUP(KO$2,职业列表!$B$1:$G$370,6,0))),"★","")</f>
        <v>★</v>
      </c>
      <c r="KP46" s="929" t="str">
        <f>IF(ISNUMBER(SEARCH($A46,VLOOKUP(KP$2,职业列表!$B$1:$G$370,6,0))),"★","")</f>
        <v/>
      </c>
      <c r="KQ46" s="929" t="str">
        <f>IF(ISNUMBER(SEARCH($A46,VLOOKUP(KQ$2,职业列表!$B$1:$G$370,6,0))),"★","")</f>
        <v/>
      </c>
      <c r="KR46" s="929" t="str">
        <f>IF(ISNUMBER(SEARCH($A46,VLOOKUP(KR$2,职业列表!$B$1:$G$370,6,0))),"★","")</f>
        <v>★</v>
      </c>
      <c r="KS46" s="929" t="str">
        <f>IF(ISNUMBER(SEARCH($A46,VLOOKUP(KS$2,职业列表!$B$1:$G$370,6,0))),"★","")</f>
        <v/>
      </c>
      <c r="KT46" s="929" t="str">
        <f>IF(ISNUMBER(SEARCH($A46,VLOOKUP(KT$2,职业列表!$B$1:$G$370,6,0))),"★","")</f>
        <v/>
      </c>
      <c r="KU46" s="929" t="str">
        <f>IF(ISNUMBER(SEARCH($A46,VLOOKUP(KU$2,职业列表!$B$1:$G$370,6,0))),"★","")</f>
        <v/>
      </c>
      <c r="KV46" s="929" t="str">
        <f>IF(ISNUMBER(SEARCH($A46,VLOOKUP(KV$2,职业列表!$B$1:$G$370,6,0))),"★","")</f>
        <v/>
      </c>
      <c r="KW46" s="929" t="str">
        <f>IF(ISNUMBER(SEARCH($A46,VLOOKUP(KW$2,职业列表!$B$1:$G$370,6,0))),"★","")</f>
        <v/>
      </c>
      <c r="KX46" s="929" t="str">
        <f>IF(ISNUMBER(SEARCH($A46,VLOOKUP(KX$2,职业列表!$B$1:$G$370,6,0))),"★","")</f>
        <v>★</v>
      </c>
      <c r="KY46" s="929" t="str">
        <f>IF(ISNUMBER(SEARCH($A46,VLOOKUP(KY$2,职业列表!$B$1:$G$370,6,0))),"★","")</f>
        <v/>
      </c>
      <c r="KZ46" s="929" t="str">
        <f>IF(ISNUMBER(SEARCH($A46,VLOOKUP(KZ$2,职业列表!$B$1:$G$370,6,0))),"★","")</f>
        <v>★</v>
      </c>
      <c r="LA46" s="929" t="str">
        <f>IF(ISNUMBER(SEARCH($A46,VLOOKUP(LA$2,职业列表!$B$1:$G$370,6,0))),"★","")</f>
        <v/>
      </c>
      <c r="LB46" s="929" t="str">
        <f>IF(ISNUMBER(SEARCH($A46,VLOOKUP(LB$2,职业列表!$B$1:$G$370,6,0))),"★","")</f>
        <v/>
      </c>
      <c r="LC46" s="929" t="str">
        <f>IF(ISNUMBER(SEARCH($A46,VLOOKUP(LC$2,职业列表!$B$1:$G$370,6,0))),"★","")</f>
        <v/>
      </c>
      <c r="LD46" s="929" t="str">
        <f>IF(ISNUMBER(SEARCH($A46,VLOOKUP(LD$2,职业列表!$B$1:$G$370,6,0))),"★","")</f>
        <v/>
      </c>
      <c r="LE46" s="929" t="str">
        <f>IF(ISNUMBER(SEARCH($A46,VLOOKUP(LE$2,职业列表!$B$1:$G$370,6,0))),"★","")</f>
        <v/>
      </c>
      <c r="LF46" s="929" t="str">
        <f>IF(ISNUMBER(SEARCH($A46,VLOOKUP(LF$2,职业列表!$B$1:$G$370,6,0))),"★","")</f>
        <v/>
      </c>
      <c r="LG46" s="929" t="str">
        <f>IF(ISNUMBER(SEARCH($A46,VLOOKUP(LG$2,职业列表!$B$1:$G$370,6,0))),"★","")</f>
        <v/>
      </c>
      <c r="LH46" s="929" t="str">
        <f>IF(ISNUMBER(SEARCH($A46,VLOOKUP(LH$2,职业列表!$B$1:$G$370,6,0))),"★","")</f>
        <v/>
      </c>
      <c r="LI46" s="929" t="str">
        <f>IF(ISNUMBER(SEARCH($A46,VLOOKUP(LI$2,职业列表!$B$1:$G$370,6,0))),"★","")</f>
        <v/>
      </c>
      <c r="LJ46" s="929" t="str">
        <f>IF(ISNUMBER(SEARCH($A46,VLOOKUP(LJ$2,职业列表!$B$1:$G$370,6,0))),"★","")</f>
        <v/>
      </c>
      <c r="LK46" s="929" t="str">
        <f>IF(ISNUMBER(SEARCH($A46,VLOOKUP(LK$2,职业列表!$B$1:$G$370,6,0))),"★","")</f>
        <v/>
      </c>
      <c r="LL46" s="929" t="str">
        <f>IF(ISNUMBER(SEARCH($A46,VLOOKUP(LL$2,职业列表!$B$1:$G$370,6,0))),"★","")</f>
        <v/>
      </c>
      <c r="LM46" s="929" t="str">
        <f>IF(ISNUMBER(SEARCH($A46,VLOOKUP(LM$2,职业列表!$B$1:$G$370,6,0))),"★","")</f>
        <v/>
      </c>
      <c r="LN46" s="929" t="str">
        <f>IF(ISNUMBER(SEARCH($A46,VLOOKUP(LN$2,职业列表!$B$1:$G$370,6,0))),"★","")</f>
        <v/>
      </c>
      <c r="LO46" s="929" t="str">
        <f>IF(ISNUMBER(SEARCH($A46,VLOOKUP(LO$2,职业列表!$B$1:$G$370,6,0))),"★","")</f>
        <v/>
      </c>
      <c r="LP46" s="929" t="str">
        <f>IF(ISNUMBER(SEARCH($A46,VLOOKUP(LP$2,职业列表!$B$1:$G$370,6,0))),"★","")</f>
        <v/>
      </c>
      <c r="LQ46" s="929" t="str">
        <f>IF(ISNUMBER(SEARCH($A46,VLOOKUP(LQ$2,职业列表!$B$1:$G$370,6,0))),"★","")</f>
        <v/>
      </c>
      <c r="LR46" s="929" t="str">
        <f>IF(ISNUMBER(SEARCH($A46,VLOOKUP(LR$2,职业列表!$B$1:$G$370,6,0))),"★","")</f>
        <v>★</v>
      </c>
      <c r="LS46" s="929" t="str">
        <f>IF(ISNUMBER(SEARCH($A46,VLOOKUP(LS$2,职业列表!$B$1:$G$370,6,0))),"★","")</f>
        <v/>
      </c>
      <c r="LT46" s="929" t="str">
        <f>IF(ISNUMBER(SEARCH($A46,VLOOKUP(LT$2,职业列表!$B$1:$G$370,6,0))),"★","")</f>
        <v/>
      </c>
      <c r="LU46" s="929" t="str">
        <f>IF(ISNUMBER(SEARCH($A46,VLOOKUP(LU$2,职业列表!$B$1:$G$370,6,0))),"★","")</f>
        <v/>
      </c>
      <c r="LV46" s="929" t="str">
        <f>IF(ISNUMBER(SEARCH($A46,VLOOKUP(LV$2,职业列表!$B$1:$G$370,6,0))),"★","")</f>
        <v/>
      </c>
      <c r="LW46" s="929" t="str">
        <f>IF(ISNUMBER(SEARCH($A46,VLOOKUP(LW$2,职业列表!$B$1:$G$370,6,0))),"★","")</f>
        <v/>
      </c>
      <c r="LX46" s="929" t="str">
        <f>IF(ISNUMBER(SEARCH($A46,VLOOKUP(LX$2,职业列表!$B$1:$G$370,6,0))),"★","")</f>
        <v/>
      </c>
      <c r="LY46" s="929" t="str">
        <f>IF(ISNUMBER(SEARCH($A46,VLOOKUP(LY$2,职业列表!$B$1:$G$370,6,0))),"★","")</f>
        <v/>
      </c>
      <c r="LZ46" s="929" t="str">
        <f>IF(ISNUMBER(SEARCH($A46,VLOOKUP(LZ$2,职业列表!$B$1:$G$370,6,0))),"★","")</f>
        <v/>
      </c>
      <c r="MA46" s="929" t="str">
        <f>IF(ISNUMBER(SEARCH($A46,VLOOKUP(MA$2,职业列表!$B$1:$G$370,6,0))),"★","")</f>
        <v/>
      </c>
      <c r="MB46" s="929" t="str">
        <f>IF(ISNUMBER(SEARCH($A46,VLOOKUP(MB$2,职业列表!$B$1:$G$370,6,0))),"★","")</f>
        <v/>
      </c>
      <c r="MC46" s="929" t="str">
        <f>IF(ISNUMBER(SEARCH($A46,VLOOKUP(MC$2,职业列表!$B$1:$G$370,6,0))),"★","")</f>
        <v/>
      </c>
      <c r="MD46" s="929" t="str">
        <f>IF(ISNUMBER(SEARCH($A46,VLOOKUP(MD$2,职业列表!$B$1:$G$370,6,0))),"★","")</f>
        <v/>
      </c>
      <c r="ME46" s="929" t="str">
        <f>IF(ISNUMBER(SEARCH($A46,VLOOKUP(ME$2,职业列表!$B$1:$G$370,6,0))),"★","")</f>
        <v/>
      </c>
      <c r="MF46" s="929" t="str">
        <f>IF(ISNUMBER(SEARCH($A46,VLOOKUP(MF$2,职业列表!$B$1:$G$370,6,0))),"★","")</f>
        <v/>
      </c>
      <c r="MG46" s="929" t="str">
        <f>IF(ISNUMBER(SEARCH($A46,VLOOKUP(MG$2,职业列表!$B$1:$G$370,6,0))),"★","")</f>
        <v/>
      </c>
      <c r="MH46" s="929" t="str">
        <f>IF(ISNUMBER(SEARCH($A46,VLOOKUP(MH$2,职业列表!$B$1:$G$370,6,0))),"★","")</f>
        <v/>
      </c>
      <c r="MI46" s="929" t="str">
        <f>IF(ISNUMBER(SEARCH($A46,VLOOKUP(MI$2,职业列表!$B$1:$G$370,6,0))),"★","")</f>
        <v/>
      </c>
      <c r="MJ46" s="929" t="str">
        <f>IF(ISNUMBER(SEARCH($A46,VLOOKUP(MJ$2,职业列表!$B$1:$G$370,6,0))),"★","")</f>
        <v/>
      </c>
      <c r="MK46" s="929" t="str">
        <f>IF(ISNUMBER(SEARCH($A46,VLOOKUP(MK$2,职业列表!$B$1:$G$370,6,0))),"★","")</f>
        <v/>
      </c>
      <c r="ML46" s="929" t="str">
        <f>IF(ISNUMBER(SEARCH($A46,VLOOKUP(ML$2,职业列表!$B$1:$G$370,6,0))),"★","")</f>
        <v/>
      </c>
      <c r="MM46" s="929" t="str">
        <f>IF(ISNUMBER(SEARCH($A46,VLOOKUP(MM$2,职业列表!$B$1:$G$370,6,0))),"★","")</f>
        <v/>
      </c>
      <c r="MN46" s="929" t="str">
        <f>IF(ISNUMBER(SEARCH($A46,VLOOKUP(MN$2,职业列表!$B$1:$G$370,6,0))),"★","")</f>
        <v/>
      </c>
      <c r="MO46" s="929" t="str">
        <f>IF(ISNUMBER(SEARCH($A46,VLOOKUP(MO$2,职业列表!$B$1:$G$370,6,0))),"★","")</f>
        <v>★</v>
      </c>
      <c r="MP46" s="929" t="str">
        <f>IF(ISNUMBER(SEARCH($A46,VLOOKUP(MP$2,职业列表!$B$1:$G$370,6,0))),"★","")</f>
        <v/>
      </c>
      <c r="MQ46" s="929" t="str">
        <f>IF(ISNUMBER(SEARCH($A46,VLOOKUP(MQ$2,职业列表!$B$1:$G$370,6,0))),"★","")</f>
        <v/>
      </c>
      <c r="MR46" s="929" t="str">
        <f>IF(ISNUMBER(SEARCH($A46,VLOOKUP(MR$2,职业列表!$B$1:$G$370,6,0))),"★","")</f>
        <v/>
      </c>
      <c r="MS46" s="929" t="str">
        <f>IF(ISNUMBER(SEARCH($A46,VLOOKUP(MS$2,职业列表!$B$1:$G$370,6,0))),"★","")</f>
        <v/>
      </c>
      <c r="MT46" s="929" t="str">
        <f>IF(ISNUMBER(SEARCH($A46,VLOOKUP(MT$2,职业列表!$B$1:$G$370,6,0))),"★","")</f>
        <v/>
      </c>
      <c r="MU46" s="929" t="str">
        <f>IF(ISNUMBER(SEARCH($A46,VLOOKUP(MU$2,职业列表!$B$1:$G$370,6,0))),"★","")</f>
        <v/>
      </c>
      <c r="MV46" s="929" t="str">
        <f>IF(ISNUMBER(SEARCH($A46,VLOOKUP(MV$2,职业列表!$B$1:$G$370,6,0))),"★","")</f>
        <v/>
      </c>
      <c r="MW46" s="929" t="str">
        <f>IF(ISNUMBER(SEARCH($A46,VLOOKUP(MW$2,职业列表!$B$1:$G$370,6,0))),"★","")</f>
        <v/>
      </c>
      <c r="MX46" s="929" t="str">
        <f>IF(ISNUMBER(SEARCH($A46,VLOOKUP(MX$2,职业列表!$B$1:$G$370,6,0))),"★","")</f>
        <v>★</v>
      </c>
      <c r="MY46" s="929" t="str">
        <f>IF(ISNUMBER(SEARCH($A46,VLOOKUP(MY$2,职业列表!$B$1:$G$370,6,0))),"★","")</f>
        <v/>
      </c>
      <c r="MZ46" s="929" t="str">
        <f>IF(ISNUMBER(SEARCH($A46,VLOOKUP(MZ$2,职业列表!$B$1:$G$370,6,0))),"★","")</f>
        <v/>
      </c>
      <c r="NA46" s="929" t="str">
        <f>IF(ISNUMBER(SEARCH($A46,VLOOKUP(NA$2,职业列表!$B$1:$G$370,6,0))),"★","")</f>
        <v/>
      </c>
      <c r="NB46" s="929" t="str">
        <f>IF(ISNUMBER(SEARCH($A46,VLOOKUP(NB$2,职业列表!$B$1:$G$370,6,0))),"★","")</f>
        <v/>
      </c>
      <c r="NC46" s="929" t="str">
        <f>IF(ISNUMBER(SEARCH($A46,VLOOKUP(NC$2,职业列表!$B$1:$G$370,6,0))),"★","")</f>
        <v/>
      </c>
      <c r="ND46" s="929" t="str">
        <f>IF(ISNUMBER(SEARCH($A46,VLOOKUP(ND$2,职业列表!$B$1:$G$370,6,0))),"★","")</f>
        <v/>
      </c>
      <c r="NE46" s="929" t="str">
        <f>IF(ISNUMBER(SEARCH($A46,VLOOKUP(NE$2,职业列表!$B$1:$G$370,6,0))),"★","")</f>
        <v/>
      </c>
    </row>
    <row r="47" customFormat="1" spans="1:369">
      <c r="A47" s="932" t="s">
        <v>77</v>
      </c>
      <c r="B47" s="939" t="str">
        <f>IF(OR(A47="说服",A47="话术",A47="取悦",A47="恐吓"),"☯",IF(ISNUMBER(SEARCH(A47,VLOOKUP(IX$2,职业列表!$B$1:$G$370,6,0))),"★",""))</f>
        <v/>
      </c>
      <c r="C47" s="940" t="str">
        <f>IF(ISTEXT(IFERROR(VLOOKUP(A47,职业列表!I3:J10,1,FALSE),0)),"★","")</f>
        <v/>
      </c>
      <c r="D47" s="939"/>
      <c r="E47" s="939"/>
      <c r="F47" s="939"/>
      <c r="G47" s="939"/>
      <c r="H47" s="939"/>
      <c r="I47" s="939"/>
      <c r="J47" s="939" t="s">
        <v>74</v>
      </c>
      <c r="K47" s="939"/>
      <c r="L47" s="939"/>
      <c r="M47" s="939"/>
      <c r="N47" s="939"/>
      <c r="O47" s="939" t="s">
        <v>2716</v>
      </c>
      <c r="P47" s="939"/>
      <c r="Q47" s="939"/>
      <c r="R47" s="939" t="s">
        <v>2716</v>
      </c>
      <c r="S47" s="939"/>
      <c r="T47" s="939" t="s">
        <v>74</v>
      </c>
      <c r="U47" s="939"/>
      <c r="V47" s="939"/>
      <c r="W47" s="939"/>
      <c r="X47" s="939"/>
      <c r="Y47" s="939"/>
      <c r="Z47" s="939"/>
      <c r="AA47" s="939"/>
      <c r="AB47" s="939" t="s">
        <v>2716</v>
      </c>
      <c r="AC47" s="939" t="s">
        <v>74</v>
      </c>
      <c r="AD47" s="939"/>
      <c r="AE47" s="939"/>
      <c r="AF47" s="939"/>
      <c r="AG47" s="939"/>
      <c r="AH47" s="939"/>
      <c r="AI47" s="939"/>
      <c r="AJ47" s="939"/>
      <c r="AK47" s="939"/>
      <c r="AL47" s="939"/>
      <c r="AM47" s="939"/>
      <c r="AN47" s="939"/>
      <c r="AO47" s="939"/>
      <c r="AP47" s="939"/>
      <c r="AQ47" s="939"/>
      <c r="AR47" s="939"/>
      <c r="AS47" s="939"/>
      <c r="AT47" s="939"/>
      <c r="AU47" s="939"/>
      <c r="AV47" s="939"/>
      <c r="AW47" s="939"/>
      <c r="AX47" s="939"/>
      <c r="AY47" s="939"/>
      <c r="AZ47" s="939"/>
      <c r="BA47" s="939"/>
      <c r="BB47" s="939"/>
      <c r="BC47" s="939" t="s">
        <v>74</v>
      </c>
      <c r="BD47" s="939" t="s">
        <v>74</v>
      </c>
      <c r="BE47" s="939"/>
      <c r="BF47" s="939"/>
      <c r="BG47" s="939"/>
      <c r="BH47" s="939"/>
      <c r="BI47" s="939"/>
      <c r="BJ47" s="939"/>
      <c r="BK47" s="939"/>
      <c r="BL47" s="939"/>
      <c r="BM47" s="939"/>
      <c r="BN47" s="939"/>
      <c r="BO47" s="939"/>
      <c r="BP47" s="939"/>
      <c r="BQ47" s="939"/>
      <c r="BR47" s="939"/>
      <c r="BS47" s="954"/>
      <c r="BT47" s="939" t="s">
        <v>2716</v>
      </c>
      <c r="BU47" s="939"/>
      <c r="BV47" s="939"/>
      <c r="BW47" s="939"/>
      <c r="BX47" s="939"/>
      <c r="BY47" s="939"/>
      <c r="BZ47" s="939" t="s">
        <v>74</v>
      </c>
      <c r="CA47" s="939"/>
      <c r="CB47" s="939"/>
      <c r="CC47" s="939"/>
      <c r="CD47" s="939"/>
      <c r="CE47" s="939"/>
      <c r="CF47" s="939" t="s">
        <v>74</v>
      </c>
      <c r="CG47" s="939"/>
      <c r="CH47" s="939"/>
      <c r="CI47" s="939"/>
      <c r="CJ47" s="939"/>
      <c r="CK47" s="939"/>
      <c r="CL47" s="939"/>
      <c r="CM47" s="939"/>
      <c r="CN47" s="939"/>
      <c r="CO47" s="939"/>
      <c r="CP47" s="939"/>
      <c r="CQ47" s="939"/>
      <c r="CR47" s="939"/>
      <c r="CS47" s="939"/>
      <c r="CT47" s="939"/>
      <c r="CU47" s="939"/>
      <c r="CV47" s="939"/>
      <c r="CW47" s="939" t="s">
        <v>74</v>
      </c>
      <c r="CX47" s="939"/>
      <c r="CY47" s="939"/>
      <c r="CZ47" s="939"/>
      <c r="DA47" s="939"/>
      <c r="DB47" s="939"/>
      <c r="DC47" s="939"/>
      <c r="DD47" s="939"/>
      <c r="DE47" s="939"/>
      <c r="DF47" s="939" t="s">
        <v>74</v>
      </c>
      <c r="DG47" s="939"/>
      <c r="DH47" s="939"/>
      <c r="DI47" s="939"/>
      <c r="DJ47" s="939"/>
      <c r="DK47" s="939"/>
      <c r="DL47" s="939"/>
      <c r="DM47" s="939" t="s">
        <v>74</v>
      </c>
      <c r="DN47" s="939"/>
      <c r="DO47" s="939"/>
      <c r="DP47" s="939"/>
      <c r="DQ47" s="939"/>
      <c r="DR47" s="939"/>
      <c r="DS47" s="939"/>
      <c r="DT47" s="939"/>
      <c r="DU47" s="939"/>
      <c r="DV47" s="939"/>
      <c r="DW47" s="939"/>
      <c r="DX47" s="939"/>
      <c r="DY47" s="939"/>
      <c r="DZ47" s="939"/>
      <c r="EA47" s="939"/>
      <c r="EB47" s="939"/>
      <c r="EC47" s="939"/>
      <c r="ED47" s="939"/>
      <c r="EE47" s="939"/>
      <c r="EF47" s="939"/>
      <c r="EG47" s="939"/>
      <c r="EH47" s="939"/>
      <c r="EI47" s="939"/>
      <c r="EJ47" s="939"/>
      <c r="EK47" s="939"/>
      <c r="EL47" s="939"/>
      <c r="EM47" s="939"/>
      <c r="EN47" s="939"/>
      <c r="EO47" s="939"/>
      <c r="EP47" s="939"/>
      <c r="EQ47" s="939"/>
      <c r="ER47" s="939"/>
      <c r="ES47" s="939"/>
      <c r="ET47" s="939"/>
      <c r="EU47" s="939"/>
      <c r="EV47" s="939"/>
      <c r="EW47" s="939" t="s">
        <v>74</v>
      </c>
      <c r="EX47" s="939"/>
      <c r="EY47" s="939"/>
      <c r="EZ47" s="939"/>
      <c r="FA47" s="939"/>
      <c r="FB47" s="939"/>
      <c r="FC47" s="939"/>
      <c r="FD47" s="939"/>
      <c r="FE47" s="939"/>
      <c r="FF47" s="939"/>
      <c r="FG47" s="939"/>
      <c r="FH47" s="939" t="s">
        <v>74</v>
      </c>
      <c r="FI47" s="939"/>
      <c r="FJ47" s="939"/>
      <c r="FK47" s="939"/>
      <c r="FL47" s="939" t="s">
        <v>74</v>
      </c>
      <c r="FM47" s="939"/>
      <c r="FN47" s="939"/>
      <c r="FO47" s="939"/>
      <c r="FP47" s="939" t="s">
        <v>74</v>
      </c>
      <c r="FQ47" s="939"/>
      <c r="FR47" s="939"/>
      <c r="FS47" s="939"/>
      <c r="FT47" s="939" t="s">
        <v>74</v>
      </c>
      <c r="FU47" s="939"/>
      <c r="FV47" s="939"/>
      <c r="FW47" s="939"/>
      <c r="FX47" s="939"/>
      <c r="FY47" s="939"/>
      <c r="FZ47" s="939"/>
      <c r="GA47" s="939"/>
      <c r="GB47" s="939" t="s">
        <v>74</v>
      </c>
      <c r="GC47" s="939"/>
      <c r="GD47" s="939"/>
      <c r="GE47" s="939" t="s">
        <v>74</v>
      </c>
      <c r="GF47" s="939"/>
      <c r="GG47" s="939"/>
      <c r="GH47" s="939"/>
      <c r="GI47" s="939"/>
      <c r="GJ47" s="939"/>
      <c r="GK47" s="939"/>
      <c r="GL47" s="939"/>
      <c r="GM47" s="939"/>
      <c r="GN47" s="939"/>
      <c r="GO47" s="939"/>
      <c r="GP47" s="939"/>
      <c r="GQ47" s="939"/>
      <c r="GR47" s="939"/>
      <c r="GS47" s="939" t="s">
        <v>74</v>
      </c>
      <c r="GT47" s="939"/>
      <c r="GU47" s="939"/>
      <c r="GV47" s="939"/>
      <c r="GW47" s="939"/>
      <c r="GX47" s="939"/>
      <c r="GY47" s="939"/>
      <c r="GZ47" s="939"/>
      <c r="HA47" s="939"/>
      <c r="HB47" s="939"/>
      <c r="HC47" s="939"/>
      <c r="HD47" s="939" t="s">
        <v>74</v>
      </c>
      <c r="HE47" s="939"/>
      <c r="HF47" s="939"/>
      <c r="HG47" s="939"/>
      <c r="HH47" s="939"/>
      <c r="HI47" s="939"/>
      <c r="HJ47" s="939"/>
      <c r="HK47" s="939"/>
      <c r="HL47" s="939" t="s">
        <v>74</v>
      </c>
      <c r="HM47" s="939"/>
      <c r="HN47" s="939"/>
      <c r="HO47" s="939"/>
      <c r="HP47" s="939"/>
      <c r="HQ47" s="939"/>
      <c r="HR47" s="939"/>
      <c r="HS47" s="939"/>
      <c r="HT47" s="939"/>
      <c r="HU47" s="939"/>
      <c r="HV47" s="939"/>
      <c r="HW47" s="939"/>
      <c r="HX47" s="990"/>
      <c r="HY47" s="1012"/>
      <c r="HZ47" s="1012"/>
      <c r="IA47" s="939" t="s">
        <v>74</v>
      </c>
      <c r="IB47" s="1012"/>
      <c r="IC47" s="1013"/>
      <c r="ID47" s="1013"/>
      <c r="IE47" s="1012"/>
      <c r="IF47" s="1012"/>
      <c r="IG47" s="1012"/>
      <c r="IH47" s="1012"/>
      <c r="II47" s="1012"/>
      <c r="IJ47" s="1012"/>
      <c r="IK47" s="1012"/>
      <c r="IL47" s="1012"/>
      <c r="IM47" s="1012"/>
      <c r="IN47" s="1012"/>
      <c r="IO47" s="1012"/>
      <c r="IP47" s="1013"/>
      <c r="IQ47" s="1013"/>
      <c r="IR47" s="1012"/>
      <c r="IS47" s="1012"/>
      <c r="IT47" s="1012"/>
      <c r="IU47" s="1012"/>
      <c r="IV47" s="1012"/>
      <c r="IW47" s="929"/>
      <c r="IX47" s="929" t="str">
        <f>IF(ISNUMBER(SEARCH($A47,VLOOKUP(IX$2,职业列表!$B$1:$G$370,6,0))),"★","")</f>
        <v/>
      </c>
      <c r="IY47" s="929" t="str">
        <f>IF(ISNUMBER(SEARCH($A47,VLOOKUP(IY$2,职业列表!$B$1:$G$370,6,0))),"★","")</f>
        <v/>
      </c>
      <c r="IZ47" s="929" t="str">
        <f>IF(ISNUMBER(SEARCH($A47,VLOOKUP(IZ$2,职业列表!$B$1:$G$370,6,0))),"★","")</f>
        <v/>
      </c>
      <c r="JA47" s="929" t="str">
        <f>IF(ISNUMBER(SEARCH($A47,VLOOKUP(JA$2,职业列表!$B$1:$G$370,6,0))),"★","")</f>
        <v/>
      </c>
      <c r="JB47" s="929" t="str">
        <f>IF(ISNUMBER(SEARCH($A47,VLOOKUP(JB$2,职业列表!$B$1:$G$370,6,0))),"★","")</f>
        <v/>
      </c>
      <c r="JC47" s="929" t="str">
        <f>IF(ISNUMBER(SEARCH($A47,VLOOKUP(JC$2,职业列表!$B$1:$G$370,6,0))),"★","")</f>
        <v/>
      </c>
      <c r="JD47" s="929" t="str">
        <f>IF(ISNUMBER(SEARCH($A47,VLOOKUP(JD$2,职业列表!$B$1:$G$370,6,0))),"★","")</f>
        <v/>
      </c>
      <c r="JE47" s="929" t="str">
        <f>IF(ISNUMBER(SEARCH($A47,VLOOKUP(JE$2,职业列表!$B$1:$G$370,6,0))),"★","")</f>
        <v/>
      </c>
      <c r="JF47" s="929" t="str">
        <f>IF(ISNUMBER(SEARCH($A47,VLOOKUP(JF$2,职业列表!$B$1:$G$370,6,0))),"★","")</f>
        <v/>
      </c>
      <c r="JG47" s="929" t="str">
        <f>IF(ISNUMBER(SEARCH($A47,VLOOKUP(JG$2,职业列表!$B$1:$G$370,6,0))),"★","")</f>
        <v/>
      </c>
      <c r="JH47" s="929" t="str">
        <f>IF(ISNUMBER(SEARCH($A47,VLOOKUP(JH$2,职业列表!$B$1:$G$370,6,0))),"★","")</f>
        <v/>
      </c>
      <c r="JI47" s="929" t="str">
        <f>IF(ISNUMBER(SEARCH($A47,VLOOKUP(JI$2,职业列表!$B$1:$G$370,6,0))),"★","")</f>
        <v/>
      </c>
      <c r="JJ47" s="929" t="str">
        <f>IF(ISNUMBER(SEARCH($A47,VLOOKUP(JJ$2,职业列表!$B$1:$G$370,6,0))),"★","")</f>
        <v/>
      </c>
      <c r="JK47" s="929" t="str">
        <f>IF(ISNUMBER(SEARCH($A47,VLOOKUP(JK$2,职业列表!$B$1:$G$370,6,0))),"★","")</f>
        <v/>
      </c>
      <c r="JL47" s="929" t="str">
        <f>IF(ISNUMBER(SEARCH($A47,VLOOKUP(JL$2,职业列表!$B$1:$G$370,6,0))),"★","")</f>
        <v/>
      </c>
      <c r="JM47" s="929" t="str">
        <f>IF(ISNUMBER(SEARCH($A47,VLOOKUP(JM$2,职业列表!$B$1:$G$370,6,0))),"★","")</f>
        <v/>
      </c>
      <c r="JN47" s="929" t="str">
        <f>IF(ISNUMBER(SEARCH($A47,VLOOKUP(JN$2,职业列表!$B$1:$G$370,6,0))),"★","")</f>
        <v/>
      </c>
      <c r="JO47" s="929" t="str">
        <f>IF(ISNUMBER(SEARCH($A47,VLOOKUP(JO$2,职业列表!$B$1:$G$370,6,0))),"★","")</f>
        <v/>
      </c>
      <c r="JP47" s="929" t="str">
        <f>IF(ISNUMBER(SEARCH($A47,VLOOKUP(JP$2,职业列表!$B$1:$G$370,6,0))),"★","")</f>
        <v/>
      </c>
      <c r="JQ47" s="929" t="str">
        <f>IF(ISNUMBER(SEARCH($A47,VLOOKUP(JQ$2,职业列表!$B$1:$G$370,6,0))),"★","")</f>
        <v/>
      </c>
      <c r="JR47" s="929" t="str">
        <f>IF(ISNUMBER(SEARCH($A47,VLOOKUP(JR$2,职业列表!$B$1:$G$370,6,0))),"★","")</f>
        <v/>
      </c>
      <c r="JS47" s="929" t="str">
        <f>IF(ISNUMBER(SEARCH($A47,VLOOKUP(JS$2,职业列表!$B$1:$G$370,6,0))),"★","")</f>
        <v/>
      </c>
      <c r="JT47" s="929" t="str">
        <f>IF(ISNUMBER(SEARCH($A47,VLOOKUP(JT$2,职业列表!$B$1:$G$370,6,0))),"★","")</f>
        <v/>
      </c>
      <c r="JU47" s="929" t="str">
        <f>IF(ISNUMBER(SEARCH($A47,VLOOKUP(JU$2,职业列表!$B$1:$G$370,6,0))),"★","")</f>
        <v/>
      </c>
      <c r="JV47" s="929" t="str">
        <f>IF(ISNUMBER(SEARCH($A47,VLOOKUP(JV$2,职业列表!$B$1:$G$370,6,0))),"★","")</f>
        <v/>
      </c>
      <c r="JW47" s="929" t="str">
        <f>IF(ISNUMBER(SEARCH($A47,VLOOKUP(JW$2,职业列表!$B$1:$G$370,6,0))),"★","")</f>
        <v/>
      </c>
      <c r="JX47" s="929" t="str">
        <f>IF(ISNUMBER(SEARCH($A47,VLOOKUP(JX$2,职业列表!$B$1:$G$370,6,0))),"★","")</f>
        <v/>
      </c>
      <c r="JY47" s="929" t="str">
        <f>IF(ISNUMBER(SEARCH($A47,VLOOKUP(JY$2,职业列表!$B$1:$G$370,6,0))),"★","")</f>
        <v/>
      </c>
      <c r="JZ47" s="929" t="str">
        <f>IF(ISNUMBER(SEARCH($A47,VLOOKUP(JZ$2,职业列表!$B$1:$G$370,6,0))),"★","")</f>
        <v/>
      </c>
      <c r="KA47" s="929" t="str">
        <f>IF(ISNUMBER(SEARCH($A47,VLOOKUP(KA$2,职业列表!$B$1:$G$370,6,0))),"★","")</f>
        <v/>
      </c>
      <c r="KB47" s="929" t="str">
        <f>IF(ISNUMBER(SEARCH($A47,VLOOKUP(KB$2,职业列表!$B$1:$G$370,6,0))),"★","")</f>
        <v/>
      </c>
      <c r="KC47" s="929" t="str">
        <f>IF(ISNUMBER(SEARCH($A47,VLOOKUP(KC$2,职业列表!$B$1:$G$370,6,0))),"★","")</f>
        <v/>
      </c>
      <c r="KD47" s="929" t="str">
        <f>IF(ISNUMBER(SEARCH($A47,VLOOKUP(KD$2,职业列表!$B$1:$G$370,6,0))),"★","")</f>
        <v/>
      </c>
      <c r="KE47" s="929" t="str">
        <f>IF(ISNUMBER(SEARCH($A47,VLOOKUP(KE$2,职业列表!$B$1:$G$370,6,0))),"★","")</f>
        <v/>
      </c>
      <c r="KF47" s="929" t="str">
        <f>IF(ISNUMBER(SEARCH($A47,VLOOKUP(KF$2,职业列表!$B$1:$G$370,6,0))),"★","")</f>
        <v/>
      </c>
      <c r="KG47" s="929" t="str">
        <f>IF(ISNUMBER(SEARCH($A47,VLOOKUP(KG$2,职业列表!$B$1:$G$370,6,0))),"★","")</f>
        <v/>
      </c>
      <c r="KH47" s="929" t="str">
        <f>IF(ISNUMBER(SEARCH($A47,VLOOKUP(KH$2,职业列表!$B$1:$G$370,6,0))),"★","")</f>
        <v/>
      </c>
      <c r="KI47" s="929" t="str">
        <f>IF(ISNUMBER(SEARCH($A47,VLOOKUP(KI$2,职业列表!$B$1:$G$370,6,0))),"★","")</f>
        <v/>
      </c>
      <c r="KJ47" s="929" t="str">
        <f>IF(ISNUMBER(SEARCH($A47,VLOOKUP(KJ$2,职业列表!$B$1:$G$370,6,0))),"★","")</f>
        <v/>
      </c>
      <c r="KK47" s="929" t="str">
        <f>IF(ISNUMBER(SEARCH($A47,VLOOKUP(KK$2,职业列表!$B$1:$G$370,6,0))),"★","")</f>
        <v/>
      </c>
      <c r="KL47" s="929" t="str">
        <f>IF(ISNUMBER(SEARCH($A47,VLOOKUP(KL$2,职业列表!$B$1:$G$370,6,0))),"★","")</f>
        <v/>
      </c>
      <c r="KM47" s="929" t="str">
        <f>IF(ISNUMBER(SEARCH($A47,VLOOKUP(KM$2,职业列表!$B$1:$G$370,6,0))),"★","")</f>
        <v/>
      </c>
      <c r="KN47" s="929" t="str">
        <f>IF(ISNUMBER(SEARCH($A47,VLOOKUP(KN$2,职业列表!$B$1:$G$370,6,0))),"★","")</f>
        <v/>
      </c>
      <c r="KO47" s="929" t="str">
        <f>IF(ISNUMBER(SEARCH($A47,VLOOKUP(KO$2,职业列表!$B$1:$G$370,6,0))),"★","")</f>
        <v/>
      </c>
      <c r="KP47" s="929" t="str">
        <f>IF(ISNUMBER(SEARCH($A47,VLOOKUP(KP$2,职业列表!$B$1:$G$370,6,0))),"★","")</f>
        <v/>
      </c>
      <c r="KQ47" s="929" t="str">
        <f>IF(ISNUMBER(SEARCH($A47,VLOOKUP(KQ$2,职业列表!$B$1:$G$370,6,0))),"★","")</f>
        <v/>
      </c>
      <c r="KR47" s="929" t="str">
        <f>IF(ISNUMBER(SEARCH($A47,VLOOKUP(KR$2,职业列表!$B$1:$G$370,6,0))),"★","")</f>
        <v/>
      </c>
      <c r="KS47" s="929" t="str">
        <f>IF(ISNUMBER(SEARCH($A47,VLOOKUP(KS$2,职业列表!$B$1:$G$370,6,0))),"★","")</f>
        <v/>
      </c>
      <c r="KT47" s="929" t="str">
        <f>IF(ISNUMBER(SEARCH($A47,VLOOKUP(KT$2,职业列表!$B$1:$G$370,6,0))),"★","")</f>
        <v/>
      </c>
      <c r="KU47" s="929" t="str">
        <f>IF(ISNUMBER(SEARCH($A47,VLOOKUP(KU$2,职业列表!$B$1:$G$370,6,0))),"★","")</f>
        <v/>
      </c>
      <c r="KV47" s="929" t="str">
        <f>IF(ISNUMBER(SEARCH($A47,VLOOKUP(KV$2,职业列表!$B$1:$G$370,6,0))),"★","")</f>
        <v/>
      </c>
      <c r="KW47" s="929" t="str">
        <f>IF(ISNUMBER(SEARCH($A47,VLOOKUP(KW$2,职业列表!$B$1:$G$370,6,0))),"★","")</f>
        <v/>
      </c>
      <c r="KX47" s="929" t="str">
        <f>IF(ISNUMBER(SEARCH($A47,VLOOKUP(KX$2,职业列表!$B$1:$G$370,6,0))),"★","")</f>
        <v/>
      </c>
      <c r="KY47" s="929" t="str">
        <f>IF(ISNUMBER(SEARCH($A47,VLOOKUP(KY$2,职业列表!$B$1:$G$370,6,0))),"★","")</f>
        <v/>
      </c>
      <c r="KZ47" s="929" t="str">
        <f>IF(ISNUMBER(SEARCH($A47,VLOOKUP(KZ$2,职业列表!$B$1:$G$370,6,0))),"★","")</f>
        <v/>
      </c>
      <c r="LA47" s="929" t="str">
        <f>IF(ISNUMBER(SEARCH($A47,VLOOKUP(LA$2,职业列表!$B$1:$G$370,6,0))),"★","")</f>
        <v/>
      </c>
      <c r="LB47" s="929" t="str">
        <f>IF(ISNUMBER(SEARCH($A47,VLOOKUP(LB$2,职业列表!$B$1:$G$370,6,0))),"★","")</f>
        <v/>
      </c>
      <c r="LC47" s="929" t="str">
        <f>IF(ISNUMBER(SEARCH($A47,VLOOKUP(LC$2,职业列表!$B$1:$G$370,6,0))),"★","")</f>
        <v/>
      </c>
      <c r="LD47" s="929" t="str">
        <f>IF(ISNUMBER(SEARCH($A47,VLOOKUP(LD$2,职业列表!$B$1:$G$370,6,0))),"★","")</f>
        <v/>
      </c>
      <c r="LE47" s="929" t="str">
        <f>IF(ISNUMBER(SEARCH($A47,VLOOKUP(LE$2,职业列表!$B$1:$G$370,6,0))),"★","")</f>
        <v/>
      </c>
      <c r="LF47" s="929" t="str">
        <f>IF(ISNUMBER(SEARCH($A47,VLOOKUP(LF$2,职业列表!$B$1:$G$370,6,0))),"★","")</f>
        <v/>
      </c>
      <c r="LG47" s="929" t="str">
        <f>IF(ISNUMBER(SEARCH($A47,VLOOKUP(LG$2,职业列表!$B$1:$G$370,6,0))),"★","")</f>
        <v/>
      </c>
      <c r="LH47" s="929" t="str">
        <f>IF(ISNUMBER(SEARCH($A47,VLOOKUP(LH$2,职业列表!$B$1:$G$370,6,0))),"★","")</f>
        <v/>
      </c>
      <c r="LI47" s="929" t="str">
        <f>IF(ISNUMBER(SEARCH($A47,VLOOKUP(LI$2,职业列表!$B$1:$G$370,6,0))),"★","")</f>
        <v/>
      </c>
      <c r="LJ47" s="929" t="str">
        <f>IF(ISNUMBER(SEARCH($A47,VLOOKUP(LJ$2,职业列表!$B$1:$G$370,6,0))),"★","")</f>
        <v/>
      </c>
      <c r="LK47" s="929" t="str">
        <f>IF(ISNUMBER(SEARCH($A47,VLOOKUP(LK$2,职业列表!$B$1:$G$370,6,0))),"★","")</f>
        <v/>
      </c>
      <c r="LL47" s="929" t="str">
        <f>IF(ISNUMBER(SEARCH($A47,VLOOKUP(LL$2,职业列表!$B$1:$G$370,6,0))),"★","")</f>
        <v/>
      </c>
      <c r="LM47" s="929" t="str">
        <f>IF(ISNUMBER(SEARCH($A47,VLOOKUP(LM$2,职业列表!$B$1:$G$370,6,0))),"★","")</f>
        <v/>
      </c>
      <c r="LN47" s="929" t="str">
        <f>IF(ISNUMBER(SEARCH($A47,VLOOKUP(LN$2,职业列表!$B$1:$G$370,6,0))),"★","")</f>
        <v/>
      </c>
      <c r="LO47" s="929" t="str">
        <f>IF(ISNUMBER(SEARCH($A47,VLOOKUP(LO$2,职业列表!$B$1:$G$370,6,0))),"★","")</f>
        <v/>
      </c>
      <c r="LP47" s="929" t="str">
        <f>IF(ISNUMBER(SEARCH($A47,VLOOKUP(LP$2,职业列表!$B$1:$G$370,6,0))),"★","")</f>
        <v/>
      </c>
      <c r="LQ47" s="929" t="str">
        <f>IF(ISNUMBER(SEARCH($A47,VLOOKUP(LQ$2,职业列表!$B$1:$G$370,6,0))),"★","")</f>
        <v/>
      </c>
      <c r="LR47" s="929" t="str">
        <f>IF(ISNUMBER(SEARCH($A47,VLOOKUP(LR$2,职业列表!$B$1:$G$370,6,0))),"★","")</f>
        <v/>
      </c>
      <c r="LS47" s="929" t="str">
        <f>IF(ISNUMBER(SEARCH($A47,VLOOKUP(LS$2,职业列表!$B$1:$G$370,6,0))),"★","")</f>
        <v/>
      </c>
      <c r="LT47" s="929" t="str">
        <f>IF(ISNUMBER(SEARCH($A47,VLOOKUP(LT$2,职业列表!$B$1:$G$370,6,0))),"★","")</f>
        <v/>
      </c>
      <c r="LU47" s="929" t="str">
        <f>IF(ISNUMBER(SEARCH($A47,VLOOKUP(LU$2,职业列表!$B$1:$G$370,6,0))),"★","")</f>
        <v/>
      </c>
      <c r="LV47" s="929" t="str">
        <f>IF(ISNUMBER(SEARCH($A47,VLOOKUP(LV$2,职业列表!$B$1:$G$370,6,0))),"★","")</f>
        <v/>
      </c>
      <c r="LW47" s="929" t="str">
        <f>IF(ISNUMBER(SEARCH($A47,VLOOKUP(LW$2,职业列表!$B$1:$G$370,6,0))),"★","")</f>
        <v/>
      </c>
      <c r="LX47" s="929" t="str">
        <f>IF(ISNUMBER(SEARCH($A47,VLOOKUP(LX$2,职业列表!$B$1:$G$370,6,0))),"★","")</f>
        <v/>
      </c>
      <c r="LY47" s="929" t="str">
        <f>IF(ISNUMBER(SEARCH($A47,VLOOKUP(LY$2,职业列表!$B$1:$G$370,6,0))),"★","")</f>
        <v/>
      </c>
      <c r="LZ47" s="929" t="str">
        <f>IF(ISNUMBER(SEARCH($A47,VLOOKUP(LZ$2,职业列表!$B$1:$G$370,6,0))),"★","")</f>
        <v/>
      </c>
      <c r="MA47" s="929" t="str">
        <f>IF(ISNUMBER(SEARCH($A47,VLOOKUP(MA$2,职业列表!$B$1:$G$370,6,0))),"★","")</f>
        <v/>
      </c>
      <c r="MB47" s="929" t="str">
        <f>IF(ISNUMBER(SEARCH($A47,VLOOKUP(MB$2,职业列表!$B$1:$G$370,6,0))),"★","")</f>
        <v/>
      </c>
      <c r="MC47" s="929" t="str">
        <f>IF(ISNUMBER(SEARCH($A47,VLOOKUP(MC$2,职业列表!$B$1:$G$370,6,0))),"★","")</f>
        <v/>
      </c>
      <c r="MD47" s="929" t="str">
        <f>IF(ISNUMBER(SEARCH($A47,VLOOKUP(MD$2,职业列表!$B$1:$G$370,6,0))),"★","")</f>
        <v/>
      </c>
      <c r="ME47" s="929" t="str">
        <f>IF(ISNUMBER(SEARCH($A47,VLOOKUP(ME$2,职业列表!$B$1:$G$370,6,0))),"★","")</f>
        <v/>
      </c>
      <c r="MF47" s="929" t="str">
        <f>IF(ISNUMBER(SEARCH($A47,VLOOKUP(MF$2,职业列表!$B$1:$G$370,6,0))),"★","")</f>
        <v/>
      </c>
      <c r="MG47" s="929" t="str">
        <f>IF(ISNUMBER(SEARCH($A47,VLOOKUP(MG$2,职业列表!$B$1:$G$370,6,0))),"★","")</f>
        <v/>
      </c>
      <c r="MH47" s="929" t="str">
        <f>IF(ISNUMBER(SEARCH($A47,VLOOKUP(MH$2,职业列表!$B$1:$G$370,6,0))),"★","")</f>
        <v/>
      </c>
      <c r="MI47" s="929" t="str">
        <f>IF(ISNUMBER(SEARCH($A47,VLOOKUP(MI$2,职业列表!$B$1:$G$370,6,0))),"★","")</f>
        <v/>
      </c>
      <c r="MJ47" s="929" t="str">
        <f>IF(ISNUMBER(SEARCH($A47,VLOOKUP(MJ$2,职业列表!$B$1:$G$370,6,0))),"★","")</f>
        <v/>
      </c>
      <c r="MK47" s="929" t="str">
        <f>IF(ISNUMBER(SEARCH($A47,VLOOKUP(MK$2,职业列表!$B$1:$G$370,6,0))),"★","")</f>
        <v/>
      </c>
      <c r="ML47" s="929" t="str">
        <f>IF(ISNUMBER(SEARCH($A47,VLOOKUP(ML$2,职业列表!$B$1:$G$370,6,0))),"★","")</f>
        <v/>
      </c>
      <c r="MM47" s="929" t="str">
        <f>IF(ISNUMBER(SEARCH($A47,VLOOKUP(MM$2,职业列表!$B$1:$G$370,6,0))),"★","")</f>
        <v/>
      </c>
      <c r="MN47" s="929" t="str">
        <f>IF(ISNUMBER(SEARCH($A47,VLOOKUP(MN$2,职业列表!$B$1:$G$370,6,0))),"★","")</f>
        <v/>
      </c>
      <c r="MO47" s="929" t="str">
        <f>IF(ISNUMBER(SEARCH($A47,VLOOKUP(MO$2,职业列表!$B$1:$G$370,6,0))),"★","")</f>
        <v/>
      </c>
      <c r="MP47" s="929" t="str">
        <f>IF(ISNUMBER(SEARCH($A47,VLOOKUP(MP$2,职业列表!$B$1:$G$370,6,0))),"★","")</f>
        <v/>
      </c>
      <c r="MQ47" s="929" t="str">
        <f>IF(ISNUMBER(SEARCH($A47,VLOOKUP(MQ$2,职业列表!$B$1:$G$370,6,0))),"★","")</f>
        <v/>
      </c>
      <c r="MR47" s="929" t="str">
        <f>IF(ISNUMBER(SEARCH($A47,VLOOKUP(MR$2,职业列表!$B$1:$G$370,6,0))),"★","")</f>
        <v/>
      </c>
      <c r="MS47" s="929" t="str">
        <f>IF(ISNUMBER(SEARCH($A47,VLOOKUP(MS$2,职业列表!$B$1:$G$370,6,0))),"★","")</f>
        <v/>
      </c>
      <c r="MT47" s="929" t="str">
        <f>IF(ISNUMBER(SEARCH($A47,VLOOKUP(MT$2,职业列表!$B$1:$G$370,6,0))),"★","")</f>
        <v/>
      </c>
      <c r="MU47" s="929" t="str">
        <f>IF(ISNUMBER(SEARCH($A47,VLOOKUP(MU$2,职业列表!$B$1:$G$370,6,0))),"★","")</f>
        <v/>
      </c>
      <c r="MV47" s="929" t="str">
        <f>IF(ISNUMBER(SEARCH($A47,VLOOKUP(MV$2,职业列表!$B$1:$G$370,6,0))),"★","")</f>
        <v/>
      </c>
      <c r="MW47" s="929" t="str">
        <f>IF(ISNUMBER(SEARCH($A47,VLOOKUP(MW$2,职业列表!$B$1:$G$370,6,0))),"★","")</f>
        <v/>
      </c>
      <c r="MX47" s="929" t="str">
        <f>IF(ISNUMBER(SEARCH($A47,VLOOKUP(MX$2,职业列表!$B$1:$G$370,6,0))),"★","")</f>
        <v/>
      </c>
      <c r="MY47" s="929" t="str">
        <f>IF(ISNUMBER(SEARCH($A47,VLOOKUP(MY$2,职业列表!$B$1:$G$370,6,0))),"★","")</f>
        <v/>
      </c>
      <c r="MZ47" s="929" t="str">
        <f>IF(ISNUMBER(SEARCH($A47,VLOOKUP(MZ$2,职业列表!$B$1:$G$370,6,0))),"★","")</f>
        <v/>
      </c>
      <c r="NA47" s="929" t="str">
        <f>IF(ISNUMBER(SEARCH($A47,VLOOKUP(NA$2,职业列表!$B$1:$G$370,6,0))),"★","")</f>
        <v/>
      </c>
      <c r="NB47" s="929" t="str">
        <f>IF(ISNUMBER(SEARCH($A47,VLOOKUP(NB$2,职业列表!$B$1:$G$370,6,0))),"★","")</f>
        <v/>
      </c>
      <c r="NC47" s="929" t="str">
        <f>IF(ISNUMBER(SEARCH($A47,VLOOKUP(NC$2,职业列表!$B$1:$G$370,6,0))),"★","")</f>
        <v/>
      </c>
      <c r="ND47" s="929" t="str">
        <f>IF(ISNUMBER(SEARCH($A47,VLOOKUP(ND$2,职业列表!$B$1:$G$370,6,0))),"★","")</f>
        <v/>
      </c>
      <c r="NE47" s="929" t="str">
        <f>IF(ISNUMBER(SEARCH($A47,VLOOKUP(NE$2,职业列表!$B$1:$G$370,6,0))),"★","")</f>
        <v/>
      </c>
    </row>
    <row r="48" customFormat="1" spans="1:369">
      <c r="A48" s="932" t="s">
        <v>80</v>
      </c>
      <c r="B48" s="939" t="str">
        <f>IF(OR(A48="说服",A48="话术",A48="取悦",A48="恐吓"),"☯",IF(ISNUMBER(SEARCH(A48,VLOOKUP(IX$2,职业列表!$B$1:$G$370,6,0))),"★",""))</f>
        <v/>
      </c>
      <c r="C48" s="939" t="str">
        <f>IF(ISTEXT(IFERROR(VLOOKUP(A48,职业列表!I3:J10,1,FALSE),0)),"★","")</f>
        <v/>
      </c>
      <c r="D48" s="939"/>
      <c r="E48" s="939"/>
      <c r="F48" s="939"/>
      <c r="G48" s="939"/>
      <c r="H48" s="939"/>
      <c r="I48" s="939"/>
      <c r="J48" s="939"/>
      <c r="K48" s="939"/>
      <c r="L48" s="939" t="s">
        <v>74</v>
      </c>
      <c r="M48" s="939" t="s">
        <v>2716</v>
      </c>
      <c r="N48" s="939"/>
      <c r="O48" s="939"/>
      <c r="P48" s="939"/>
      <c r="Q48" s="939"/>
      <c r="R48" s="939"/>
      <c r="S48" s="939"/>
      <c r="T48" s="939" t="s">
        <v>74</v>
      </c>
      <c r="U48" s="939"/>
      <c r="V48" s="939"/>
      <c r="W48" s="939"/>
      <c r="X48" s="939"/>
      <c r="Y48" s="939"/>
      <c r="Z48" s="939"/>
      <c r="AA48" s="939"/>
      <c r="AB48" s="939"/>
      <c r="AC48" s="939"/>
      <c r="AD48" s="939"/>
      <c r="AE48" s="939"/>
      <c r="AF48" s="939"/>
      <c r="AG48" s="939"/>
      <c r="AH48" s="939"/>
      <c r="AI48" s="939"/>
      <c r="AJ48" s="939"/>
      <c r="AK48" s="939"/>
      <c r="AL48" s="939"/>
      <c r="AM48" s="939" t="s">
        <v>74</v>
      </c>
      <c r="AN48" s="939"/>
      <c r="AO48" s="939"/>
      <c r="AP48" s="939"/>
      <c r="AQ48" s="939"/>
      <c r="AR48" s="939"/>
      <c r="AS48" s="939"/>
      <c r="AT48" s="939"/>
      <c r="AU48" s="939" t="s">
        <v>74</v>
      </c>
      <c r="AV48" s="939" t="s">
        <v>74</v>
      </c>
      <c r="AW48" s="939" t="s">
        <v>74</v>
      </c>
      <c r="AX48" s="939" t="s">
        <v>74</v>
      </c>
      <c r="AY48" s="939"/>
      <c r="AZ48" s="939"/>
      <c r="BA48" s="939"/>
      <c r="BB48" s="939"/>
      <c r="BC48" s="939" t="s">
        <v>74</v>
      </c>
      <c r="BD48" s="954"/>
      <c r="BE48" s="939"/>
      <c r="BF48" s="939"/>
      <c r="BG48" s="939"/>
      <c r="BH48" s="939"/>
      <c r="BI48" s="939"/>
      <c r="BJ48" s="939"/>
      <c r="BK48" s="939"/>
      <c r="BL48" s="939" t="s">
        <v>74</v>
      </c>
      <c r="BM48" s="939" t="s">
        <v>74</v>
      </c>
      <c r="BN48" s="939"/>
      <c r="BO48" s="939"/>
      <c r="BP48" s="939"/>
      <c r="BQ48" s="939"/>
      <c r="BR48" s="939"/>
      <c r="BS48" s="939"/>
      <c r="BT48" s="939"/>
      <c r="BU48" s="939"/>
      <c r="BV48" s="939"/>
      <c r="BW48" s="939"/>
      <c r="BX48" s="939"/>
      <c r="BY48" s="939" t="s">
        <v>74</v>
      </c>
      <c r="BZ48" s="939"/>
      <c r="CA48" s="939" t="s">
        <v>74</v>
      </c>
      <c r="CB48" s="939"/>
      <c r="CC48" s="939"/>
      <c r="CD48" s="939"/>
      <c r="CE48" s="939"/>
      <c r="CF48" s="939" t="s">
        <v>74</v>
      </c>
      <c r="CG48" s="939"/>
      <c r="CH48" s="939"/>
      <c r="CI48" s="939"/>
      <c r="CJ48" s="939"/>
      <c r="CK48" s="939" t="s">
        <v>74</v>
      </c>
      <c r="CL48" s="939" t="s">
        <v>74</v>
      </c>
      <c r="CM48" s="939"/>
      <c r="CN48" s="939"/>
      <c r="CO48" s="939"/>
      <c r="CP48" s="939"/>
      <c r="CQ48" s="939" t="s">
        <v>74</v>
      </c>
      <c r="CR48" s="939"/>
      <c r="CS48" s="939"/>
      <c r="CT48" s="939"/>
      <c r="CU48" s="939"/>
      <c r="CV48" s="939" t="s">
        <v>74</v>
      </c>
      <c r="CW48" s="939" t="s">
        <v>74</v>
      </c>
      <c r="CX48" s="939"/>
      <c r="CY48" s="939"/>
      <c r="CZ48" s="939"/>
      <c r="DA48" s="939"/>
      <c r="DB48" s="939"/>
      <c r="DC48" s="939"/>
      <c r="DD48" s="939"/>
      <c r="DE48" s="939"/>
      <c r="DF48" s="939"/>
      <c r="DG48" s="939"/>
      <c r="DH48" s="939"/>
      <c r="DI48" s="939"/>
      <c r="DJ48" s="939"/>
      <c r="DK48" s="939"/>
      <c r="DL48" s="939"/>
      <c r="DM48" s="939"/>
      <c r="DN48" s="939"/>
      <c r="DO48" s="939"/>
      <c r="DP48" s="939"/>
      <c r="DQ48" s="939"/>
      <c r="DR48" s="939"/>
      <c r="DS48" s="939"/>
      <c r="DT48" s="939"/>
      <c r="DU48" s="939"/>
      <c r="DV48" s="939"/>
      <c r="DW48" s="939"/>
      <c r="DX48" s="939"/>
      <c r="DY48" s="939"/>
      <c r="DZ48" s="939"/>
      <c r="EA48" s="939"/>
      <c r="EB48" s="939"/>
      <c r="EC48" s="939"/>
      <c r="ED48" s="939"/>
      <c r="EE48" s="939"/>
      <c r="EF48" s="939"/>
      <c r="EG48" s="939"/>
      <c r="EH48" s="939"/>
      <c r="EI48" s="939" t="s">
        <v>74</v>
      </c>
      <c r="EJ48" s="939"/>
      <c r="EK48" s="939"/>
      <c r="EL48" s="939"/>
      <c r="EM48" s="939"/>
      <c r="EN48" s="939"/>
      <c r="EO48" s="939"/>
      <c r="EP48" s="939"/>
      <c r="EQ48" s="939"/>
      <c r="ER48" s="939"/>
      <c r="ES48" s="939" t="s">
        <v>74</v>
      </c>
      <c r="ET48" s="939"/>
      <c r="EU48" s="939"/>
      <c r="EV48" s="939"/>
      <c r="EW48" s="939" t="s">
        <v>74</v>
      </c>
      <c r="EX48" s="939"/>
      <c r="EY48" s="939"/>
      <c r="EZ48" s="939"/>
      <c r="FA48" s="939"/>
      <c r="FB48" s="939"/>
      <c r="FC48" s="939"/>
      <c r="FD48" s="939"/>
      <c r="FE48" s="939"/>
      <c r="FF48" s="939"/>
      <c r="FG48" s="939"/>
      <c r="FH48" s="939"/>
      <c r="FI48" s="939"/>
      <c r="FJ48" s="939"/>
      <c r="FK48" s="939"/>
      <c r="FL48" s="939"/>
      <c r="FM48" s="939"/>
      <c r="FN48" s="939"/>
      <c r="FO48" s="939"/>
      <c r="FP48" s="939" t="s">
        <v>74</v>
      </c>
      <c r="FQ48" s="939"/>
      <c r="FR48" s="939"/>
      <c r="FS48" s="939"/>
      <c r="FT48" s="939"/>
      <c r="FU48" s="939"/>
      <c r="FV48" s="939"/>
      <c r="FW48" s="939"/>
      <c r="FX48" s="939" t="s">
        <v>74</v>
      </c>
      <c r="FY48" s="939"/>
      <c r="FZ48" s="939"/>
      <c r="GA48" s="939" t="s">
        <v>74</v>
      </c>
      <c r="GB48" s="939" t="s">
        <v>74</v>
      </c>
      <c r="GC48" s="939"/>
      <c r="GD48" s="939"/>
      <c r="GE48" s="939" t="s">
        <v>74</v>
      </c>
      <c r="GF48" s="939"/>
      <c r="GG48" s="939"/>
      <c r="GH48" s="939"/>
      <c r="GI48" s="939"/>
      <c r="GJ48" s="939"/>
      <c r="GK48" s="939"/>
      <c r="GL48" s="939"/>
      <c r="GM48" s="939"/>
      <c r="GN48" s="939"/>
      <c r="GO48" s="939"/>
      <c r="GP48" s="939"/>
      <c r="GQ48" s="939"/>
      <c r="GR48" s="939"/>
      <c r="GS48" s="939"/>
      <c r="GT48" s="939"/>
      <c r="GU48" s="939"/>
      <c r="GV48" s="939"/>
      <c r="GW48" s="939"/>
      <c r="GX48" s="939"/>
      <c r="GY48" s="939"/>
      <c r="GZ48" s="939"/>
      <c r="HA48" s="939"/>
      <c r="HB48" s="939"/>
      <c r="HC48" s="939"/>
      <c r="HD48" s="939" t="s">
        <v>74</v>
      </c>
      <c r="HE48" s="939"/>
      <c r="HF48" s="939"/>
      <c r="HG48" s="939"/>
      <c r="HH48" s="939"/>
      <c r="HI48" s="939"/>
      <c r="HJ48" s="939"/>
      <c r="HK48" s="940" t="s">
        <v>74</v>
      </c>
      <c r="HL48" s="939" t="s">
        <v>74</v>
      </c>
      <c r="HM48" s="939"/>
      <c r="HN48" s="939"/>
      <c r="HO48" s="939"/>
      <c r="HP48" s="939"/>
      <c r="HQ48" s="939"/>
      <c r="HR48" s="939"/>
      <c r="HS48" s="939"/>
      <c r="HT48" s="939"/>
      <c r="HU48" s="939"/>
      <c r="HV48" s="939"/>
      <c r="HW48" s="939"/>
      <c r="HX48" s="1002" t="s">
        <v>74</v>
      </c>
      <c r="HY48" s="1012"/>
      <c r="HZ48" s="939" t="s">
        <v>74</v>
      </c>
      <c r="IA48" s="1012"/>
      <c r="IB48" s="939" t="s">
        <v>74</v>
      </c>
      <c r="IC48" s="990" t="s">
        <v>74</v>
      </c>
      <c r="ID48" s="1013"/>
      <c r="IE48" s="939" t="s">
        <v>74</v>
      </c>
      <c r="IF48" s="1012"/>
      <c r="IG48" s="1012"/>
      <c r="IH48" s="1012"/>
      <c r="II48" s="1012"/>
      <c r="IJ48" s="1012"/>
      <c r="IK48" s="1012"/>
      <c r="IL48" s="1012"/>
      <c r="IM48" s="939" t="s">
        <v>74</v>
      </c>
      <c r="IN48" s="939" t="s">
        <v>74</v>
      </c>
      <c r="IO48" s="1012"/>
      <c r="IP48" s="1013"/>
      <c r="IQ48" s="990" t="s">
        <v>74</v>
      </c>
      <c r="IR48" s="1012"/>
      <c r="IS48" s="1012"/>
      <c r="IT48" s="1012"/>
      <c r="IU48" s="1012"/>
      <c r="IV48" s="1012"/>
      <c r="IW48" s="929"/>
      <c r="IX48" s="929" t="str">
        <f>IF(ISNUMBER(SEARCH($A48,VLOOKUP(IX$2,职业列表!$B$1:$G$370,6,0))),"★","")</f>
        <v/>
      </c>
      <c r="IY48" s="929" t="str">
        <f>IF(ISNUMBER(SEARCH($A48,VLOOKUP(IY$2,职业列表!$B$1:$G$370,6,0))),"★","")</f>
        <v/>
      </c>
      <c r="IZ48" s="929" t="str">
        <f>IF(ISNUMBER(SEARCH($A48,VLOOKUP(IZ$2,职业列表!$B$1:$G$370,6,0))),"★","")</f>
        <v>★</v>
      </c>
      <c r="JA48" s="929" t="str">
        <f>IF(ISNUMBER(SEARCH($A48,VLOOKUP(JA$2,职业列表!$B$1:$G$370,6,0))),"★","")</f>
        <v/>
      </c>
      <c r="JB48" s="929" t="str">
        <f>IF(ISNUMBER(SEARCH($A48,VLOOKUP(JB$2,职业列表!$B$1:$G$370,6,0))),"★","")</f>
        <v>★</v>
      </c>
      <c r="JC48" s="929" t="str">
        <f>IF(ISNUMBER(SEARCH($A48,VLOOKUP(JC$2,职业列表!$B$1:$G$370,6,0))),"★","")</f>
        <v/>
      </c>
      <c r="JD48" s="929" t="str">
        <f>IF(ISNUMBER(SEARCH($A48,VLOOKUP(JD$2,职业列表!$B$1:$G$370,6,0))),"★","")</f>
        <v/>
      </c>
      <c r="JE48" s="929" t="str">
        <f>IF(ISNUMBER(SEARCH($A48,VLOOKUP(JE$2,职业列表!$B$1:$G$370,6,0))),"★","")</f>
        <v/>
      </c>
      <c r="JF48" s="929" t="str">
        <f>IF(ISNUMBER(SEARCH($A48,VLOOKUP(JF$2,职业列表!$B$1:$G$370,6,0))),"★","")</f>
        <v/>
      </c>
      <c r="JG48" s="929" t="str">
        <f>IF(ISNUMBER(SEARCH($A48,VLOOKUP(JG$2,职业列表!$B$1:$G$370,6,0))),"★","")</f>
        <v>★</v>
      </c>
      <c r="JH48" s="929" t="str">
        <f>IF(ISNUMBER(SEARCH($A48,VLOOKUP(JH$2,职业列表!$B$1:$G$370,6,0))),"★","")</f>
        <v>★</v>
      </c>
      <c r="JI48" s="929" t="str">
        <f>IF(ISNUMBER(SEARCH($A48,VLOOKUP(JI$2,职业列表!$B$1:$G$370,6,0))),"★","")</f>
        <v/>
      </c>
      <c r="JJ48" s="929" t="str">
        <f>IF(ISNUMBER(SEARCH($A48,VLOOKUP(JJ$2,职业列表!$B$1:$G$370,6,0))),"★","")</f>
        <v/>
      </c>
      <c r="JK48" s="929" t="str">
        <f>IF(ISNUMBER(SEARCH($A48,VLOOKUP(JK$2,职业列表!$B$1:$G$370,6,0))),"★","")</f>
        <v/>
      </c>
      <c r="JL48" s="929" t="str">
        <f>IF(ISNUMBER(SEARCH($A48,VLOOKUP(JL$2,职业列表!$B$1:$G$370,6,0))),"★","")</f>
        <v/>
      </c>
      <c r="JM48" s="929" t="str">
        <f>IF(ISNUMBER(SEARCH($A48,VLOOKUP(JM$2,职业列表!$B$1:$G$370,6,0))),"★","")</f>
        <v>★</v>
      </c>
      <c r="JN48" s="929" t="str">
        <f>IF(ISNUMBER(SEARCH($A48,VLOOKUP(JN$2,职业列表!$B$1:$G$370,6,0))),"★","")</f>
        <v>★</v>
      </c>
      <c r="JO48" s="929" t="str">
        <f>IF(ISNUMBER(SEARCH($A48,VLOOKUP(JO$2,职业列表!$B$1:$G$370,6,0))),"★","")</f>
        <v>★</v>
      </c>
      <c r="JP48" s="929" t="str">
        <f>IF(ISNUMBER(SEARCH($A48,VLOOKUP(JP$2,职业列表!$B$1:$G$370,6,0))),"★","")</f>
        <v/>
      </c>
      <c r="JQ48" s="929" t="str">
        <f>IF(ISNUMBER(SEARCH($A48,VLOOKUP(JQ$2,职业列表!$B$1:$G$370,6,0))),"★","")</f>
        <v/>
      </c>
      <c r="JR48" s="929" t="str">
        <f>IF(ISNUMBER(SEARCH($A48,VLOOKUP(JR$2,职业列表!$B$1:$G$370,6,0))),"★","")</f>
        <v/>
      </c>
      <c r="JS48" s="929" t="str">
        <f>IF(ISNUMBER(SEARCH($A48,VLOOKUP(JS$2,职业列表!$B$1:$G$370,6,0))),"★","")</f>
        <v/>
      </c>
      <c r="JT48" s="929" t="str">
        <f>IF(ISNUMBER(SEARCH($A48,VLOOKUP(JT$2,职业列表!$B$1:$G$370,6,0))),"★","")</f>
        <v/>
      </c>
      <c r="JU48" s="929" t="str">
        <f>IF(ISNUMBER(SEARCH($A48,VLOOKUP(JU$2,职业列表!$B$1:$G$370,6,0))),"★","")</f>
        <v/>
      </c>
      <c r="JV48" s="929" t="str">
        <f>IF(ISNUMBER(SEARCH($A48,VLOOKUP(JV$2,职业列表!$B$1:$G$370,6,0))),"★","")</f>
        <v/>
      </c>
      <c r="JW48" s="929" t="str">
        <f>IF(ISNUMBER(SEARCH($A48,VLOOKUP(JW$2,职业列表!$B$1:$G$370,6,0))),"★","")</f>
        <v/>
      </c>
      <c r="JX48" s="929" t="str">
        <f>IF(ISNUMBER(SEARCH($A48,VLOOKUP(JX$2,职业列表!$B$1:$G$370,6,0))),"★","")</f>
        <v/>
      </c>
      <c r="JY48" s="929" t="str">
        <f>IF(ISNUMBER(SEARCH($A48,VLOOKUP(JY$2,职业列表!$B$1:$G$370,6,0))),"★","")</f>
        <v/>
      </c>
      <c r="JZ48" s="929" t="str">
        <f>IF(ISNUMBER(SEARCH($A48,VLOOKUP(JZ$2,职业列表!$B$1:$G$370,6,0))),"★","")</f>
        <v/>
      </c>
      <c r="KA48" s="929" t="str">
        <f>IF(ISNUMBER(SEARCH($A48,VLOOKUP(KA$2,职业列表!$B$1:$G$370,6,0))),"★","")</f>
        <v/>
      </c>
      <c r="KB48" s="929" t="str">
        <f>IF(ISNUMBER(SEARCH($A48,VLOOKUP(KB$2,职业列表!$B$1:$G$370,6,0))),"★","")</f>
        <v/>
      </c>
      <c r="KC48" s="929" t="str">
        <f>IF(ISNUMBER(SEARCH($A48,VLOOKUP(KC$2,职业列表!$B$1:$G$370,6,0))),"★","")</f>
        <v/>
      </c>
      <c r="KD48" s="929" t="str">
        <f>IF(ISNUMBER(SEARCH($A48,VLOOKUP(KD$2,职业列表!$B$1:$G$370,6,0))),"★","")</f>
        <v>★</v>
      </c>
      <c r="KE48" s="929" t="str">
        <f>IF(ISNUMBER(SEARCH($A48,VLOOKUP(KE$2,职业列表!$B$1:$G$370,6,0))),"★","")</f>
        <v/>
      </c>
      <c r="KF48" s="929" t="str">
        <f>IF(ISNUMBER(SEARCH($A48,VLOOKUP(KF$2,职业列表!$B$1:$G$370,6,0))),"★","")</f>
        <v/>
      </c>
      <c r="KG48" s="929" t="str">
        <f>IF(ISNUMBER(SEARCH($A48,VLOOKUP(KG$2,职业列表!$B$1:$G$370,6,0))),"★","")</f>
        <v/>
      </c>
      <c r="KH48" s="929" t="str">
        <f>IF(ISNUMBER(SEARCH($A48,VLOOKUP(KH$2,职业列表!$B$1:$G$370,6,0))),"★","")</f>
        <v/>
      </c>
      <c r="KI48" s="929" t="str">
        <f>IF(ISNUMBER(SEARCH($A48,VLOOKUP(KI$2,职业列表!$B$1:$G$370,6,0))),"★","")</f>
        <v/>
      </c>
      <c r="KJ48" s="929" t="str">
        <f>IF(ISNUMBER(SEARCH($A48,VLOOKUP(KJ$2,职业列表!$B$1:$G$370,6,0))),"★","")</f>
        <v/>
      </c>
      <c r="KK48" s="929" t="str">
        <f>IF(ISNUMBER(SEARCH($A48,VLOOKUP(KK$2,职业列表!$B$1:$G$370,6,0))),"★","")</f>
        <v/>
      </c>
      <c r="KL48" s="929" t="str">
        <f>IF(ISNUMBER(SEARCH($A48,VLOOKUP(KL$2,职业列表!$B$1:$G$370,6,0))),"★","")</f>
        <v/>
      </c>
      <c r="KM48" s="929" t="str">
        <f>IF(ISNUMBER(SEARCH($A48,VLOOKUP(KM$2,职业列表!$B$1:$G$370,6,0))),"★","")</f>
        <v>★</v>
      </c>
      <c r="KN48" s="929" t="str">
        <f>IF(ISNUMBER(SEARCH($A48,VLOOKUP(KN$2,职业列表!$B$1:$G$370,6,0))),"★","")</f>
        <v/>
      </c>
      <c r="KO48" s="929" t="str">
        <f>IF(ISNUMBER(SEARCH($A48,VLOOKUP(KO$2,职业列表!$B$1:$G$370,6,0))),"★","")</f>
        <v/>
      </c>
      <c r="KP48" s="929" t="str">
        <f>IF(ISNUMBER(SEARCH($A48,VLOOKUP(KP$2,职业列表!$B$1:$G$370,6,0))),"★","")</f>
        <v/>
      </c>
      <c r="KQ48" s="929" t="str">
        <f>IF(ISNUMBER(SEARCH($A48,VLOOKUP(KQ$2,职业列表!$B$1:$G$370,6,0))),"★","")</f>
        <v/>
      </c>
      <c r="KR48" s="929" t="str">
        <f>IF(ISNUMBER(SEARCH($A48,VLOOKUP(KR$2,职业列表!$B$1:$G$370,6,0))),"★","")</f>
        <v/>
      </c>
      <c r="KS48" s="929" t="str">
        <f>IF(ISNUMBER(SEARCH($A48,VLOOKUP(KS$2,职业列表!$B$1:$G$370,6,0))),"★","")</f>
        <v/>
      </c>
      <c r="KT48" s="929" t="str">
        <f>IF(ISNUMBER(SEARCH($A48,VLOOKUP(KT$2,职业列表!$B$1:$G$370,6,0))),"★","")</f>
        <v/>
      </c>
      <c r="KU48" s="929" t="str">
        <f>IF(ISNUMBER(SEARCH($A48,VLOOKUP(KU$2,职业列表!$B$1:$G$370,6,0))),"★","")</f>
        <v/>
      </c>
      <c r="KV48" s="929" t="str">
        <f>IF(ISNUMBER(SEARCH($A48,VLOOKUP(KV$2,职业列表!$B$1:$G$370,6,0))),"★","")</f>
        <v>★</v>
      </c>
      <c r="KW48" s="929" t="str">
        <f>IF(ISNUMBER(SEARCH($A48,VLOOKUP(KW$2,职业列表!$B$1:$G$370,6,0))),"★","")</f>
        <v/>
      </c>
      <c r="KX48" s="929" t="str">
        <f>IF(ISNUMBER(SEARCH($A48,VLOOKUP(KX$2,职业列表!$B$1:$G$370,6,0))),"★","")</f>
        <v/>
      </c>
      <c r="KY48" s="929" t="str">
        <f>IF(ISNUMBER(SEARCH($A48,VLOOKUP(KY$2,职业列表!$B$1:$G$370,6,0))),"★","")</f>
        <v>★</v>
      </c>
      <c r="KZ48" s="929" t="str">
        <f>IF(ISNUMBER(SEARCH($A48,VLOOKUP(KZ$2,职业列表!$B$1:$G$370,6,0))),"★","")</f>
        <v/>
      </c>
      <c r="LA48" s="929" t="str">
        <f>IF(ISNUMBER(SEARCH($A48,VLOOKUP(LA$2,职业列表!$B$1:$G$370,6,0))),"★","")</f>
        <v/>
      </c>
      <c r="LB48" s="929" t="str">
        <f>IF(ISNUMBER(SEARCH($A48,VLOOKUP(LB$2,职业列表!$B$1:$G$370,6,0))),"★","")</f>
        <v>★</v>
      </c>
      <c r="LC48" s="929" t="str">
        <f>IF(ISNUMBER(SEARCH($A48,VLOOKUP(LC$2,职业列表!$B$1:$G$370,6,0))),"★","")</f>
        <v>★</v>
      </c>
      <c r="LD48" s="929" t="str">
        <f>IF(ISNUMBER(SEARCH($A48,VLOOKUP(LD$2,职业列表!$B$1:$G$370,6,0))),"★","")</f>
        <v/>
      </c>
      <c r="LE48" s="929" t="str">
        <f>IF(ISNUMBER(SEARCH($A48,VLOOKUP(LE$2,职业列表!$B$1:$G$370,6,0))),"★","")</f>
        <v/>
      </c>
      <c r="LF48" s="929" t="str">
        <f>IF(ISNUMBER(SEARCH($A48,VLOOKUP(LF$2,职业列表!$B$1:$G$370,6,0))),"★","")</f>
        <v/>
      </c>
      <c r="LG48" s="929" t="str">
        <f>IF(ISNUMBER(SEARCH($A48,VLOOKUP(LG$2,职业列表!$B$1:$G$370,6,0))),"★","")</f>
        <v/>
      </c>
      <c r="LH48" s="929" t="str">
        <f>IF(ISNUMBER(SEARCH($A48,VLOOKUP(LH$2,职业列表!$B$1:$G$370,6,0))),"★","")</f>
        <v/>
      </c>
      <c r="LI48" s="929" t="str">
        <f>IF(ISNUMBER(SEARCH($A48,VLOOKUP(LI$2,职业列表!$B$1:$G$370,6,0))),"★","")</f>
        <v/>
      </c>
      <c r="LJ48" s="929" t="str">
        <f>IF(ISNUMBER(SEARCH($A48,VLOOKUP(LJ$2,职业列表!$B$1:$G$370,6,0))),"★","")</f>
        <v/>
      </c>
      <c r="LK48" s="929" t="str">
        <f>IF(ISNUMBER(SEARCH($A48,VLOOKUP(LK$2,职业列表!$B$1:$G$370,6,0))),"★","")</f>
        <v/>
      </c>
      <c r="LL48" s="929" t="str">
        <f>IF(ISNUMBER(SEARCH($A48,VLOOKUP(LL$2,职业列表!$B$1:$G$370,6,0))),"★","")</f>
        <v>★</v>
      </c>
      <c r="LM48" s="929" t="str">
        <f>IF(ISNUMBER(SEARCH($A48,VLOOKUP(LM$2,职业列表!$B$1:$G$370,6,0))),"★","")</f>
        <v/>
      </c>
      <c r="LN48" s="929" t="str">
        <f>IF(ISNUMBER(SEARCH($A48,VLOOKUP(LN$2,职业列表!$B$1:$G$370,6,0))),"★","")</f>
        <v>★</v>
      </c>
      <c r="LO48" s="929" t="str">
        <f>IF(ISNUMBER(SEARCH($A48,VLOOKUP(LO$2,职业列表!$B$1:$G$370,6,0))),"★","")</f>
        <v>★</v>
      </c>
      <c r="LP48" s="929" t="str">
        <f>IF(ISNUMBER(SEARCH($A48,VLOOKUP(LP$2,职业列表!$B$1:$G$370,6,0))),"★","")</f>
        <v>★</v>
      </c>
      <c r="LQ48" s="929" t="str">
        <f>IF(ISNUMBER(SEARCH($A48,VLOOKUP(LQ$2,职业列表!$B$1:$G$370,6,0))),"★","")</f>
        <v>★</v>
      </c>
      <c r="LR48" s="929" t="str">
        <f>IF(ISNUMBER(SEARCH($A48,VLOOKUP(LR$2,职业列表!$B$1:$G$370,6,0))),"★","")</f>
        <v/>
      </c>
      <c r="LS48" s="929" t="str">
        <f>IF(ISNUMBER(SEARCH($A48,VLOOKUP(LS$2,职业列表!$B$1:$G$370,6,0))),"★","")</f>
        <v>★</v>
      </c>
      <c r="LT48" s="929" t="str">
        <f>IF(ISNUMBER(SEARCH($A48,VLOOKUP(LT$2,职业列表!$B$1:$G$370,6,0))),"★","")</f>
        <v>★</v>
      </c>
      <c r="LU48" s="929" t="str">
        <f>IF(ISNUMBER(SEARCH($A48,VLOOKUP(LU$2,职业列表!$B$1:$G$370,6,0))),"★","")</f>
        <v/>
      </c>
      <c r="LV48" s="929" t="str">
        <f>IF(ISNUMBER(SEARCH($A48,VLOOKUP(LV$2,职业列表!$B$1:$G$370,6,0))),"★","")</f>
        <v/>
      </c>
      <c r="LW48" s="929" t="str">
        <f>IF(ISNUMBER(SEARCH($A48,VLOOKUP(LW$2,职业列表!$B$1:$G$370,6,0))),"★","")</f>
        <v/>
      </c>
      <c r="LX48" s="929" t="str">
        <f>IF(ISNUMBER(SEARCH($A48,VLOOKUP(LX$2,职业列表!$B$1:$G$370,6,0))),"★","")</f>
        <v/>
      </c>
      <c r="LY48" s="929" t="str">
        <f>IF(ISNUMBER(SEARCH($A48,VLOOKUP(LY$2,职业列表!$B$1:$G$370,6,0))),"★","")</f>
        <v>★</v>
      </c>
      <c r="LZ48" s="929" t="str">
        <f>IF(ISNUMBER(SEARCH($A48,VLOOKUP(LZ$2,职业列表!$B$1:$G$370,6,0))),"★","")</f>
        <v/>
      </c>
      <c r="MA48" s="929" t="str">
        <f>IF(ISNUMBER(SEARCH($A48,VLOOKUP(MA$2,职业列表!$B$1:$G$370,6,0))),"★","")</f>
        <v>★</v>
      </c>
      <c r="MB48" s="929" t="str">
        <f>IF(ISNUMBER(SEARCH($A48,VLOOKUP(MB$2,职业列表!$B$1:$G$370,6,0))),"★","")</f>
        <v/>
      </c>
      <c r="MC48" s="929" t="str">
        <f>IF(ISNUMBER(SEARCH($A48,VLOOKUP(MC$2,职业列表!$B$1:$G$370,6,0))),"★","")</f>
        <v/>
      </c>
      <c r="MD48" s="929" t="str">
        <f>IF(ISNUMBER(SEARCH($A48,VLOOKUP(MD$2,职业列表!$B$1:$G$370,6,0))),"★","")</f>
        <v/>
      </c>
      <c r="ME48" s="929" t="str">
        <f>IF(ISNUMBER(SEARCH($A48,VLOOKUP(ME$2,职业列表!$B$1:$G$370,6,0))),"★","")</f>
        <v/>
      </c>
      <c r="MF48" s="929" t="str">
        <f>IF(ISNUMBER(SEARCH($A48,VLOOKUP(MF$2,职业列表!$B$1:$G$370,6,0))),"★","")</f>
        <v/>
      </c>
      <c r="MG48" s="929" t="str">
        <f>IF(ISNUMBER(SEARCH($A48,VLOOKUP(MG$2,职业列表!$B$1:$G$370,6,0))),"★","")</f>
        <v/>
      </c>
      <c r="MH48" s="929" t="str">
        <f>IF(ISNUMBER(SEARCH($A48,VLOOKUP(MH$2,职业列表!$B$1:$G$370,6,0))),"★","")</f>
        <v>★</v>
      </c>
      <c r="MI48" s="929" t="str">
        <f>IF(ISNUMBER(SEARCH($A48,VLOOKUP(MI$2,职业列表!$B$1:$G$370,6,0))),"★","")</f>
        <v/>
      </c>
      <c r="MJ48" s="929" t="str">
        <f>IF(ISNUMBER(SEARCH($A48,VLOOKUP(MJ$2,职业列表!$B$1:$G$370,6,0))),"★","")</f>
        <v/>
      </c>
      <c r="MK48" s="929" t="str">
        <f>IF(ISNUMBER(SEARCH($A48,VLOOKUP(MK$2,职业列表!$B$1:$G$370,6,0))),"★","")</f>
        <v/>
      </c>
      <c r="ML48" s="929" t="str">
        <f>IF(ISNUMBER(SEARCH($A48,VLOOKUP(ML$2,职业列表!$B$1:$G$370,6,0))),"★","")</f>
        <v/>
      </c>
      <c r="MM48" s="929" t="str">
        <f>IF(ISNUMBER(SEARCH($A48,VLOOKUP(MM$2,职业列表!$B$1:$G$370,6,0))),"★","")</f>
        <v/>
      </c>
      <c r="MN48" s="929" t="str">
        <f>IF(ISNUMBER(SEARCH($A48,VLOOKUP(MN$2,职业列表!$B$1:$G$370,6,0))),"★","")</f>
        <v/>
      </c>
      <c r="MO48" s="929" t="str">
        <f>IF(ISNUMBER(SEARCH($A48,VLOOKUP(MO$2,职业列表!$B$1:$G$370,6,0))),"★","")</f>
        <v/>
      </c>
      <c r="MP48" s="929" t="str">
        <f>IF(ISNUMBER(SEARCH($A48,VLOOKUP(MP$2,职业列表!$B$1:$G$370,6,0))),"★","")</f>
        <v/>
      </c>
      <c r="MQ48" s="929" t="str">
        <f>IF(ISNUMBER(SEARCH($A48,VLOOKUP(MQ$2,职业列表!$B$1:$G$370,6,0))),"★","")</f>
        <v/>
      </c>
      <c r="MR48" s="929" t="str">
        <f>IF(ISNUMBER(SEARCH($A48,VLOOKUP(MR$2,职业列表!$B$1:$G$370,6,0))),"★","")</f>
        <v/>
      </c>
      <c r="MS48" s="929" t="str">
        <f>IF(ISNUMBER(SEARCH($A48,VLOOKUP(MS$2,职业列表!$B$1:$G$370,6,0))),"★","")</f>
        <v/>
      </c>
      <c r="MT48" s="929" t="str">
        <f>IF(ISNUMBER(SEARCH($A48,VLOOKUP(MT$2,职业列表!$B$1:$G$370,6,0))),"★","")</f>
        <v/>
      </c>
      <c r="MU48" s="929" t="str">
        <f>IF(ISNUMBER(SEARCH($A48,VLOOKUP(MU$2,职业列表!$B$1:$G$370,6,0))),"★","")</f>
        <v>★</v>
      </c>
      <c r="MV48" s="929" t="str">
        <f>IF(ISNUMBER(SEARCH($A48,VLOOKUP(MV$2,职业列表!$B$1:$G$370,6,0))),"★","")</f>
        <v/>
      </c>
      <c r="MW48" s="929" t="str">
        <f>IF(ISNUMBER(SEARCH($A48,VLOOKUP(MW$2,职业列表!$B$1:$G$370,6,0))),"★","")</f>
        <v/>
      </c>
      <c r="MX48" s="929" t="str">
        <f>IF(ISNUMBER(SEARCH($A48,VLOOKUP(MX$2,职业列表!$B$1:$G$370,6,0))),"★","")</f>
        <v>★</v>
      </c>
      <c r="MY48" s="929" t="str">
        <f>IF(ISNUMBER(SEARCH($A48,VLOOKUP(MY$2,职业列表!$B$1:$G$370,6,0))),"★","")</f>
        <v/>
      </c>
      <c r="MZ48" s="929" t="str">
        <f>IF(ISNUMBER(SEARCH($A48,VLOOKUP(MZ$2,职业列表!$B$1:$G$370,6,0))),"★","")</f>
        <v>★</v>
      </c>
      <c r="NA48" s="929" t="str">
        <f>IF(ISNUMBER(SEARCH($A48,VLOOKUP(NA$2,职业列表!$B$1:$G$370,6,0))),"★","")</f>
        <v/>
      </c>
      <c r="NB48" s="929" t="str">
        <f>IF(ISNUMBER(SEARCH($A48,VLOOKUP(NB$2,职业列表!$B$1:$G$370,6,0))),"★","")</f>
        <v>★</v>
      </c>
      <c r="NC48" s="929" t="str">
        <f>IF(ISNUMBER(SEARCH($A48,VLOOKUP(NC$2,职业列表!$B$1:$G$370,6,0))),"★","")</f>
        <v/>
      </c>
      <c r="ND48" s="929" t="str">
        <f>IF(ISNUMBER(SEARCH($A48,VLOOKUP(ND$2,职业列表!$B$1:$G$370,6,0))),"★","")</f>
        <v>★</v>
      </c>
      <c r="NE48" s="929" t="str">
        <f>IF(ISNUMBER(SEARCH($A48,VLOOKUP(NE$2,职业列表!$B$1:$G$370,6,0))),"★","")</f>
        <v>★</v>
      </c>
    </row>
    <row r="49" customFormat="1" spans="1:369">
      <c r="A49" s="932" t="s">
        <v>83</v>
      </c>
      <c r="B49" s="939" t="str">
        <f>IF(OR(A49="说服",A49="话术",A49="取悦",A49="恐吓"),"☯",IF(ISNUMBER(SEARCH(A49,VLOOKUP(IX$2,职业列表!$B$1:$G$370,6,0))),"★",""))</f>
        <v/>
      </c>
      <c r="C49" s="939" t="str">
        <f>IF(ISTEXT(IFERROR(VLOOKUP(A49,职业列表!I3:J10,1,FALSE),0)),"★","")</f>
        <v/>
      </c>
      <c r="D49" s="939"/>
      <c r="E49" s="939"/>
      <c r="F49" s="939"/>
      <c r="G49" s="939"/>
      <c r="H49" s="939"/>
      <c r="I49" s="939"/>
      <c r="J49" s="939"/>
      <c r="K49" s="939"/>
      <c r="L49" s="939"/>
      <c r="M49" s="939"/>
      <c r="N49" s="939"/>
      <c r="O49" s="939"/>
      <c r="P49" s="939"/>
      <c r="Q49" s="939"/>
      <c r="R49" s="939" t="s">
        <v>2716</v>
      </c>
      <c r="S49" s="939"/>
      <c r="T49" s="939"/>
      <c r="U49" s="939"/>
      <c r="V49" s="939"/>
      <c r="W49" s="939"/>
      <c r="X49" s="939"/>
      <c r="Y49" s="939"/>
      <c r="Z49" s="939"/>
      <c r="AA49" s="939"/>
      <c r="AB49" s="939"/>
      <c r="AC49" s="939"/>
      <c r="AD49" s="939"/>
      <c r="AE49" s="939"/>
      <c r="AF49" s="939"/>
      <c r="AG49" s="939"/>
      <c r="AH49" s="939"/>
      <c r="AI49" s="939"/>
      <c r="AJ49" s="939"/>
      <c r="AK49" s="939"/>
      <c r="AL49" s="939"/>
      <c r="AM49" s="939"/>
      <c r="AN49" s="939"/>
      <c r="AO49" s="939" t="s">
        <v>74</v>
      </c>
      <c r="AP49" s="939" t="s">
        <v>74</v>
      </c>
      <c r="AQ49" s="939"/>
      <c r="AR49" s="939"/>
      <c r="AS49" s="939"/>
      <c r="AT49" s="939"/>
      <c r="AU49" s="939"/>
      <c r="AV49" s="939"/>
      <c r="AW49" s="939"/>
      <c r="AX49" s="939"/>
      <c r="AY49" s="939"/>
      <c r="AZ49" s="939"/>
      <c r="BA49" s="939"/>
      <c r="BB49" s="939"/>
      <c r="BC49" s="939"/>
      <c r="BD49" s="939"/>
      <c r="BE49" s="939"/>
      <c r="BF49" s="939"/>
      <c r="BG49" s="939"/>
      <c r="BH49" s="939"/>
      <c r="BI49" s="939"/>
      <c r="BJ49" s="939"/>
      <c r="BK49" s="939"/>
      <c r="BL49" s="939"/>
      <c r="BM49" s="939"/>
      <c r="BN49" s="939"/>
      <c r="BO49" s="939"/>
      <c r="BP49" s="939"/>
      <c r="BQ49" s="939"/>
      <c r="BR49" s="939"/>
      <c r="BS49" s="939"/>
      <c r="BT49" s="939"/>
      <c r="BU49" s="939"/>
      <c r="BV49" s="939"/>
      <c r="BW49" s="939"/>
      <c r="BX49" s="939"/>
      <c r="BY49" s="939"/>
      <c r="BZ49" s="939"/>
      <c r="CA49" s="939"/>
      <c r="CB49" s="939" t="s">
        <v>74</v>
      </c>
      <c r="CC49" s="939"/>
      <c r="CD49" s="939"/>
      <c r="CE49" s="939" t="s">
        <v>74</v>
      </c>
      <c r="CF49" s="939"/>
      <c r="CG49" s="939" t="s">
        <v>74</v>
      </c>
      <c r="CH49" s="939"/>
      <c r="CI49" s="939"/>
      <c r="CJ49" s="939"/>
      <c r="CK49" s="939"/>
      <c r="CL49" s="939"/>
      <c r="CM49" s="939"/>
      <c r="CN49" s="939"/>
      <c r="CO49" s="939"/>
      <c r="CP49" s="939"/>
      <c r="CQ49" s="939"/>
      <c r="CR49" s="939"/>
      <c r="CS49" s="939"/>
      <c r="CT49" s="939"/>
      <c r="CU49" s="939"/>
      <c r="CV49" s="939"/>
      <c r="CW49" s="939"/>
      <c r="CX49" s="939"/>
      <c r="CY49" s="939"/>
      <c r="CZ49" s="939"/>
      <c r="DA49" s="939"/>
      <c r="DB49" s="939"/>
      <c r="DC49" s="939"/>
      <c r="DD49" s="939"/>
      <c r="DE49" s="939"/>
      <c r="DF49" s="939" t="s">
        <v>74</v>
      </c>
      <c r="DG49" s="939" t="s">
        <v>74</v>
      </c>
      <c r="DH49" s="939"/>
      <c r="DI49" s="939"/>
      <c r="DJ49" s="939"/>
      <c r="DK49" s="939"/>
      <c r="DL49" s="939"/>
      <c r="DM49" s="939"/>
      <c r="DN49" s="939"/>
      <c r="DO49" s="939"/>
      <c r="DP49" s="939"/>
      <c r="DQ49" s="939"/>
      <c r="DR49" s="939"/>
      <c r="DS49" s="939"/>
      <c r="DT49" s="939"/>
      <c r="DU49" s="939" t="s">
        <v>74</v>
      </c>
      <c r="DV49" s="939"/>
      <c r="DW49" s="939" t="s">
        <v>74</v>
      </c>
      <c r="DX49" s="939"/>
      <c r="DY49" s="939"/>
      <c r="DZ49" s="939"/>
      <c r="EA49" s="939"/>
      <c r="EB49" s="939"/>
      <c r="EC49" s="939"/>
      <c r="ED49" s="939"/>
      <c r="EE49" s="939"/>
      <c r="EF49" s="939"/>
      <c r="EG49" s="939"/>
      <c r="EH49" s="939"/>
      <c r="EI49" s="939"/>
      <c r="EJ49" s="939"/>
      <c r="EK49" s="939"/>
      <c r="EL49" s="939"/>
      <c r="EM49" s="939"/>
      <c r="EN49" s="939"/>
      <c r="EO49" s="939"/>
      <c r="EP49" s="939"/>
      <c r="EQ49" s="939"/>
      <c r="ER49" s="939"/>
      <c r="ES49" s="939"/>
      <c r="ET49" s="939"/>
      <c r="EU49" s="939"/>
      <c r="EV49" s="939"/>
      <c r="EW49" s="939"/>
      <c r="EX49" s="939"/>
      <c r="EY49" s="939"/>
      <c r="EZ49" s="939"/>
      <c r="FA49" s="939"/>
      <c r="FB49" s="939"/>
      <c r="FC49" s="939"/>
      <c r="FD49" s="939"/>
      <c r="FE49" s="939"/>
      <c r="FF49" s="939" t="s">
        <v>74</v>
      </c>
      <c r="FG49" s="939" t="s">
        <v>74</v>
      </c>
      <c r="FH49" s="939" t="s">
        <v>74</v>
      </c>
      <c r="FI49" s="939"/>
      <c r="FJ49" s="939" t="s">
        <v>74</v>
      </c>
      <c r="FK49" s="939" t="s">
        <v>74</v>
      </c>
      <c r="FL49" s="939" t="s">
        <v>74</v>
      </c>
      <c r="FM49" s="939"/>
      <c r="FN49" s="939"/>
      <c r="FO49" s="939"/>
      <c r="FP49" s="939"/>
      <c r="FQ49" s="939"/>
      <c r="FR49" s="939"/>
      <c r="FS49" s="939"/>
      <c r="FT49" s="939"/>
      <c r="FU49" s="939"/>
      <c r="FV49" s="939"/>
      <c r="FW49" s="939"/>
      <c r="FX49" s="939"/>
      <c r="FY49" s="939"/>
      <c r="FZ49" s="939"/>
      <c r="GA49" s="939"/>
      <c r="GB49" s="939"/>
      <c r="GC49" s="939"/>
      <c r="GD49" s="939"/>
      <c r="GE49" s="939"/>
      <c r="GF49" s="939"/>
      <c r="GG49" s="939"/>
      <c r="GH49" s="939"/>
      <c r="GI49" s="939"/>
      <c r="GJ49" s="939"/>
      <c r="GK49" s="939"/>
      <c r="GL49" s="939"/>
      <c r="GM49" s="939"/>
      <c r="GN49" s="939"/>
      <c r="GO49" s="939"/>
      <c r="GP49" s="939" t="s">
        <v>74</v>
      </c>
      <c r="GQ49" s="939" t="s">
        <v>74</v>
      </c>
      <c r="GR49" s="939"/>
      <c r="GS49" s="939"/>
      <c r="GT49" s="939"/>
      <c r="GU49" s="939"/>
      <c r="GV49" s="939"/>
      <c r="GW49" s="939"/>
      <c r="GX49" s="939"/>
      <c r="GY49" s="939"/>
      <c r="GZ49" s="939"/>
      <c r="HA49" s="939"/>
      <c r="HB49" s="939"/>
      <c r="HC49" s="939"/>
      <c r="HD49" s="939"/>
      <c r="HE49" s="939"/>
      <c r="HF49" s="939"/>
      <c r="HG49" s="939"/>
      <c r="HH49" s="939"/>
      <c r="HI49" s="939"/>
      <c r="HJ49" s="939"/>
      <c r="HK49" s="939"/>
      <c r="HL49" s="939"/>
      <c r="HM49" s="939"/>
      <c r="HN49" s="939"/>
      <c r="HO49" s="939"/>
      <c r="HP49" s="939"/>
      <c r="HQ49" s="939"/>
      <c r="HR49" s="939"/>
      <c r="HS49" s="939"/>
      <c r="HT49" s="939"/>
      <c r="HU49" s="939"/>
      <c r="HV49" s="939"/>
      <c r="HW49" s="939"/>
      <c r="HX49" s="990"/>
      <c r="HY49" s="1012"/>
      <c r="HZ49" s="1012"/>
      <c r="IA49" s="939" t="s">
        <v>74</v>
      </c>
      <c r="IB49" s="1012"/>
      <c r="IC49" s="1013"/>
      <c r="ID49" s="1013"/>
      <c r="IE49" s="1012"/>
      <c r="IF49" s="1012"/>
      <c r="IG49" s="1012"/>
      <c r="IH49" s="1012"/>
      <c r="II49" s="1012"/>
      <c r="IJ49" s="1012"/>
      <c r="IK49" s="1012"/>
      <c r="IL49" s="1012"/>
      <c r="IM49" s="1012"/>
      <c r="IN49" s="1012"/>
      <c r="IO49" s="1012"/>
      <c r="IP49" s="1013"/>
      <c r="IQ49" s="1013"/>
      <c r="IR49" s="1012"/>
      <c r="IS49" s="1012"/>
      <c r="IT49" s="1012"/>
      <c r="IU49" s="972" t="s">
        <v>74</v>
      </c>
      <c r="IV49" s="1012"/>
      <c r="IW49" s="929"/>
      <c r="IX49" s="929" t="str">
        <f>IF(ISNUMBER(SEARCH($A49,VLOOKUP(IX$2,职业列表!$B$1:$G$370,6,0))),"★","")</f>
        <v/>
      </c>
      <c r="IY49" s="929" t="str">
        <f>IF(ISNUMBER(SEARCH($A49,VLOOKUP(IY$2,职业列表!$B$1:$G$370,6,0))),"★","")</f>
        <v/>
      </c>
      <c r="IZ49" s="929" t="str">
        <f>IF(ISNUMBER(SEARCH($A49,VLOOKUP(IZ$2,职业列表!$B$1:$G$370,6,0))),"★","")</f>
        <v/>
      </c>
      <c r="JA49" s="929" t="str">
        <f>IF(ISNUMBER(SEARCH($A49,VLOOKUP(JA$2,职业列表!$B$1:$G$370,6,0))),"★","")</f>
        <v/>
      </c>
      <c r="JB49" s="929" t="str">
        <f>IF(ISNUMBER(SEARCH($A49,VLOOKUP(JB$2,职业列表!$B$1:$G$370,6,0))),"★","")</f>
        <v/>
      </c>
      <c r="JC49" s="929" t="str">
        <f>IF(ISNUMBER(SEARCH($A49,VLOOKUP(JC$2,职业列表!$B$1:$G$370,6,0))),"★","")</f>
        <v/>
      </c>
      <c r="JD49" s="929" t="str">
        <f>IF(ISNUMBER(SEARCH($A49,VLOOKUP(JD$2,职业列表!$B$1:$G$370,6,0))),"★","")</f>
        <v/>
      </c>
      <c r="JE49" s="929" t="str">
        <f>IF(ISNUMBER(SEARCH($A49,VLOOKUP(JE$2,职业列表!$B$1:$G$370,6,0))),"★","")</f>
        <v/>
      </c>
      <c r="JF49" s="929" t="str">
        <f>IF(ISNUMBER(SEARCH($A49,VLOOKUP(JF$2,职业列表!$B$1:$G$370,6,0))),"★","")</f>
        <v/>
      </c>
      <c r="JG49" s="929" t="str">
        <f>IF(ISNUMBER(SEARCH($A49,VLOOKUP(JG$2,职业列表!$B$1:$G$370,6,0))),"★","")</f>
        <v/>
      </c>
      <c r="JH49" s="929" t="str">
        <f>IF(ISNUMBER(SEARCH($A49,VLOOKUP(JH$2,职业列表!$B$1:$G$370,6,0))),"★","")</f>
        <v/>
      </c>
      <c r="JI49" s="929" t="str">
        <f>IF(ISNUMBER(SEARCH($A49,VLOOKUP(JI$2,职业列表!$B$1:$G$370,6,0))),"★","")</f>
        <v/>
      </c>
      <c r="JJ49" s="929" t="str">
        <f>IF(ISNUMBER(SEARCH($A49,VLOOKUP(JJ$2,职业列表!$B$1:$G$370,6,0))),"★","")</f>
        <v/>
      </c>
      <c r="JK49" s="929" t="str">
        <f>IF(ISNUMBER(SEARCH($A49,VLOOKUP(JK$2,职业列表!$B$1:$G$370,6,0))),"★","")</f>
        <v>★</v>
      </c>
      <c r="JL49" s="929" t="str">
        <f>IF(ISNUMBER(SEARCH($A49,VLOOKUP(JL$2,职业列表!$B$1:$G$370,6,0))),"★","")</f>
        <v/>
      </c>
      <c r="JM49" s="929" t="str">
        <f>IF(ISNUMBER(SEARCH($A49,VLOOKUP(JM$2,职业列表!$B$1:$G$370,6,0))),"★","")</f>
        <v/>
      </c>
      <c r="JN49" s="929" t="str">
        <f>IF(ISNUMBER(SEARCH($A49,VLOOKUP(JN$2,职业列表!$B$1:$G$370,6,0))),"★","")</f>
        <v/>
      </c>
      <c r="JO49" s="929" t="str">
        <f>IF(ISNUMBER(SEARCH($A49,VLOOKUP(JO$2,职业列表!$B$1:$G$370,6,0))),"★","")</f>
        <v/>
      </c>
      <c r="JP49" s="929" t="str">
        <f>IF(ISNUMBER(SEARCH($A49,VLOOKUP(JP$2,职业列表!$B$1:$G$370,6,0))),"★","")</f>
        <v>★</v>
      </c>
      <c r="JQ49" s="929" t="str">
        <f>IF(ISNUMBER(SEARCH($A49,VLOOKUP(JQ$2,职业列表!$B$1:$G$370,6,0))),"★","")</f>
        <v/>
      </c>
      <c r="JR49" s="929" t="str">
        <f>IF(ISNUMBER(SEARCH($A49,VLOOKUP(JR$2,职业列表!$B$1:$G$370,6,0))),"★","")</f>
        <v/>
      </c>
      <c r="JS49" s="929" t="str">
        <f>IF(ISNUMBER(SEARCH($A49,VLOOKUP(JS$2,职业列表!$B$1:$G$370,6,0))),"★","")</f>
        <v/>
      </c>
      <c r="JT49" s="929" t="str">
        <f>IF(ISNUMBER(SEARCH($A49,VLOOKUP(JT$2,职业列表!$B$1:$G$370,6,0))),"★","")</f>
        <v/>
      </c>
      <c r="JU49" s="929" t="str">
        <f>IF(ISNUMBER(SEARCH($A49,VLOOKUP(JU$2,职业列表!$B$1:$G$370,6,0))),"★","")</f>
        <v/>
      </c>
      <c r="JV49" s="929" t="str">
        <f>IF(ISNUMBER(SEARCH($A49,VLOOKUP(JV$2,职业列表!$B$1:$G$370,6,0))),"★","")</f>
        <v/>
      </c>
      <c r="JW49" s="929" t="str">
        <f>IF(ISNUMBER(SEARCH($A49,VLOOKUP(JW$2,职业列表!$B$1:$G$370,6,0))),"★","")</f>
        <v/>
      </c>
      <c r="JX49" s="929" t="str">
        <f>IF(ISNUMBER(SEARCH($A49,VLOOKUP(JX$2,职业列表!$B$1:$G$370,6,0))),"★","")</f>
        <v/>
      </c>
      <c r="JY49" s="929" t="str">
        <f>IF(ISNUMBER(SEARCH($A49,VLOOKUP(JY$2,职业列表!$B$1:$G$370,6,0))),"★","")</f>
        <v/>
      </c>
      <c r="JZ49" s="929" t="str">
        <f>IF(ISNUMBER(SEARCH($A49,VLOOKUP(JZ$2,职业列表!$B$1:$G$370,6,0))),"★","")</f>
        <v/>
      </c>
      <c r="KA49" s="929" t="str">
        <f>IF(ISNUMBER(SEARCH($A49,VLOOKUP(KA$2,职业列表!$B$1:$G$370,6,0))),"★","")</f>
        <v>★</v>
      </c>
      <c r="KB49" s="929" t="str">
        <f>IF(ISNUMBER(SEARCH($A49,VLOOKUP(KB$2,职业列表!$B$1:$G$370,6,0))),"★","")</f>
        <v>★</v>
      </c>
      <c r="KC49" s="929" t="str">
        <f>IF(ISNUMBER(SEARCH($A49,VLOOKUP(KC$2,职业列表!$B$1:$G$370,6,0))),"★","")</f>
        <v/>
      </c>
      <c r="KD49" s="929" t="str">
        <f>IF(ISNUMBER(SEARCH($A49,VLOOKUP(KD$2,职业列表!$B$1:$G$370,6,0))),"★","")</f>
        <v/>
      </c>
      <c r="KE49" s="929" t="str">
        <f>IF(ISNUMBER(SEARCH($A49,VLOOKUP(KE$2,职业列表!$B$1:$G$370,6,0))),"★","")</f>
        <v/>
      </c>
      <c r="KF49" s="929" t="str">
        <f>IF(ISNUMBER(SEARCH($A49,VLOOKUP(KF$2,职业列表!$B$1:$G$370,6,0))),"★","")</f>
        <v>★</v>
      </c>
      <c r="KG49" s="929" t="str">
        <f>IF(ISNUMBER(SEARCH($A49,VLOOKUP(KG$2,职业列表!$B$1:$G$370,6,0))),"★","")</f>
        <v/>
      </c>
      <c r="KH49" s="929" t="str">
        <f>IF(ISNUMBER(SEARCH($A49,VLOOKUP(KH$2,职业列表!$B$1:$G$370,6,0))),"★","")</f>
        <v/>
      </c>
      <c r="KI49" s="929" t="str">
        <f>IF(ISNUMBER(SEARCH($A49,VLOOKUP(KI$2,职业列表!$B$1:$G$370,6,0))),"★","")</f>
        <v/>
      </c>
      <c r="KJ49" s="929" t="str">
        <f>IF(ISNUMBER(SEARCH($A49,VLOOKUP(KJ$2,职业列表!$B$1:$G$370,6,0))),"★","")</f>
        <v/>
      </c>
      <c r="KK49" s="929" t="str">
        <f>IF(ISNUMBER(SEARCH($A49,VLOOKUP(KK$2,职业列表!$B$1:$G$370,6,0))),"★","")</f>
        <v>★</v>
      </c>
      <c r="KL49" s="929" t="str">
        <f>IF(ISNUMBER(SEARCH($A49,VLOOKUP(KL$2,职业列表!$B$1:$G$370,6,0))),"★","")</f>
        <v/>
      </c>
      <c r="KM49" s="929" t="str">
        <f>IF(ISNUMBER(SEARCH($A49,VLOOKUP(KM$2,职业列表!$B$1:$G$370,6,0))),"★","")</f>
        <v/>
      </c>
      <c r="KN49" s="929" t="str">
        <f>IF(ISNUMBER(SEARCH($A49,VLOOKUP(KN$2,职业列表!$B$1:$G$370,6,0))),"★","")</f>
        <v/>
      </c>
      <c r="KO49" s="929" t="str">
        <f>IF(ISNUMBER(SEARCH($A49,VLOOKUP(KO$2,职业列表!$B$1:$G$370,6,0))),"★","")</f>
        <v/>
      </c>
      <c r="KP49" s="929" t="str">
        <f>IF(ISNUMBER(SEARCH($A49,VLOOKUP(KP$2,职业列表!$B$1:$G$370,6,0))),"★","")</f>
        <v/>
      </c>
      <c r="KQ49" s="929" t="str">
        <f>IF(ISNUMBER(SEARCH($A49,VLOOKUP(KQ$2,职业列表!$B$1:$G$370,6,0))),"★","")</f>
        <v/>
      </c>
      <c r="KR49" s="929" t="str">
        <f>IF(ISNUMBER(SEARCH($A49,VLOOKUP(KR$2,职业列表!$B$1:$G$370,6,0))),"★","")</f>
        <v/>
      </c>
      <c r="KS49" s="929" t="str">
        <f>IF(ISNUMBER(SEARCH($A49,VLOOKUP(KS$2,职业列表!$B$1:$G$370,6,0))),"★","")</f>
        <v/>
      </c>
      <c r="KT49" s="929" t="str">
        <f>IF(ISNUMBER(SEARCH($A49,VLOOKUP(KT$2,职业列表!$B$1:$G$370,6,0))),"★","")</f>
        <v/>
      </c>
      <c r="KU49" s="929" t="str">
        <f>IF(ISNUMBER(SEARCH($A49,VLOOKUP(KU$2,职业列表!$B$1:$G$370,6,0))),"★","")</f>
        <v/>
      </c>
      <c r="KV49" s="929" t="str">
        <f>IF(ISNUMBER(SEARCH($A49,VLOOKUP(KV$2,职业列表!$B$1:$G$370,6,0))),"★","")</f>
        <v/>
      </c>
      <c r="KW49" s="929" t="str">
        <f>IF(ISNUMBER(SEARCH($A49,VLOOKUP(KW$2,职业列表!$B$1:$G$370,6,0))),"★","")</f>
        <v/>
      </c>
      <c r="KX49" s="929" t="str">
        <f>IF(ISNUMBER(SEARCH($A49,VLOOKUP(KX$2,职业列表!$B$1:$G$370,6,0))),"★","")</f>
        <v/>
      </c>
      <c r="KY49" s="929" t="str">
        <f>IF(ISNUMBER(SEARCH($A49,VLOOKUP(KY$2,职业列表!$B$1:$G$370,6,0))),"★","")</f>
        <v/>
      </c>
      <c r="KZ49" s="929" t="str">
        <f>IF(ISNUMBER(SEARCH($A49,VLOOKUP(KZ$2,职业列表!$B$1:$G$370,6,0))),"★","")</f>
        <v/>
      </c>
      <c r="LA49" s="929" t="str">
        <f>IF(ISNUMBER(SEARCH($A49,VLOOKUP(LA$2,职业列表!$B$1:$G$370,6,0))),"★","")</f>
        <v/>
      </c>
      <c r="LB49" s="929" t="str">
        <f>IF(ISNUMBER(SEARCH($A49,VLOOKUP(LB$2,职业列表!$B$1:$G$370,6,0))),"★","")</f>
        <v/>
      </c>
      <c r="LC49" s="929" t="str">
        <f>IF(ISNUMBER(SEARCH($A49,VLOOKUP(LC$2,职业列表!$B$1:$G$370,6,0))),"★","")</f>
        <v/>
      </c>
      <c r="LD49" s="929" t="str">
        <f>IF(ISNUMBER(SEARCH($A49,VLOOKUP(LD$2,职业列表!$B$1:$G$370,6,0))),"★","")</f>
        <v/>
      </c>
      <c r="LE49" s="929" t="str">
        <f>IF(ISNUMBER(SEARCH($A49,VLOOKUP(LE$2,职业列表!$B$1:$G$370,6,0))),"★","")</f>
        <v/>
      </c>
      <c r="LF49" s="929" t="str">
        <f>IF(ISNUMBER(SEARCH($A49,VLOOKUP(LF$2,职业列表!$B$1:$G$370,6,0))),"★","")</f>
        <v/>
      </c>
      <c r="LG49" s="929" t="str">
        <f>IF(ISNUMBER(SEARCH($A49,VLOOKUP(LG$2,职业列表!$B$1:$G$370,6,0))),"★","")</f>
        <v/>
      </c>
      <c r="LH49" s="929" t="str">
        <f>IF(ISNUMBER(SEARCH($A49,VLOOKUP(LH$2,职业列表!$B$1:$G$370,6,0))),"★","")</f>
        <v/>
      </c>
      <c r="LI49" s="929" t="str">
        <f>IF(ISNUMBER(SEARCH($A49,VLOOKUP(LI$2,职业列表!$B$1:$G$370,6,0))),"★","")</f>
        <v/>
      </c>
      <c r="LJ49" s="929" t="str">
        <f>IF(ISNUMBER(SEARCH($A49,VLOOKUP(LJ$2,职业列表!$B$1:$G$370,6,0))),"★","")</f>
        <v/>
      </c>
      <c r="LK49" s="929" t="str">
        <f>IF(ISNUMBER(SEARCH($A49,VLOOKUP(LK$2,职业列表!$B$1:$G$370,6,0))),"★","")</f>
        <v/>
      </c>
      <c r="LL49" s="929" t="str">
        <f>IF(ISNUMBER(SEARCH($A49,VLOOKUP(LL$2,职业列表!$B$1:$G$370,6,0))),"★","")</f>
        <v/>
      </c>
      <c r="LM49" s="929" t="str">
        <f>IF(ISNUMBER(SEARCH($A49,VLOOKUP(LM$2,职业列表!$B$1:$G$370,6,0))),"★","")</f>
        <v/>
      </c>
      <c r="LN49" s="929" t="str">
        <f>IF(ISNUMBER(SEARCH($A49,VLOOKUP(LN$2,职业列表!$B$1:$G$370,6,0))),"★","")</f>
        <v/>
      </c>
      <c r="LO49" s="929" t="str">
        <f>IF(ISNUMBER(SEARCH($A49,VLOOKUP(LO$2,职业列表!$B$1:$G$370,6,0))),"★","")</f>
        <v/>
      </c>
      <c r="LP49" s="929" t="str">
        <f>IF(ISNUMBER(SEARCH($A49,VLOOKUP(LP$2,职业列表!$B$1:$G$370,6,0))),"★","")</f>
        <v/>
      </c>
      <c r="LQ49" s="929" t="str">
        <f>IF(ISNUMBER(SEARCH($A49,VLOOKUP(LQ$2,职业列表!$B$1:$G$370,6,0))),"★","")</f>
        <v/>
      </c>
      <c r="LR49" s="929" t="str">
        <f>IF(ISNUMBER(SEARCH($A49,VLOOKUP(LR$2,职业列表!$B$1:$G$370,6,0))),"★","")</f>
        <v/>
      </c>
      <c r="LS49" s="929" t="str">
        <f>IF(ISNUMBER(SEARCH($A49,VLOOKUP(LS$2,职业列表!$B$1:$G$370,6,0))),"★","")</f>
        <v/>
      </c>
      <c r="LT49" s="929" t="str">
        <f>IF(ISNUMBER(SEARCH($A49,VLOOKUP(LT$2,职业列表!$B$1:$G$370,6,0))),"★","")</f>
        <v/>
      </c>
      <c r="LU49" s="929" t="str">
        <f>IF(ISNUMBER(SEARCH($A49,VLOOKUP(LU$2,职业列表!$B$1:$G$370,6,0))),"★","")</f>
        <v/>
      </c>
      <c r="LV49" s="929" t="str">
        <f>IF(ISNUMBER(SEARCH($A49,VLOOKUP(LV$2,职业列表!$B$1:$G$370,6,0))),"★","")</f>
        <v/>
      </c>
      <c r="LW49" s="929" t="str">
        <f>IF(ISNUMBER(SEARCH($A49,VLOOKUP(LW$2,职业列表!$B$1:$G$370,6,0))),"★","")</f>
        <v/>
      </c>
      <c r="LX49" s="929" t="str">
        <f>IF(ISNUMBER(SEARCH($A49,VLOOKUP(LX$2,职业列表!$B$1:$G$370,6,0))),"★","")</f>
        <v/>
      </c>
      <c r="LY49" s="929" t="str">
        <f>IF(ISNUMBER(SEARCH($A49,VLOOKUP(LY$2,职业列表!$B$1:$G$370,6,0))),"★","")</f>
        <v/>
      </c>
      <c r="LZ49" s="929" t="str">
        <f>IF(ISNUMBER(SEARCH($A49,VLOOKUP(LZ$2,职业列表!$B$1:$G$370,6,0))),"★","")</f>
        <v/>
      </c>
      <c r="MA49" s="929" t="str">
        <f>IF(ISNUMBER(SEARCH($A49,VLOOKUP(MA$2,职业列表!$B$1:$G$370,6,0))),"★","")</f>
        <v/>
      </c>
      <c r="MB49" s="929" t="str">
        <f>IF(ISNUMBER(SEARCH($A49,VLOOKUP(MB$2,职业列表!$B$1:$G$370,6,0))),"★","")</f>
        <v/>
      </c>
      <c r="MC49" s="929" t="str">
        <f>IF(ISNUMBER(SEARCH($A49,VLOOKUP(MC$2,职业列表!$B$1:$G$370,6,0))),"★","")</f>
        <v/>
      </c>
      <c r="MD49" s="929" t="str">
        <f>IF(ISNUMBER(SEARCH($A49,VLOOKUP(MD$2,职业列表!$B$1:$G$370,6,0))),"★","")</f>
        <v/>
      </c>
      <c r="ME49" s="929" t="str">
        <f>IF(ISNUMBER(SEARCH($A49,VLOOKUP(ME$2,职业列表!$B$1:$G$370,6,0))),"★","")</f>
        <v/>
      </c>
      <c r="MF49" s="929" t="str">
        <f>IF(ISNUMBER(SEARCH($A49,VLOOKUP(MF$2,职业列表!$B$1:$G$370,6,0))),"★","")</f>
        <v/>
      </c>
      <c r="MG49" s="929" t="str">
        <f>IF(ISNUMBER(SEARCH($A49,VLOOKUP(MG$2,职业列表!$B$1:$G$370,6,0))),"★","")</f>
        <v/>
      </c>
      <c r="MH49" s="929" t="str">
        <f>IF(ISNUMBER(SEARCH($A49,VLOOKUP(MH$2,职业列表!$B$1:$G$370,6,0))),"★","")</f>
        <v/>
      </c>
      <c r="MI49" s="929" t="str">
        <f>IF(ISNUMBER(SEARCH($A49,VLOOKUP(MI$2,职业列表!$B$1:$G$370,6,0))),"★","")</f>
        <v/>
      </c>
      <c r="MJ49" s="929" t="str">
        <f>IF(ISNUMBER(SEARCH($A49,VLOOKUP(MJ$2,职业列表!$B$1:$G$370,6,0))),"★","")</f>
        <v/>
      </c>
      <c r="MK49" s="929" t="str">
        <f>IF(ISNUMBER(SEARCH($A49,VLOOKUP(MK$2,职业列表!$B$1:$G$370,6,0))),"★","")</f>
        <v/>
      </c>
      <c r="ML49" s="929" t="str">
        <f>IF(ISNUMBER(SEARCH($A49,VLOOKUP(ML$2,职业列表!$B$1:$G$370,6,0))),"★","")</f>
        <v/>
      </c>
      <c r="MM49" s="929" t="str">
        <f>IF(ISNUMBER(SEARCH($A49,VLOOKUP(MM$2,职业列表!$B$1:$G$370,6,0))),"★","")</f>
        <v/>
      </c>
      <c r="MN49" s="929" t="str">
        <f>IF(ISNUMBER(SEARCH($A49,VLOOKUP(MN$2,职业列表!$B$1:$G$370,6,0))),"★","")</f>
        <v>★</v>
      </c>
      <c r="MO49" s="929" t="str">
        <f>IF(ISNUMBER(SEARCH($A49,VLOOKUP(MO$2,职业列表!$B$1:$G$370,6,0))),"★","")</f>
        <v/>
      </c>
      <c r="MP49" s="929" t="str">
        <f>IF(ISNUMBER(SEARCH($A49,VLOOKUP(MP$2,职业列表!$B$1:$G$370,6,0))),"★","")</f>
        <v/>
      </c>
      <c r="MQ49" s="929" t="str">
        <f>IF(ISNUMBER(SEARCH($A49,VLOOKUP(MQ$2,职业列表!$B$1:$G$370,6,0))),"★","")</f>
        <v/>
      </c>
      <c r="MR49" s="929" t="str">
        <f>IF(ISNUMBER(SEARCH($A49,VLOOKUP(MR$2,职业列表!$B$1:$G$370,6,0))),"★","")</f>
        <v/>
      </c>
      <c r="MS49" s="929" t="str">
        <f>IF(ISNUMBER(SEARCH($A49,VLOOKUP(MS$2,职业列表!$B$1:$G$370,6,0))),"★","")</f>
        <v/>
      </c>
      <c r="MT49" s="929" t="str">
        <f>IF(ISNUMBER(SEARCH($A49,VLOOKUP(MT$2,职业列表!$B$1:$G$370,6,0))),"★","")</f>
        <v/>
      </c>
      <c r="MU49" s="929" t="str">
        <f>IF(ISNUMBER(SEARCH($A49,VLOOKUP(MU$2,职业列表!$B$1:$G$370,6,0))),"★","")</f>
        <v/>
      </c>
      <c r="MV49" s="929" t="str">
        <f>IF(ISNUMBER(SEARCH($A49,VLOOKUP(MV$2,职业列表!$B$1:$G$370,6,0))),"★","")</f>
        <v/>
      </c>
      <c r="MW49" s="929" t="str">
        <f>IF(ISNUMBER(SEARCH($A49,VLOOKUP(MW$2,职业列表!$B$1:$G$370,6,0))),"★","")</f>
        <v/>
      </c>
      <c r="MX49" s="929" t="str">
        <f>IF(ISNUMBER(SEARCH($A49,VLOOKUP(MX$2,职业列表!$B$1:$G$370,6,0))),"★","")</f>
        <v/>
      </c>
      <c r="MY49" s="929" t="str">
        <f>IF(ISNUMBER(SEARCH($A49,VLOOKUP(MY$2,职业列表!$B$1:$G$370,6,0))),"★","")</f>
        <v/>
      </c>
      <c r="MZ49" s="929" t="str">
        <f>IF(ISNUMBER(SEARCH($A49,VLOOKUP(MZ$2,职业列表!$B$1:$G$370,6,0))),"★","")</f>
        <v/>
      </c>
      <c r="NA49" s="929" t="str">
        <f>IF(ISNUMBER(SEARCH($A49,VLOOKUP(NA$2,职业列表!$B$1:$G$370,6,0))),"★","")</f>
        <v/>
      </c>
      <c r="NB49" s="929" t="str">
        <f>IF(ISNUMBER(SEARCH($A49,VLOOKUP(NB$2,职业列表!$B$1:$G$370,6,0))),"★","")</f>
        <v/>
      </c>
      <c r="NC49" s="929" t="str">
        <f>IF(ISNUMBER(SEARCH($A49,VLOOKUP(NC$2,职业列表!$B$1:$G$370,6,0))),"★","")</f>
        <v/>
      </c>
      <c r="ND49" s="929" t="str">
        <f>IF(ISNUMBER(SEARCH($A49,VLOOKUP(ND$2,职业列表!$B$1:$G$370,6,0))),"★","")</f>
        <v/>
      </c>
      <c r="NE49" s="929" t="str">
        <f>IF(ISNUMBER(SEARCH($A49,VLOOKUP(NE$2,职业列表!$B$1:$G$370,6,0))),"★","")</f>
        <v/>
      </c>
    </row>
    <row r="50" customFormat="1" spans="1:369">
      <c r="A50" s="932" t="s">
        <v>88</v>
      </c>
      <c r="B50" s="939" t="str">
        <f>IF(OR(A50="说服",A50="话术",A50="取悦",A50="恐吓"),"☯",IF(ISNUMBER(SEARCH(A50,VLOOKUP(IX$2,职业列表!$B$1:$G$370,6,0))),"★",""))</f>
        <v/>
      </c>
      <c r="C50" s="939" t="str">
        <f>IF(ISTEXT(IFERROR(VLOOKUP(A50,职业列表!I3:J10,1,FALSE),0)),"★","")</f>
        <v/>
      </c>
      <c r="D50" s="939"/>
      <c r="E50" s="939"/>
      <c r="F50" s="939"/>
      <c r="G50" s="939"/>
      <c r="H50" s="939"/>
      <c r="I50" s="939"/>
      <c r="J50" s="939"/>
      <c r="K50" s="939"/>
      <c r="L50" s="939"/>
      <c r="M50" s="939"/>
      <c r="N50" s="939"/>
      <c r="O50" s="939"/>
      <c r="P50" s="939"/>
      <c r="Q50" s="939"/>
      <c r="R50" s="939"/>
      <c r="S50" s="939"/>
      <c r="T50" s="939"/>
      <c r="U50" s="939"/>
      <c r="V50" s="939"/>
      <c r="W50" s="939"/>
      <c r="X50" s="939"/>
      <c r="Y50" s="939"/>
      <c r="Z50" s="939"/>
      <c r="AA50" s="939"/>
      <c r="AB50" s="939"/>
      <c r="AC50" s="939"/>
      <c r="AD50" s="939"/>
      <c r="AE50" s="939" t="s">
        <v>74</v>
      </c>
      <c r="AF50" s="939"/>
      <c r="AG50" s="939"/>
      <c r="AH50" s="939"/>
      <c r="AI50" s="939"/>
      <c r="AJ50" s="939"/>
      <c r="AK50" s="939"/>
      <c r="AL50" s="939"/>
      <c r="AM50" s="939"/>
      <c r="AN50" s="939"/>
      <c r="AO50" s="939"/>
      <c r="AP50" s="939"/>
      <c r="AQ50" s="939"/>
      <c r="AR50" s="939"/>
      <c r="AS50" s="939"/>
      <c r="AT50" s="939"/>
      <c r="AU50" s="939"/>
      <c r="AV50" s="939"/>
      <c r="AW50" s="939"/>
      <c r="AX50" s="939"/>
      <c r="AY50" s="939"/>
      <c r="AZ50" s="939"/>
      <c r="BA50" s="939" t="s">
        <v>74</v>
      </c>
      <c r="BB50" s="939"/>
      <c r="BC50" s="939"/>
      <c r="BD50" s="939" t="s">
        <v>74</v>
      </c>
      <c r="BE50" s="939"/>
      <c r="BF50" s="939" t="s">
        <v>74</v>
      </c>
      <c r="BG50" s="939"/>
      <c r="BH50" s="939"/>
      <c r="BI50" s="939"/>
      <c r="BJ50" s="939"/>
      <c r="BK50" s="939"/>
      <c r="BL50" s="939"/>
      <c r="BM50" s="939"/>
      <c r="BN50" s="939"/>
      <c r="BO50" s="939"/>
      <c r="BP50" s="939"/>
      <c r="BQ50" s="939"/>
      <c r="BR50" s="939"/>
      <c r="BS50" s="939" t="s">
        <v>74</v>
      </c>
      <c r="BT50" s="939"/>
      <c r="BU50" s="939" t="s">
        <v>74</v>
      </c>
      <c r="BV50" s="939"/>
      <c r="BW50" s="939"/>
      <c r="BX50" s="939" t="s">
        <v>74</v>
      </c>
      <c r="BY50" s="939"/>
      <c r="BZ50" s="939"/>
      <c r="CA50" s="939"/>
      <c r="CB50" s="939"/>
      <c r="CC50" s="939"/>
      <c r="CD50" s="939"/>
      <c r="CE50" s="939"/>
      <c r="CF50" s="939"/>
      <c r="CG50" s="939"/>
      <c r="CH50" s="939"/>
      <c r="CI50" s="939"/>
      <c r="CJ50" s="939"/>
      <c r="CK50" s="939" t="s">
        <v>74</v>
      </c>
      <c r="CL50" s="939"/>
      <c r="CM50" s="939"/>
      <c r="CN50" s="939"/>
      <c r="CO50" s="939"/>
      <c r="CP50" s="939"/>
      <c r="CQ50" s="939"/>
      <c r="CR50" s="939"/>
      <c r="CS50" s="939"/>
      <c r="CT50" s="939"/>
      <c r="CU50" s="939"/>
      <c r="CV50" s="939"/>
      <c r="CW50" s="939"/>
      <c r="CX50" s="939"/>
      <c r="CY50" s="939"/>
      <c r="CZ50" s="939"/>
      <c r="DA50" s="939"/>
      <c r="DB50" s="939"/>
      <c r="DC50" s="939"/>
      <c r="DD50" s="939"/>
      <c r="DE50" s="939"/>
      <c r="DF50" s="939"/>
      <c r="DG50" s="939"/>
      <c r="DH50" s="939" t="s">
        <v>74</v>
      </c>
      <c r="DI50" s="939"/>
      <c r="DJ50" s="939"/>
      <c r="DK50" s="939"/>
      <c r="DL50" s="939"/>
      <c r="DM50" s="939"/>
      <c r="DN50" s="939"/>
      <c r="DO50" s="939"/>
      <c r="DP50" s="939"/>
      <c r="DQ50" s="939"/>
      <c r="DR50" s="939"/>
      <c r="DS50" s="939"/>
      <c r="DT50" s="939"/>
      <c r="DU50" s="939"/>
      <c r="DV50" s="939"/>
      <c r="DW50" s="939"/>
      <c r="DX50" s="939"/>
      <c r="DY50" s="939"/>
      <c r="DZ50" s="939"/>
      <c r="EA50" s="939"/>
      <c r="EB50" s="939"/>
      <c r="EC50" s="939"/>
      <c r="ED50" s="939"/>
      <c r="EE50" s="939"/>
      <c r="EF50" s="939"/>
      <c r="EG50" s="939"/>
      <c r="EH50" s="939"/>
      <c r="EI50" s="939"/>
      <c r="EJ50" s="939"/>
      <c r="EK50" s="939"/>
      <c r="EL50" s="939"/>
      <c r="EM50" s="939"/>
      <c r="EN50" s="939" t="s">
        <v>74</v>
      </c>
      <c r="EO50" s="939"/>
      <c r="EP50" s="939"/>
      <c r="EQ50" s="939"/>
      <c r="ER50" s="939"/>
      <c r="ES50" s="939"/>
      <c r="ET50" s="939"/>
      <c r="EU50" s="939"/>
      <c r="EV50" s="939"/>
      <c r="EW50" s="939"/>
      <c r="EX50" s="939"/>
      <c r="EY50" s="939"/>
      <c r="EZ50" s="939"/>
      <c r="FA50" s="939"/>
      <c r="FB50" s="939"/>
      <c r="FC50" s="939"/>
      <c r="FD50" s="939"/>
      <c r="FE50" s="939"/>
      <c r="FF50" s="939"/>
      <c r="FG50" s="939"/>
      <c r="FH50" s="939"/>
      <c r="FI50" s="939"/>
      <c r="FJ50" s="939"/>
      <c r="FK50" s="939"/>
      <c r="FL50" s="939"/>
      <c r="FM50" s="939"/>
      <c r="FN50" s="939"/>
      <c r="FO50" s="939"/>
      <c r="FP50" s="939" t="s">
        <v>74</v>
      </c>
      <c r="FQ50" s="939"/>
      <c r="FR50" s="939"/>
      <c r="FS50" s="939"/>
      <c r="FT50" s="939"/>
      <c r="FU50" s="939"/>
      <c r="FV50" s="939"/>
      <c r="FW50" s="939"/>
      <c r="FX50" s="939"/>
      <c r="FY50" s="939"/>
      <c r="FZ50" s="939"/>
      <c r="GA50" s="939"/>
      <c r="GB50" s="939"/>
      <c r="GC50" s="939"/>
      <c r="GD50" s="939"/>
      <c r="GE50" s="939"/>
      <c r="GF50" s="939"/>
      <c r="GG50" s="939"/>
      <c r="GH50" s="939"/>
      <c r="GI50" s="939"/>
      <c r="GJ50" s="939"/>
      <c r="GK50" s="939"/>
      <c r="GL50" s="939"/>
      <c r="GM50" s="939"/>
      <c r="GN50" s="939"/>
      <c r="GO50" s="939"/>
      <c r="GP50" s="939"/>
      <c r="GQ50" s="939"/>
      <c r="GR50" s="939" t="s">
        <v>74</v>
      </c>
      <c r="GS50" s="939"/>
      <c r="GT50" s="939"/>
      <c r="GU50" s="939"/>
      <c r="GV50" s="939"/>
      <c r="GW50" s="939"/>
      <c r="GX50" s="939"/>
      <c r="GY50" s="939"/>
      <c r="GZ50" s="939"/>
      <c r="HA50" s="939"/>
      <c r="HB50" s="939"/>
      <c r="HC50" s="939"/>
      <c r="HD50" s="939"/>
      <c r="HE50" s="939"/>
      <c r="HF50" s="939"/>
      <c r="HG50" s="939"/>
      <c r="HH50" s="939"/>
      <c r="HI50" s="939"/>
      <c r="HJ50" s="939"/>
      <c r="HK50" s="939"/>
      <c r="HL50" s="939"/>
      <c r="HM50" s="939"/>
      <c r="HN50" s="939"/>
      <c r="HO50" s="940" t="s">
        <v>74</v>
      </c>
      <c r="HP50" s="939"/>
      <c r="HQ50" s="939"/>
      <c r="HR50" s="939"/>
      <c r="HS50" s="939"/>
      <c r="HT50" s="939"/>
      <c r="HU50" s="939"/>
      <c r="HV50" s="939"/>
      <c r="HW50" s="939"/>
      <c r="HX50" s="990"/>
      <c r="HY50" s="1012"/>
      <c r="HZ50" s="1012"/>
      <c r="IA50" s="1012"/>
      <c r="IB50" s="939" t="s">
        <v>74</v>
      </c>
      <c r="IC50" s="1013"/>
      <c r="ID50" s="1013"/>
      <c r="IE50" s="939" t="s">
        <v>74</v>
      </c>
      <c r="IF50" s="1012"/>
      <c r="IG50" s="1012"/>
      <c r="IH50" s="1012"/>
      <c r="II50" s="1012"/>
      <c r="IJ50" s="1012"/>
      <c r="IK50" s="1012"/>
      <c r="IL50" s="1012"/>
      <c r="IM50" s="939" t="s">
        <v>74</v>
      </c>
      <c r="IN50" s="939" t="s">
        <v>74</v>
      </c>
      <c r="IO50" s="1012"/>
      <c r="IP50" s="1013"/>
      <c r="IQ50" s="1013"/>
      <c r="IR50" s="1012"/>
      <c r="IS50" s="1012"/>
      <c r="IT50" s="1012"/>
      <c r="IU50" s="1012"/>
      <c r="IV50" s="1012"/>
      <c r="IW50" s="929"/>
      <c r="IX50" s="929" t="str">
        <f>IF(ISNUMBER(SEARCH($A50,VLOOKUP(IX$2,职业列表!$B$1:$G$370,6,0))),"★","")</f>
        <v/>
      </c>
      <c r="IY50" s="929" t="str">
        <f>IF(ISNUMBER(SEARCH($A50,VLOOKUP(IY$2,职业列表!$B$1:$G$370,6,0))),"★","")</f>
        <v/>
      </c>
      <c r="IZ50" s="929" t="str">
        <f>IF(ISNUMBER(SEARCH($A50,VLOOKUP(IZ$2,职业列表!$B$1:$G$370,6,0))),"★","")</f>
        <v>★</v>
      </c>
      <c r="JA50" s="929" t="str">
        <f>IF(ISNUMBER(SEARCH($A50,VLOOKUP(JA$2,职业列表!$B$1:$G$370,6,0))),"★","")</f>
        <v/>
      </c>
      <c r="JB50" s="929" t="str">
        <f>IF(ISNUMBER(SEARCH($A50,VLOOKUP(JB$2,职业列表!$B$1:$G$370,6,0))),"★","")</f>
        <v>★</v>
      </c>
      <c r="JC50" s="929" t="str">
        <f>IF(ISNUMBER(SEARCH($A50,VLOOKUP(JC$2,职业列表!$B$1:$G$370,6,0))),"★","")</f>
        <v>★</v>
      </c>
      <c r="JD50" s="929" t="str">
        <f>IF(ISNUMBER(SEARCH($A50,VLOOKUP(JD$2,职业列表!$B$1:$G$370,6,0))),"★","")</f>
        <v/>
      </c>
      <c r="JE50" s="929" t="str">
        <f>IF(ISNUMBER(SEARCH($A50,VLOOKUP(JE$2,职业列表!$B$1:$G$370,6,0))),"★","")</f>
        <v/>
      </c>
      <c r="JF50" s="929" t="str">
        <f>IF(ISNUMBER(SEARCH($A50,VLOOKUP(JF$2,职业列表!$B$1:$G$370,6,0))),"★","")</f>
        <v>★</v>
      </c>
      <c r="JG50" s="929" t="str">
        <f>IF(ISNUMBER(SEARCH($A50,VLOOKUP(JG$2,职业列表!$B$1:$G$370,6,0))),"★","")</f>
        <v/>
      </c>
      <c r="JH50" s="929" t="str">
        <f>IF(ISNUMBER(SEARCH($A50,VLOOKUP(JH$2,职业列表!$B$1:$G$370,6,0))),"★","")</f>
        <v>★</v>
      </c>
      <c r="JI50" s="929" t="str">
        <f>IF(ISNUMBER(SEARCH($A50,VLOOKUP(JI$2,职业列表!$B$1:$G$370,6,0))),"★","")</f>
        <v/>
      </c>
      <c r="JJ50" s="929" t="str">
        <f>IF(ISNUMBER(SEARCH($A50,VLOOKUP(JJ$2,职业列表!$B$1:$G$370,6,0))),"★","")</f>
        <v>★</v>
      </c>
      <c r="JK50" s="929" t="str">
        <f>IF(ISNUMBER(SEARCH($A50,VLOOKUP(JK$2,职业列表!$B$1:$G$370,6,0))),"★","")</f>
        <v/>
      </c>
      <c r="JL50" s="929" t="str">
        <f>IF(ISNUMBER(SEARCH($A50,VLOOKUP(JL$2,职业列表!$B$1:$G$370,6,0))),"★","")</f>
        <v/>
      </c>
      <c r="JM50" s="929" t="str">
        <f>IF(ISNUMBER(SEARCH($A50,VLOOKUP(JM$2,职业列表!$B$1:$G$370,6,0))),"★","")</f>
        <v/>
      </c>
      <c r="JN50" s="929" t="str">
        <f>IF(ISNUMBER(SEARCH($A50,VLOOKUP(JN$2,职业列表!$B$1:$G$370,6,0))),"★","")</f>
        <v/>
      </c>
      <c r="JO50" s="929" t="str">
        <f>IF(ISNUMBER(SEARCH($A50,VLOOKUP(JO$2,职业列表!$B$1:$G$370,6,0))),"★","")</f>
        <v/>
      </c>
      <c r="JP50" s="929" t="str">
        <f>IF(ISNUMBER(SEARCH($A50,VLOOKUP(JP$2,职业列表!$B$1:$G$370,6,0))),"★","")</f>
        <v/>
      </c>
      <c r="JQ50" s="929" t="str">
        <f>IF(ISNUMBER(SEARCH($A50,VLOOKUP(JQ$2,职业列表!$B$1:$G$370,6,0))),"★","")</f>
        <v/>
      </c>
      <c r="JR50" s="929" t="str">
        <f>IF(ISNUMBER(SEARCH($A50,VLOOKUP(JR$2,职业列表!$B$1:$G$370,6,0))),"★","")</f>
        <v/>
      </c>
      <c r="JS50" s="929" t="str">
        <f>IF(ISNUMBER(SEARCH($A50,VLOOKUP(JS$2,职业列表!$B$1:$G$370,6,0))),"★","")</f>
        <v/>
      </c>
      <c r="JT50" s="929" t="str">
        <f>IF(ISNUMBER(SEARCH($A50,VLOOKUP(JT$2,职业列表!$B$1:$G$370,6,0))),"★","")</f>
        <v/>
      </c>
      <c r="JU50" s="929" t="str">
        <f>IF(ISNUMBER(SEARCH($A50,VLOOKUP(JU$2,职业列表!$B$1:$G$370,6,0))),"★","")</f>
        <v/>
      </c>
      <c r="JV50" s="929" t="str">
        <f>IF(ISNUMBER(SEARCH($A50,VLOOKUP(JV$2,职业列表!$B$1:$G$370,6,0))),"★","")</f>
        <v/>
      </c>
      <c r="JW50" s="929" t="str">
        <f>IF(ISNUMBER(SEARCH($A50,VLOOKUP(JW$2,职业列表!$B$1:$G$370,6,0))),"★","")</f>
        <v/>
      </c>
      <c r="JX50" s="929" t="str">
        <f>IF(ISNUMBER(SEARCH($A50,VLOOKUP(JX$2,职业列表!$B$1:$G$370,6,0))),"★","")</f>
        <v/>
      </c>
      <c r="JY50" s="929" t="str">
        <f>IF(ISNUMBER(SEARCH($A50,VLOOKUP(JY$2,职业列表!$B$1:$G$370,6,0))),"★","")</f>
        <v/>
      </c>
      <c r="JZ50" s="929" t="str">
        <f>IF(ISNUMBER(SEARCH($A50,VLOOKUP(JZ$2,职业列表!$B$1:$G$370,6,0))),"★","")</f>
        <v/>
      </c>
      <c r="KA50" s="929" t="str">
        <f>IF(ISNUMBER(SEARCH($A50,VLOOKUP(KA$2,职业列表!$B$1:$G$370,6,0))),"★","")</f>
        <v/>
      </c>
      <c r="KB50" s="929" t="str">
        <f>IF(ISNUMBER(SEARCH($A50,VLOOKUP(KB$2,职业列表!$B$1:$G$370,6,0))),"★","")</f>
        <v/>
      </c>
      <c r="KC50" s="929" t="str">
        <f>IF(ISNUMBER(SEARCH($A50,VLOOKUP(KC$2,职业列表!$B$1:$G$370,6,0))),"★","")</f>
        <v/>
      </c>
      <c r="KD50" s="929" t="str">
        <f>IF(ISNUMBER(SEARCH($A50,VLOOKUP(KD$2,职业列表!$B$1:$G$370,6,0))),"★","")</f>
        <v>★</v>
      </c>
      <c r="KE50" s="929" t="str">
        <f>IF(ISNUMBER(SEARCH($A50,VLOOKUP(KE$2,职业列表!$B$1:$G$370,6,0))),"★","")</f>
        <v/>
      </c>
      <c r="KF50" s="929" t="str">
        <f>IF(ISNUMBER(SEARCH($A50,VLOOKUP(KF$2,职业列表!$B$1:$G$370,6,0))),"★","")</f>
        <v>★</v>
      </c>
      <c r="KG50" s="929" t="str">
        <f>IF(ISNUMBER(SEARCH($A50,VLOOKUP(KG$2,职业列表!$B$1:$G$370,6,0))),"★","")</f>
        <v/>
      </c>
      <c r="KH50" s="929" t="str">
        <f>IF(ISNUMBER(SEARCH($A50,VLOOKUP(KH$2,职业列表!$B$1:$G$370,6,0))),"★","")</f>
        <v/>
      </c>
      <c r="KI50" s="929" t="str">
        <f>IF(ISNUMBER(SEARCH($A50,VLOOKUP(KI$2,职业列表!$B$1:$G$370,6,0))),"★","")</f>
        <v/>
      </c>
      <c r="KJ50" s="929" t="str">
        <f>IF(ISNUMBER(SEARCH($A50,VLOOKUP(KJ$2,职业列表!$B$1:$G$370,6,0))),"★","")</f>
        <v/>
      </c>
      <c r="KK50" s="929" t="str">
        <f>IF(ISNUMBER(SEARCH($A50,VLOOKUP(KK$2,职业列表!$B$1:$G$370,6,0))),"★","")</f>
        <v/>
      </c>
      <c r="KL50" s="929" t="str">
        <f>IF(ISNUMBER(SEARCH($A50,VLOOKUP(KL$2,职业列表!$B$1:$G$370,6,0))),"★","")</f>
        <v/>
      </c>
      <c r="KM50" s="929" t="str">
        <f>IF(ISNUMBER(SEARCH($A50,VLOOKUP(KM$2,职业列表!$B$1:$G$370,6,0))),"★","")</f>
        <v/>
      </c>
      <c r="KN50" s="929" t="str">
        <f>IF(ISNUMBER(SEARCH($A50,VLOOKUP(KN$2,职业列表!$B$1:$G$370,6,0))),"★","")</f>
        <v/>
      </c>
      <c r="KO50" s="929" t="str">
        <f>IF(ISNUMBER(SEARCH($A50,VLOOKUP(KO$2,职业列表!$B$1:$G$370,6,0))),"★","")</f>
        <v/>
      </c>
      <c r="KP50" s="929" t="str">
        <f>IF(ISNUMBER(SEARCH($A50,VLOOKUP(KP$2,职业列表!$B$1:$G$370,6,0))),"★","")</f>
        <v/>
      </c>
      <c r="KQ50" s="929" t="str">
        <f>IF(ISNUMBER(SEARCH($A50,VLOOKUP(KQ$2,职业列表!$B$1:$G$370,6,0))),"★","")</f>
        <v>★</v>
      </c>
      <c r="KR50" s="929" t="str">
        <f>IF(ISNUMBER(SEARCH($A50,VLOOKUP(KR$2,职业列表!$B$1:$G$370,6,0))),"★","")</f>
        <v/>
      </c>
      <c r="KS50" s="929" t="str">
        <f>IF(ISNUMBER(SEARCH($A50,VLOOKUP(KS$2,职业列表!$B$1:$G$370,6,0))),"★","")</f>
        <v/>
      </c>
      <c r="KT50" s="929" t="str">
        <f>IF(ISNUMBER(SEARCH($A50,VLOOKUP(KT$2,职业列表!$B$1:$G$370,6,0))),"★","")</f>
        <v/>
      </c>
      <c r="KU50" s="929" t="str">
        <f>IF(ISNUMBER(SEARCH($A50,VLOOKUP(KU$2,职业列表!$B$1:$G$370,6,0))),"★","")</f>
        <v>★</v>
      </c>
      <c r="KV50" s="929" t="str">
        <f>IF(ISNUMBER(SEARCH($A50,VLOOKUP(KV$2,职业列表!$B$1:$G$370,6,0))),"★","")</f>
        <v>★</v>
      </c>
      <c r="KW50" s="929" t="str">
        <f>IF(ISNUMBER(SEARCH($A50,VLOOKUP(KW$2,职业列表!$B$1:$G$370,6,0))),"★","")</f>
        <v/>
      </c>
      <c r="KX50" s="929" t="str">
        <f>IF(ISNUMBER(SEARCH($A50,VLOOKUP(KX$2,职业列表!$B$1:$G$370,6,0))),"★","")</f>
        <v/>
      </c>
      <c r="KY50" s="929" t="str">
        <f>IF(ISNUMBER(SEARCH($A50,VLOOKUP(KY$2,职业列表!$B$1:$G$370,6,0))),"★","")</f>
        <v>★</v>
      </c>
      <c r="KZ50" s="929" t="str">
        <f>IF(ISNUMBER(SEARCH($A50,VLOOKUP(KZ$2,职业列表!$B$1:$G$370,6,0))),"★","")</f>
        <v/>
      </c>
      <c r="LA50" s="929" t="str">
        <f>IF(ISNUMBER(SEARCH($A50,VLOOKUP(LA$2,职业列表!$B$1:$G$370,6,0))),"★","")</f>
        <v/>
      </c>
      <c r="LB50" s="929" t="str">
        <f>IF(ISNUMBER(SEARCH($A50,VLOOKUP(LB$2,职业列表!$B$1:$G$370,6,0))),"★","")</f>
        <v/>
      </c>
      <c r="LC50" s="929" t="str">
        <f>IF(ISNUMBER(SEARCH($A50,VLOOKUP(LC$2,职业列表!$B$1:$G$370,6,0))),"★","")</f>
        <v/>
      </c>
      <c r="LD50" s="929" t="str">
        <f>IF(ISNUMBER(SEARCH($A50,VLOOKUP(LD$2,职业列表!$B$1:$G$370,6,0))),"★","")</f>
        <v/>
      </c>
      <c r="LE50" s="929" t="str">
        <f>IF(ISNUMBER(SEARCH($A50,VLOOKUP(LE$2,职业列表!$B$1:$G$370,6,0))),"★","")</f>
        <v/>
      </c>
      <c r="LF50" s="929" t="str">
        <f>IF(ISNUMBER(SEARCH($A50,VLOOKUP(LF$2,职业列表!$B$1:$G$370,6,0))),"★","")</f>
        <v/>
      </c>
      <c r="LG50" s="929" t="str">
        <f>IF(ISNUMBER(SEARCH($A50,VLOOKUP(LG$2,职业列表!$B$1:$G$370,6,0))),"★","")</f>
        <v/>
      </c>
      <c r="LH50" s="929" t="str">
        <f>IF(ISNUMBER(SEARCH($A50,VLOOKUP(LH$2,职业列表!$B$1:$G$370,6,0))),"★","")</f>
        <v/>
      </c>
      <c r="LI50" s="929" t="str">
        <f>IF(ISNUMBER(SEARCH($A50,VLOOKUP(LI$2,职业列表!$B$1:$G$370,6,0))),"★","")</f>
        <v/>
      </c>
      <c r="LJ50" s="929" t="str">
        <f>IF(ISNUMBER(SEARCH($A50,VLOOKUP(LJ$2,职业列表!$B$1:$G$370,6,0))),"★","")</f>
        <v/>
      </c>
      <c r="LK50" s="929" t="str">
        <f>IF(ISNUMBER(SEARCH($A50,VLOOKUP(LK$2,职业列表!$B$1:$G$370,6,0))),"★","")</f>
        <v/>
      </c>
      <c r="LL50" s="929" t="str">
        <f>IF(ISNUMBER(SEARCH($A50,VLOOKUP(LL$2,职业列表!$B$1:$G$370,6,0))),"★","")</f>
        <v/>
      </c>
      <c r="LM50" s="929" t="str">
        <f>IF(ISNUMBER(SEARCH($A50,VLOOKUP(LM$2,职业列表!$B$1:$G$370,6,0))),"★","")</f>
        <v>★</v>
      </c>
      <c r="LN50" s="929" t="str">
        <f>IF(ISNUMBER(SEARCH($A50,VLOOKUP(LN$2,职业列表!$B$1:$G$370,6,0))),"★","")</f>
        <v>★</v>
      </c>
      <c r="LO50" s="929" t="str">
        <f>IF(ISNUMBER(SEARCH($A50,VLOOKUP(LO$2,职业列表!$B$1:$G$370,6,0))),"★","")</f>
        <v/>
      </c>
      <c r="LP50" s="929" t="str">
        <f>IF(ISNUMBER(SEARCH($A50,VLOOKUP(LP$2,职业列表!$B$1:$G$370,6,0))),"★","")</f>
        <v/>
      </c>
      <c r="LQ50" s="929" t="str">
        <f>IF(ISNUMBER(SEARCH($A50,VLOOKUP(LQ$2,职业列表!$B$1:$G$370,6,0))),"★","")</f>
        <v/>
      </c>
      <c r="LR50" s="929" t="str">
        <f>IF(ISNUMBER(SEARCH($A50,VLOOKUP(LR$2,职业列表!$B$1:$G$370,6,0))),"★","")</f>
        <v/>
      </c>
      <c r="LS50" s="929" t="str">
        <f>IF(ISNUMBER(SEARCH($A50,VLOOKUP(LS$2,职业列表!$B$1:$G$370,6,0))),"★","")</f>
        <v>★</v>
      </c>
      <c r="LT50" s="929" t="str">
        <f>IF(ISNUMBER(SEARCH($A50,VLOOKUP(LT$2,职业列表!$B$1:$G$370,6,0))),"★","")</f>
        <v/>
      </c>
      <c r="LU50" s="929" t="str">
        <f>IF(ISNUMBER(SEARCH($A50,VLOOKUP(LU$2,职业列表!$B$1:$G$370,6,0))),"★","")</f>
        <v>★</v>
      </c>
      <c r="LV50" s="929" t="str">
        <f>IF(ISNUMBER(SEARCH($A50,VLOOKUP(LV$2,职业列表!$B$1:$G$370,6,0))),"★","")</f>
        <v/>
      </c>
      <c r="LW50" s="929" t="str">
        <f>IF(ISNUMBER(SEARCH($A50,VLOOKUP(LW$2,职业列表!$B$1:$G$370,6,0))),"★","")</f>
        <v/>
      </c>
      <c r="LX50" s="929" t="str">
        <f>IF(ISNUMBER(SEARCH($A50,VLOOKUP(LX$2,职业列表!$B$1:$G$370,6,0))),"★","")</f>
        <v/>
      </c>
      <c r="LY50" s="929" t="str">
        <f>IF(ISNUMBER(SEARCH($A50,VLOOKUP(LY$2,职业列表!$B$1:$G$370,6,0))),"★","")</f>
        <v/>
      </c>
      <c r="LZ50" s="929" t="str">
        <f>IF(ISNUMBER(SEARCH($A50,VLOOKUP(LZ$2,职业列表!$B$1:$G$370,6,0))),"★","")</f>
        <v/>
      </c>
      <c r="MA50" s="929" t="str">
        <f>IF(ISNUMBER(SEARCH($A50,VLOOKUP(MA$2,职业列表!$B$1:$G$370,6,0))),"★","")</f>
        <v/>
      </c>
      <c r="MB50" s="929" t="str">
        <f>IF(ISNUMBER(SEARCH($A50,VLOOKUP(MB$2,职业列表!$B$1:$G$370,6,0))),"★","")</f>
        <v/>
      </c>
      <c r="MC50" s="929" t="str">
        <f>IF(ISNUMBER(SEARCH($A50,VLOOKUP(MC$2,职业列表!$B$1:$G$370,6,0))),"★","")</f>
        <v/>
      </c>
      <c r="MD50" s="929" t="str">
        <f>IF(ISNUMBER(SEARCH($A50,VLOOKUP(MD$2,职业列表!$B$1:$G$370,6,0))),"★","")</f>
        <v/>
      </c>
      <c r="ME50" s="929" t="str">
        <f>IF(ISNUMBER(SEARCH($A50,VLOOKUP(ME$2,职业列表!$B$1:$G$370,6,0))),"★","")</f>
        <v/>
      </c>
      <c r="MF50" s="929" t="str">
        <f>IF(ISNUMBER(SEARCH($A50,VLOOKUP(MF$2,职业列表!$B$1:$G$370,6,0))),"★","")</f>
        <v/>
      </c>
      <c r="MG50" s="929" t="str">
        <f>IF(ISNUMBER(SEARCH($A50,VLOOKUP(MG$2,职业列表!$B$1:$G$370,6,0))),"★","")</f>
        <v/>
      </c>
      <c r="MH50" s="929" t="str">
        <f>IF(ISNUMBER(SEARCH($A50,VLOOKUP(MH$2,职业列表!$B$1:$G$370,6,0))),"★","")</f>
        <v>★</v>
      </c>
      <c r="MI50" s="929" t="str">
        <f>IF(ISNUMBER(SEARCH($A50,VLOOKUP(MI$2,职业列表!$B$1:$G$370,6,0))),"★","")</f>
        <v/>
      </c>
      <c r="MJ50" s="929" t="str">
        <f>IF(ISNUMBER(SEARCH($A50,VLOOKUP(MJ$2,职业列表!$B$1:$G$370,6,0))),"★","")</f>
        <v/>
      </c>
      <c r="MK50" s="929" t="str">
        <f>IF(ISNUMBER(SEARCH($A50,VLOOKUP(MK$2,职业列表!$B$1:$G$370,6,0))),"★","")</f>
        <v/>
      </c>
      <c r="ML50" s="929" t="str">
        <f>IF(ISNUMBER(SEARCH($A50,VLOOKUP(ML$2,职业列表!$B$1:$G$370,6,0))),"★","")</f>
        <v/>
      </c>
      <c r="MM50" s="929" t="str">
        <f>IF(ISNUMBER(SEARCH($A50,VLOOKUP(MM$2,职业列表!$B$1:$G$370,6,0))),"★","")</f>
        <v/>
      </c>
      <c r="MN50" s="929" t="str">
        <f>IF(ISNUMBER(SEARCH($A50,VLOOKUP(MN$2,职业列表!$B$1:$G$370,6,0))),"★","")</f>
        <v/>
      </c>
      <c r="MO50" s="929" t="str">
        <f>IF(ISNUMBER(SEARCH($A50,VLOOKUP(MO$2,职业列表!$B$1:$G$370,6,0))),"★","")</f>
        <v/>
      </c>
      <c r="MP50" s="929" t="str">
        <f>IF(ISNUMBER(SEARCH($A50,VLOOKUP(MP$2,职业列表!$B$1:$G$370,6,0))),"★","")</f>
        <v/>
      </c>
      <c r="MQ50" s="929" t="str">
        <f>IF(ISNUMBER(SEARCH($A50,VLOOKUP(MQ$2,职业列表!$B$1:$G$370,6,0))),"★","")</f>
        <v/>
      </c>
      <c r="MR50" s="929" t="str">
        <f>IF(ISNUMBER(SEARCH($A50,VLOOKUP(MR$2,职业列表!$B$1:$G$370,6,0))),"★","")</f>
        <v/>
      </c>
      <c r="MS50" s="929" t="str">
        <f>IF(ISNUMBER(SEARCH($A50,VLOOKUP(MS$2,职业列表!$B$1:$G$370,6,0))),"★","")</f>
        <v/>
      </c>
      <c r="MT50" s="929" t="str">
        <f>IF(ISNUMBER(SEARCH($A50,VLOOKUP(MT$2,职业列表!$B$1:$G$370,6,0))),"★","")</f>
        <v/>
      </c>
      <c r="MU50" s="929" t="str">
        <f>IF(ISNUMBER(SEARCH($A50,VLOOKUP(MU$2,职业列表!$B$1:$G$370,6,0))),"★","")</f>
        <v/>
      </c>
      <c r="MV50" s="929" t="str">
        <f>IF(ISNUMBER(SEARCH($A50,VLOOKUP(MV$2,职业列表!$B$1:$G$370,6,0))),"★","")</f>
        <v/>
      </c>
      <c r="MW50" s="929" t="str">
        <f>IF(ISNUMBER(SEARCH($A50,VLOOKUP(MW$2,职业列表!$B$1:$G$370,6,0))),"★","")</f>
        <v/>
      </c>
      <c r="MX50" s="929" t="str">
        <f>IF(ISNUMBER(SEARCH($A50,VLOOKUP(MX$2,职业列表!$B$1:$G$370,6,0))),"★","")</f>
        <v/>
      </c>
      <c r="MY50" s="929" t="str">
        <f>IF(ISNUMBER(SEARCH($A50,VLOOKUP(MY$2,职业列表!$B$1:$G$370,6,0))),"★","")</f>
        <v/>
      </c>
      <c r="MZ50" s="929" t="str">
        <f>IF(ISNUMBER(SEARCH($A50,VLOOKUP(MZ$2,职业列表!$B$1:$G$370,6,0))),"★","")</f>
        <v>★</v>
      </c>
      <c r="NA50" s="929" t="str">
        <f>IF(ISNUMBER(SEARCH($A50,VLOOKUP(NA$2,职业列表!$B$1:$G$370,6,0))),"★","")</f>
        <v/>
      </c>
      <c r="NB50" s="929" t="str">
        <f>IF(ISNUMBER(SEARCH($A50,VLOOKUP(NB$2,职业列表!$B$1:$G$370,6,0))),"★","")</f>
        <v/>
      </c>
      <c r="NC50" s="929" t="str">
        <f>IF(ISNUMBER(SEARCH($A50,VLOOKUP(NC$2,职业列表!$B$1:$G$370,6,0))),"★","")</f>
        <v/>
      </c>
      <c r="ND50" s="929" t="str">
        <f>IF(ISNUMBER(SEARCH($A50,VLOOKUP(ND$2,职业列表!$B$1:$G$370,6,0))),"★","")</f>
        <v/>
      </c>
      <c r="NE50" s="929" t="str">
        <f>IF(ISNUMBER(SEARCH($A50,VLOOKUP(NE$2,职业列表!$B$1:$G$370,6,0))),"★","")</f>
        <v/>
      </c>
    </row>
    <row r="51" customFormat="1" spans="1:369">
      <c r="A51" s="944" t="s">
        <v>94</v>
      </c>
      <c r="B51" s="945" t="str">
        <f>IF(OR(A51="说服",A51="话术",A51="取悦",A51="恐吓"),"☯",IF(ISNUMBER(SEARCH(A51,VLOOKUP(IX$2,职业列表!$B$1:$G$370,6,0))),"★",""))</f>
        <v>☯</v>
      </c>
      <c r="C51" s="945" t="str">
        <f>IF(ISTEXT(IFERROR(VLOOKUP(A51,职业列表!I3:J10,1,FALSE),0)),"★","")</f>
        <v/>
      </c>
      <c r="D51" s="945" t="s">
        <v>74</v>
      </c>
      <c r="E51" s="945"/>
      <c r="F51" s="945" t="s">
        <v>2718</v>
      </c>
      <c r="G51" s="945" t="s">
        <v>2718</v>
      </c>
      <c r="H51" s="945" t="s">
        <v>2718</v>
      </c>
      <c r="I51" s="945"/>
      <c r="J51" s="945"/>
      <c r="K51" s="945" t="s">
        <v>2718</v>
      </c>
      <c r="L51" s="945" t="s">
        <v>2718</v>
      </c>
      <c r="M51" s="945"/>
      <c r="N51" s="945" t="s">
        <v>74</v>
      </c>
      <c r="O51" s="945" t="s">
        <v>2718</v>
      </c>
      <c r="P51" s="945" t="s">
        <v>2718</v>
      </c>
      <c r="Q51" s="945" t="s">
        <v>2718</v>
      </c>
      <c r="R51" s="945"/>
      <c r="S51" s="945" t="s">
        <v>2718</v>
      </c>
      <c r="T51" s="945"/>
      <c r="U51" s="945" t="s">
        <v>2718</v>
      </c>
      <c r="V51" s="945" t="s">
        <v>2718</v>
      </c>
      <c r="W51" s="945"/>
      <c r="X51" s="945"/>
      <c r="Y51" s="945" t="s">
        <v>2718</v>
      </c>
      <c r="Z51" s="945"/>
      <c r="AA51" s="946" t="s">
        <v>2718</v>
      </c>
      <c r="AB51" s="945"/>
      <c r="AC51" s="945"/>
      <c r="AD51" s="945"/>
      <c r="AE51" s="945"/>
      <c r="AF51" s="945" t="s">
        <v>2718</v>
      </c>
      <c r="AG51" s="945"/>
      <c r="AH51" s="945" t="s">
        <v>2718</v>
      </c>
      <c r="AI51" s="945" t="s">
        <v>2718</v>
      </c>
      <c r="AJ51" s="945" t="s">
        <v>2718</v>
      </c>
      <c r="AK51" s="945" t="s">
        <v>2718</v>
      </c>
      <c r="AL51" s="945"/>
      <c r="AM51" s="945" t="s">
        <v>2718</v>
      </c>
      <c r="AN51" s="945" t="s">
        <v>2718</v>
      </c>
      <c r="AO51" s="945" t="s">
        <v>2718</v>
      </c>
      <c r="AP51" s="945" t="s">
        <v>2718</v>
      </c>
      <c r="AQ51" s="964"/>
      <c r="AR51" s="945" t="s">
        <v>2718</v>
      </c>
      <c r="AS51" s="945"/>
      <c r="AT51" s="945"/>
      <c r="AU51" s="945" t="s">
        <v>2718</v>
      </c>
      <c r="AV51" s="945" t="s">
        <v>2718</v>
      </c>
      <c r="AW51" s="945" t="s">
        <v>2718</v>
      </c>
      <c r="AX51" s="945"/>
      <c r="AY51" s="945" t="s">
        <v>2718</v>
      </c>
      <c r="AZ51" s="945" t="s">
        <v>74</v>
      </c>
      <c r="BA51" s="945"/>
      <c r="BB51" s="945" t="s">
        <v>2718</v>
      </c>
      <c r="BC51" s="945"/>
      <c r="BD51" s="945" t="s">
        <v>2718</v>
      </c>
      <c r="BE51" s="945" t="s">
        <v>74</v>
      </c>
      <c r="BF51" s="945"/>
      <c r="BG51" s="945" t="s">
        <v>2718</v>
      </c>
      <c r="BH51" s="945" t="s">
        <v>74</v>
      </c>
      <c r="BI51" s="945" t="s">
        <v>2718</v>
      </c>
      <c r="BJ51" s="945" t="s">
        <v>2718</v>
      </c>
      <c r="BK51" s="945" t="s">
        <v>2718</v>
      </c>
      <c r="BL51" s="945" t="s">
        <v>2718</v>
      </c>
      <c r="BM51" s="945"/>
      <c r="BN51" s="945" t="s">
        <v>2718</v>
      </c>
      <c r="BO51" s="945" t="s">
        <v>2718</v>
      </c>
      <c r="BP51" s="945" t="s">
        <v>2718</v>
      </c>
      <c r="BQ51" s="945" t="s">
        <v>74</v>
      </c>
      <c r="BR51" s="945"/>
      <c r="BS51" s="945"/>
      <c r="BT51" s="945"/>
      <c r="BU51" s="964"/>
      <c r="BV51" s="945" t="s">
        <v>2718</v>
      </c>
      <c r="BW51" s="945"/>
      <c r="BX51" s="945"/>
      <c r="BY51" s="945" t="s">
        <v>2718</v>
      </c>
      <c r="BZ51" s="945" t="s">
        <v>2718</v>
      </c>
      <c r="CA51" s="945"/>
      <c r="CB51" s="945"/>
      <c r="CC51" s="945" t="s">
        <v>2718</v>
      </c>
      <c r="CD51" s="945" t="s">
        <v>2718</v>
      </c>
      <c r="CE51" s="945" t="s">
        <v>2718</v>
      </c>
      <c r="CF51" s="945"/>
      <c r="CG51" s="945"/>
      <c r="CH51" s="945" t="s">
        <v>2718</v>
      </c>
      <c r="CI51" s="945" t="s">
        <v>2718</v>
      </c>
      <c r="CJ51" s="945" t="s">
        <v>2718</v>
      </c>
      <c r="CK51" s="945"/>
      <c r="CL51" s="945"/>
      <c r="CM51" s="945" t="s">
        <v>2718</v>
      </c>
      <c r="CN51" s="945" t="s">
        <v>2718</v>
      </c>
      <c r="CO51" s="945" t="s">
        <v>2718</v>
      </c>
      <c r="CP51" s="945"/>
      <c r="CQ51" s="945"/>
      <c r="CR51" s="945" t="s">
        <v>2718</v>
      </c>
      <c r="CS51" s="945" t="s">
        <v>74</v>
      </c>
      <c r="CT51" s="945" t="s">
        <v>74</v>
      </c>
      <c r="CU51" s="945" t="s">
        <v>2718</v>
      </c>
      <c r="CV51" s="945"/>
      <c r="CW51" s="945" t="s">
        <v>2718</v>
      </c>
      <c r="CX51" s="945" t="s">
        <v>2718</v>
      </c>
      <c r="CY51" s="945" t="s">
        <v>2718</v>
      </c>
      <c r="CZ51" s="945" t="s">
        <v>2718</v>
      </c>
      <c r="DA51" s="945" t="s">
        <v>2718</v>
      </c>
      <c r="DB51" s="945"/>
      <c r="DC51" s="945" t="s">
        <v>2718</v>
      </c>
      <c r="DD51" s="945"/>
      <c r="DE51" s="945"/>
      <c r="DF51" s="945"/>
      <c r="DG51" s="945" t="s">
        <v>2718</v>
      </c>
      <c r="DH51" s="945" t="s">
        <v>2718</v>
      </c>
      <c r="DI51" s="945" t="s">
        <v>2718</v>
      </c>
      <c r="DJ51" s="945" t="s">
        <v>2718</v>
      </c>
      <c r="DK51" s="945" t="s">
        <v>2718</v>
      </c>
      <c r="DL51" s="945" t="s">
        <v>2718</v>
      </c>
      <c r="DM51" s="945"/>
      <c r="DN51" s="945" t="s">
        <v>74</v>
      </c>
      <c r="DO51" s="945" t="s">
        <v>2718</v>
      </c>
      <c r="DP51" s="945" t="s">
        <v>2718</v>
      </c>
      <c r="DQ51" s="945" t="s">
        <v>2718</v>
      </c>
      <c r="DR51" s="945" t="s">
        <v>2718</v>
      </c>
      <c r="DS51" s="945" t="s">
        <v>2718</v>
      </c>
      <c r="DT51" s="945" t="s">
        <v>2718</v>
      </c>
      <c r="DU51" s="945" t="s">
        <v>2718</v>
      </c>
      <c r="DV51" s="945" t="s">
        <v>2718</v>
      </c>
      <c r="DW51" s="945" t="s">
        <v>2718</v>
      </c>
      <c r="DX51" s="945" t="s">
        <v>2718</v>
      </c>
      <c r="DY51" s="945" t="s">
        <v>2718</v>
      </c>
      <c r="DZ51" s="945" t="s">
        <v>2718</v>
      </c>
      <c r="EA51" s="945" t="s">
        <v>2718</v>
      </c>
      <c r="EB51" s="945" t="s">
        <v>2718</v>
      </c>
      <c r="EC51" s="945" t="s">
        <v>2718</v>
      </c>
      <c r="ED51" s="945" t="s">
        <v>74</v>
      </c>
      <c r="EE51" s="945" t="s">
        <v>2718</v>
      </c>
      <c r="EF51" s="945"/>
      <c r="EG51" s="945"/>
      <c r="EH51" s="945"/>
      <c r="EI51" s="945" t="s">
        <v>2718</v>
      </c>
      <c r="EJ51" s="945" t="s">
        <v>2718</v>
      </c>
      <c r="EK51" s="945" t="s">
        <v>2718</v>
      </c>
      <c r="EL51" s="945"/>
      <c r="EM51" s="945" t="s">
        <v>2718</v>
      </c>
      <c r="EN51" s="945"/>
      <c r="EO51" s="945" t="s">
        <v>2718</v>
      </c>
      <c r="EP51" s="945"/>
      <c r="EQ51" s="945" t="s">
        <v>74</v>
      </c>
      <c r="ER51" s="945" t="s">
        <v>2718</v>
      </c>
      <c r="ES51" s="945" t="s">
        <v>2718</v>
      </c>
      <c r="ET51" s="945" t="s">
        <v>2718</v>
      </c>
      <c r="EU51" s="945" t="s">
        <v>2718</v>
      </c>
      <c r="EV51" s="945" t="s">
        <v>2718</v>
      </c>
      <c r="EW51" s="945"/>
      <c r="EX51" s="945" t="s">
        <v>2718</v>
      </c>
      <c r="EY51" s="945" t="s">
        <v>2718</v>
      </c>
      <c r="EZ51" s="945"/>
      <c r="FA51" s="945" t="s">
        <v>2718</v>
      </c>
      <c r="FB51" s="945" t="s">
        <v>2718</v>
      </c>
      <c r="FC51" s="945" t="s">
        <v>2716</v>
      </c>
      <c r="FD51" s="945"/>
      <c r="FE51" s="945" t="s">
        <v>2718</v>
      </c>
      <c r="FF51" s="945" t="s">
        <v>2718</v>
      </c>
      <c r="FG51" s="945" t="s">
        <v>2718</v>
      </c>
      <c r="FH51" s="945"/>
      <c r="FI51" s="945"/>
      <c r="FJ51" s="945" t="s">
        <v>2716</v>
      </c>
      <c r="FK51" s="945"/>
      <c r="FL51" s="945"/>
      <c r="FM51" s="945" t="s">
        <v>2718</v>
      </c>
      <c r="FN51" s="945"/>
      <c r="FO51" s="945"/>
      <c r="FP51" s="945"/>
      <c r="FQ51" s="945" t="s">
        <v>2718</v>
      </c>
      <c r="FR51" s="945" t="s">
        <v>2718</v>
      </c>
      <c r="FS51" s="945" t="s">
        <v>74</v>
      </c>
      <c r="FT51" s="945"/>
      <c r="FU51" s="945"/>
      <c r="FV51" s="945" t="s">
        <v>2718</v>
      </c>
      <c r="FW51" s="945"/>
      <c r="FX51" s="945"/>
      <c r="FY51" s="945" t="s">
        <v>2718</v>
      </c>
      <c r="FZ51" s="945"/>
      <c r="GA51" s="945"/>
      <c r="GB51" s="945" t="s">
        <v>2718</v>
      </c>
      <c r="GC51" s="945"/>
      <c r="GD51" s="945"/>
      <c r="GE51" s="945"/>
      <c r="GF51" s="945" t="s">
        <v>2718</v>
      </c>
      <c r="GG51" s="945" t="s">
        <v>2718</v>
      </c>
      <c r="GH51" s="945" t="s">
        <v>2718</v>
      </c>
      <c r="GI51" s="945" t="s">
        <v>2718</v>
      </c>
      <c r="GJ51" s="945"/>
      <c r="GK51" s="945" t="s">
        <v>74</v>
      </c>
      <c r="GL51" s="945" t="s">
        <v>74</v>
      </c>
      <c r="GM51" s="945" t="s">
        <v>74</v>
      </c>
      <c r="GN51" s="945" t="s">
        <v>2718</v>
      </c>
      <c r="GO51" s="945" t="s">
        <v>2718</v>
      </c>
      <c r="GP51" s="945" t="s">
        <v>2718</v>
      </c>
      <c r="GQ51" s="945" t="s">
        <v>2718</v>
      </c>
      <c r="GR51" s="945"/>
      <c r="GS51" s="945"/>
      <c r="GT51" s="945" t="s">
        <v>2718</v>
      </c>
      <c r="GU51" s="945"/>
      <c r="GV51" s="945"/>
      <c r="GW51" s="945" t="s">
        <v>2718</v>
      </c>
      <c r="GX51" s="945" t="s">
        <v>2718</v>
      </c>
      <c r="GY51" s="945" t="s">
        <v>2718</v>
      </c>
      <c r="GZ51" s="945" t="s">
        <v>2718</v>
      </c>
      <c r="HA51" s="945" t="s">
        <v>2718</v>
      </c>
      <c r="HB51" s="945"/>
      <c r="HC51" s="945" t="s">
        <v>2718</v>
      </c>
      <c r="HD51" s="945"/>
      <c r="HE51" s="945" t="s">
        <v>2718</v>
      </c>
      <c r="HF51" s="945"/>
      <c r="HG51" s="945" t="s">
        <v>2718</v>
      </c>
      <c r="HH51" s="945" t="s">
        <v>2718</v>
      </c>
      <c r="HI51" s="945"/>
      <c r="HJ51" s="946" t="s">
        <v>2718</v>
      </c>
      <c r="HK51" s="945" t="s">
        <v>2718</v>
      </c>
      <c r="HL51" s="945"/>
      <c r="HM51" s="945" t="s">
        <v>2718</v>
      </c>
      <c r="HN51" s="945" t="s">
        <v>2718</v>
      </c>
      <c r="HO51" s="945" t="s">
        <v>2718</v>
      </c>
      <c r="HP51" s="945" t="s">
        <v>2718</v>
      </c>
      <c r="HQ51" s="945"/>
      <c r="HR51" s="946" t="s">
        <v>2718</v>
      </c>
      <c r="HS51" s="945" t="s">
        <v>2718</v>
      </c>
      <c r="HT51" s="945" t="s">
        <v>2718</v>
      </c>
      <c r="HU51" s="945" t="s">
        <v>2719</v>
      </c>
      <c r="HV51" s="945" t="s">
        <v>2718</v>
      </c>
      <c r="HW51" s="945"/>
      <c r="HX51" s="993" t="s">
        <v>2718</v>
      </c>
      <c r="HY51" s="945" t="s">
        <v>2718</v>
      </c>
      <c r="HZ51" s="945" t="s">
        <v>2718</v>
      </c>
      <c r="IA51" s="1016"/>
      <c r="IB51" s="1016"/>
      <c r="IC51" s="993" t="s">
        <v>2718</v>
      </c>
      <c r="ID51" s="993" t="s">
        <v>2718</v>
      </c>
      <c r="IE51" s="1016"/>
      <c r="IF51" s="993" t="s">
        <v>2718</v>
      </c>
      <c r="IG51" s="945" t="s">
        <v>2718</v>
      </c>
      <c r="IH51" s="1016"/>
      <c r="II51" s="1016"/>
      <c r="IJ51" s="1016"/>
      <c r="IK51" s="1016"/>
      <c r="IL51" s="1016"/>
      <c r="IM51" s="1016"/>
      <c r="IN51" s="1016"/>
      <c r="IO51" s="1016"/>
      <c r="IP51" s="993" t="s">
        <v>2718</v>
      </c>
      <c r="IQ51" s="993" t="s">
        <v>2718</v>
      </c>
      <c r="IR51" s="1016"/>
      <c r="IS51" s="945" t="s">
        <v>2718</v>
      </c>
      <c r="IT51" s="945" t="s">
        <v>2718</v>
      </c>
      <c r="IU51" s="945" t="s">
        <v>2718</v>
      </c>
      <c r="IV51" s="1041" t="s">
        <v>2718</v>
      </c>
      <c r="IW51" s="1040"/>
      <c r="IX51" s="929" t="str">
        <f>IF(ISNUMBER(SEARCH($A51,VLOOKUP(IX$2,职业列表!$B$1:$G$370,6,0))),"★","")</f>
        <v>★</v>
      </c>
      <c r="IY51" s="929" t="str">
        <f>IF(ISNUMBER(SEARCH($A51,VLOOKUP(IY$2,职业列表!$B$1:$G$370,6,0))),"★","")</f>
        <v>★</v>
      </c>
      <c r="IZ51" s="929" t="str">
        <f>IF(ISNUMBER(SEARCH($A51,VLOOKUP(IZ$2,职业列表!$B$1:$G$370,6,0))),"★","")</f>
        <v/>
      </c>
      <c r="JA51" s="929" t="str">
        <f>IF(ISNUMBER(SEARCH($A51,VLOOKUP(JA$2,职业列表!$B$1:$G$370,6,0))),"★","")</f>
        <v/>
      </c>
      <c r="JB51" s="929" t="str">
        <f>IF(ISNUMBER(SEARCH($A51,VLOOKUP(JB$2,职业列表!$B$1:$G$370,6,0))),"★","")</f>
        <v/>
      </c>
      <c r="JC51" s="929" t="str">
        <f>IF(ISNUMBER(SEARCH($A51,VLOOKUP(JC$2,职业列表!$B$1:$G$370,6,0))),"★","")</f>
        <v/>
      </c>
      <c r="JD51" s="929" t="str">
        <f>IF(ISNUMBER(SEARCH($A51,VLOOKUP(JD$2,职业列表!$B$1:$G$370,6,0))),"★","")</f>
        <v>★</v>
      </c>
      <c r="JE51" s="929" t="str">
        <f>IF(ISNUMBER(SEARCH($A51,VLOOKUP(JE$2,职业列表!$B$1:$G$370,6,0))),"★","")</f>
        <v/>
      </c>
      <c r="JF51" s="929" t="str">
        <f>IF(ISNUMBER(SEARCH($A51,VLOOKUP(JF$2,职业列表!$B$1:$G$370,6,0))),"★","")</f>
        <v>★</v>
      </c>
      <c r="JG51" s="929" t="str">
        <f>IF(ISNUMBER(SEARCH($A51,VLOOKUP(JG$2,职业列表!$B$1:$G$370,6,0))),"★","")</f>
        <v/>
      </c>
      <c r="JH51" s="929" t="str">
        <f>IF(ISNUMBER(SEARCH($A51,VLOOKUP(JH$2,职业列表!$B$1:$G$370,6,0))),"★","")</f>
        <v/>
      </c>
      <c r="JI51" s="929" t="str">
        <f>IF(ISNUMBER(SEARCH($A51,VLOOKUP(JI$2,职业列表!$B$1:$G$370,6,0))),"★","")</f>
        <v/>
      </c>
      <c r="JJ51" s="929" t="str">
        <f>IF(ISNUMBER(SEARCH($A51,VLOOKUP(JJ$2,职业列表!$B$1:$G$370,6,0))),"★","")</f>
        <v/>
      </c>
      <c r="JK51" s="929" t="str">
        <f>IF(ISNUMBER(SEARCH($A51,VLOOKUP(JK$2,职业列表!$B$1:$G$370,6,0))),"★","")</f>
        <v>★</v>
      </c>
      <c r="JL51" s="929" t="str">
        <f>IF(ISNUMBER(SEARCH($A51,VLOOKUP(JL$2,职业列表!$B$1:$G$370,6,0))),"★","")</f>
        <v>★</v>
      </c>
      <c r="JM51" s="929" t="str">
        <f>IF(ISNUMBER(SEARCH($A51,VLOOKUP(JM$2,职业列表!$B$1:$G$370,6,0))),"★","")</f>
        <v>★</v>
      </c>
      <c r="JN51" s="929" t="str">
        <f>IF(ISNUMBER(SEARCH($A51,VLOOKUP(JN$2,职业列表!$B$1:$G$370,6,0))),"★","")</f>
        <v/>
      </c>
      <c r="JO51" s="929" t="str">
        <f>IF(ISNUMBER(SEARCH($A51,VLOOKUP(JO$2,职业列表!$B$1:$G$370,6,0))),"★","")</f>
        <v/>
      </c>
      <c r="JP51" s="929" t="str">
        <f>IF(ISNUMBER(SEARCH($A51,VLOOKUP(JP$2,职业列表!$B$1:$G$370,6,0))),"★","")</f>
        <v/>
      </c>
      <c r="JQ51" s="929" t="str">
        <f>IF(ISNUMBER(SEARCH($A51,VLOOKUP(JQ$2,职业列表!$B$1:$G$370,6,0))),"★","")</f>
        <v/>
      </c>
      <c r="JR51" s="929" t="str">
        <f>IF(ISNUMBER(SEARCH($A51,VLOOKUP(JR$2,职业列表!$B$1:$G$370,6,0))),"★","")</f>
        <v>★</v>
      </c>
      <c r="JS51" s="929" t="str">
        <f>IF(ISNUMBER(SEARCH($A51,VLOOKUP(JS$2,职业列表!$B$1:$G$370,6,0))),"★","")</f>
        <v>★</v>
      </c>
      <c r="JT51" s="929" t="str">
        <f>IF(ISNUMBER(SEARCH($A51,VLOOKUP(JT$2,职业列表!$B$1:$G$370,6,0))),"★","")</f>
        <v/>
      </c>
      <c r="JU51" s="929" t="str">
        <f>IF(ISNUMBER(SEARCH($A51,VLOOKUP(JU$2,职业列表!$B$1:$G$370,6,0))),"★","")</f>
        <v>★</v>
      </c>
      <c r="JV51" s="929" t="str">
        <f>IF(ISNUMBER(SEARCH($A51,VLOOKUP(JV$2,职业列表!$B$1:$G$370,6,0))),"★","")</f>
        <v/>
      </c>
      <c r="JW51" s="929" t="str">
        <f>IF(ISNUMBER(SEARCH($A51,VLOOKUP(JW$2,职业列表!$B$1:$G$370,6,0))),"★","")</f>
        <v/>
      </c>
      <c r="JX51" s="929" t="str">
        <f>IF(ISNUMBER(SEARCH($A51,VLOOKUP(JX$2,职业列表!$B$1:$G$370,6,0))),"★","")</f>
        <v>★</v>
      </c>
      <c r="JY51" s="929" t="str">
        <f>IF(ISNUMBER(SEARCH($A51,VLOOKUP(JY$2,职业列表!$B$1:$G$370,6,0))),"★","")</f>
        <v>★</v>
      </c>
      <c r="JZ51" s="929" t="str">
        <f>IF(ISNUMBER(SEARCH($A51,VLOOKUP(JZ$2,职业列表!$B$1:$G$370,6,0))),"★","")</f>
        <v>★</v>
      </c>
      <c r="KA51" s="929" t="str">
        <f>IF(ISNUMBER(SEARCH($A51,VLOOKUP(KA$2,职业列表!$B$1:$G$370,6,0))),"★","")</f>
        <v/>
      </c>
      <c r="KB51" s="929" t="str">
        <f>IF(ISNUMBER(SEARCH($A51,VLOOKUP(KB$2,职业列表!$B$1:$G$370,6,0))),"★","")</f>
        <v>★</v>
      </c>
      <c r="KC51" s="929" t="str">
        <f>IF(ISNUMBER(SEARCH($A51,VLOOKUP(KC$2,职业列表!$B$1:$G$370,6,0))),"★","")</f>
        <v>★</v>
      </c>
      <c r="KD51" s="929" t="str">
        <f>IF(ISNUMBER(SEARCH($A51,VLOOKUP(KD$2,职业列表!$B$1:$G$370,6,0))),"★","")</f>
        <v/>
      </c>
      <c r="KE51" s="929" t="str">
        <f>IF(ISNUMBER(SEARCH($A51,VLOOKUP(KE$2,职业列表!$B$1:$G$370,6,0))),"★","")</f>
        <v/>
      </c>
      <c r="KF51" s="929" t="str">
        <f>IF(ISNUMBER(SEARCH($A51,VLOOKUP(KF$2,职业列表!$B$1:$G$370,6,0))),"★","")</f>
        <v/>
      </c>
      <c r="KG51" s="929" t="str">
        <f>IF(ISNUMBER(SEARCH($A51,VLOOKUP(KG$2,职业列表!$B$1:$G$370,6,0))),"★","")</f>
        <v>★</v>
      </c>
      <c r="KH51" s="929" t="str">
        <f>IF(ISNUMBER(SEARCH($A51,VLOOKUP(KH$2,职业列表!$B$1:$G$370,6,0))),"★","")</f>
        <v/>
      </c>
      <c r="KI51" s="929" t="str">
        <f>IF(ISNUMBER(SEARCH($A51,VLOOKUP(KI$2,职业列表!$B$1:$G$370,6,0))),"★","")</f>
        <v>★</v>
      </c>
      <c r="KJ51" s="929" t="str">
        <f>IF(ISNUMBER(SEARCH($A51,VLOOKUP(KJ$2,职业列表!$B$1:$G$370,6,0))),"★","")</f>
        <v>★</v>
      </c>
      <c r="KK51" s="929" t="str">
        <f>IF(ISNUMBER(SEARCH($A51,VLOOKUP(KK$2,职业列表!$B$1:$G$370,6,0))),"★","")</f>
        <v/>
      </c>
      <c r="KL51" s="929" t="str">
        <f>IF(ISNUMBER(SEARCH($A51,VLOOKUP(KL$2,职业列表!$B$1:$G$370,6,0))),"★","")</f>
        <v>★</v>
      </c>
      <c r="KM51" s="929" t="str">
        <f>IF(ISNUMBER(SEARCH($A51,VLOOKUP(KM$2,职业列表!$B$1:$G$370,6,0))),"★","")</f>
        <v/>
      </c>
      <c r="KN51" s="929" t="str">
        <f>IF(ISNUMBER(SEARCH($A51,VLOOKUP(KN$2,职业列表!$B$1:$G$370,6,0))),"★","")</f>
        <v/>
      </c>
      <c r="KO51" s="929" t="str">
        <f>IF(ISNUMBER(SEARCH($A51,VLOOKUP(KO$2,职业列表!$B$1:$G$370,6,0))),"★","")</f>
        <v>★</v>
      </c>
      <c r="KP51" s="929" t="str">
        <f>IF(ISNUMBER(SEARCH($A51,VLOOKUP(KP$2,职业列表!$B$1:$G$370,6,0))),"★","")</f>
        <v>★</v>
      </c>
      <c r="KQ51" s="929" t="str">
        <f>IF(ISNUMBER(SEARCH($A51,VLOOKUP(KQ$2,职业列表!$B$1:$G$370,6,0))),"★","")</f>
        <v/>
      </c>
      <c r="KR51" s="929" t="str">
        <f>IF(ISNUMBER(SEARCH($A51,VLOOKUP(KR$2,职业列表!$B$1:$G$370,6,0))),"★","")</f>
        <v>★</v>
      </c>
      <c r="KS51" s="929" t="str">
        <f>IF(ISNUMBER(SEARCH($A51,VLOOKUP(KS$2,职业列表!$B$1:$G$370,6,0))),"★","")</f>
        <v/>
      </c>
      <c r="KT51" s="929" t="str">
        <f>IF(ISNUMBER(SEARCH($A51,VLOOKUP(KT$2,职业列表!$B$1:$G$370,6,0))),"★","")</f>
        <v>★</v>
      </c>
      <c r="KU51" s="929" t="str">
        <f>IF(ISNUMBER(SEARCH($A51,VLOOKUP(KU$2,职业列表!$B$1:$G$370,6,0))),"★","")</f>
        <v/>
      </c>
      <c r="KV51" s="929" t="str">
        <f>IF(ISNUMBER(SEARCH($A51,VLOOKUP(KV$2,职业列表!$B$1:$G$370,6,0))),"★","")</f>
        <v/>
      </c>
      <c r="KW51" s="929" t="str">
        <f>IF(ISNUMBER(SEARCH($A51,VLOOKUP(KW$2,职业列表!$B$1:$G$370,6,0))),"★","")</f>
        <v>★</v>
      </c>
      <c r="KX51" s="929" t="str">
        <f>IF(ISNUMBER(SEARCH($A51,VLOOKUP(KX$2,职业列表!$B$1:$G$370,6,0))),"★","")</f>
        <v>★</v>
      </c>
      <c r="KY51" s="929" t="str">
        <f>IF(ISNUMBER(SEARCH($A51,VLOOKUP(KY$2,职业列表!$B$1:$G$370,6,0))),"★","")</f>
        <v/>
      </c>
      <c r="KZ51" s="929" t="str">
        <f>IF(ISNUMBER(SEARCH($A51,VLOOKUP(KZ$2,职业列表!$B$1:$G$370,6,0))),"★","")</f>
        <v>★</v>
      </c>
      <c r="LA51" s="929" t="str">
        <f>IF(ISNUMBER(SEARCH($A51,VLOOKUP(LA$2,职业列表!$B$1:$G$370,6,0))),"★","")</f>
        <v>★</v>
      </c>
      <c r="LB51" s="929" t="str">
        <f>IF(ISNUMBER(SEARCH($A51,VLOOKUP(LB$2,职业列表!$B$1:$G$370,6,0))),"★","")</f>
        <v>★</v>
      </c>
      <c r="LC51" s="929" t="str">
        <f>IF(ISNUMBER(SEARCH($A51,VLOOKUP(LC$2,职业列表!$B$1:$G$370,6,0))),"★","")</f>
        <v/>
      </c>
      <c r="LD51" s="929" t="str">
        <f>IF(ISNUMBER(SEARCH($A51,VLOOKUP(LD$2,职业列表!$B$1:$G$370,6,0))),"★","")</f>
        <v>★</v>
      </c>
      <c r="LE51" s="929" t="str">
        <f>IF(ISNUMBER(SEARCH($A51,VLOOKUP(LE$2,职业列表!$B$1:$G$370,6,0))),"★","")</f>
        <v>★</v>
      </c>
      <c r="LF51" s="929" t="str">
        <f>IF(ISNUMBER(SEARCH($A51,VLOOKUP(LF$2,职业列表!$B$1:$G$370,6,0))),"★","")</f>
        <v>★</v>
      </c>
      <c r="LG51" s="929" t="str">
        <f>IF(ISNUMBER(SEARCH($A51,VLOOKUP(LG$2,职业列表!$B$1:$G$370,6,0))),"★","")</f>
        <v/>
      </c>
      <c r="LH51" s="929" t="str">
        <f>IF(ISNUMBER(SEARCH($A51,VLOOKUP(LH$2,职业列表!$B$1:$G$370,6,0))),"★","")</f>
        <v>★</v>
      </c>
      <c r="LI51" s="929" t="str">
        <f>IF(ISNUMBER(SEARCH($A51,VLOOKUP(LI$2,职业列表!$B$1:$G$370,6,0))),"★","")</f>
        <v>★</v>
      </c>
      <c r="LJ51" s="929" t="str">
        <f>IF(ISNUMBER(SEARCH($A51,VLOOKUP(LJ$2,职业列表!$B$1:$G$370,6,0))),"★","")</f>
        <v/>
      </c>
      <c r="LK51" s="929" t="str">
        <f>IF(ISNUMBER(SEARCH($A51,VLOOKUP(LK$2,职业列表!$B$1:$G$370,6,0))),"★","")</f>
        <v/>
      </c>
      <c r="LL51" s="929" t="str">
        <f>IF(ISNUMBER(SEARCH($A51,VLOOKUP(LL$2,职业列表!$B$1:$G$370,6,0))),"★","")</f>
        <v>★</v>
      </c>
      <c r="LM51" s="929" t="str">
        <f>IF(ISNUMBER(SEARCH($A51,VLOOKUP(LM$2,职业列表!$B$1:$G$370,6,0))),"★","")</f>
        <v/>
      </c>
      <c r="LN51" s="929" t="str">
        <f>IF(ISNUMBER(SEARCH($A51,VLOOKUP(LN$2,职业列表!$B$1:$G$370,6,0))),"★","")</f>
        <v/>
      </c>
      <c r="LO51" s="929" t="str">
        <f>IF(ISNUMBER(SEARCH($A51,VLOOKUP(LO$2,职业列表!$B$1:$G$370,6,0))),"★","")</f>
        <v/>
      </c>
      <c r="LP51" s="929" t="str">
        <f>IF(ISNUMBER(SEARCH($A51,VLOOKUP(LP$2,职业列表!$B$1:$G$370,6,0))),"★","")</f>
        <v/>
      </c>
      <c r="LQ51" s="929" t="str">
        <f>IF(ISNUMBER(SEARCH($A51,VLOOKUP(LQ$2,职业列表!$B$1:$G$370,6,0))),"★","")</f>
        <v/>
      </c>
      <c r="LR51" s="929" t="str">
        <f>IF(ISNUMBER(SEARCH($A51,VLOOKUP(LR$2,职业列表!$B$1:$G$370,6,0))),"★","")</f>
        <v/>
      </c>
      <c r="LS51" s="929" t="str">
        <f>IF(ISNUMBER(SEARCH($A51,VLOOKUP(LS$2,职业列表!$B$1:$G$370,6,0))),"★","")</f>
        <v/>
      </c>
      <c r="LT51" s="929" t="str">
        <f>IF(ISNUMBER(SEARCH($A51,VLOOKUP(LT$2,职业列表!$B$1:$G$370,6,0))),"★","")</f>
        <v/>
      </c>
      <c r="LU51" s="929" t="str">
        <f>IF(ISNUMBER(SEARCH($A51,VLOOKUP(LU$2,职业列表!$B$1:$G$370,6,0))),"★","")</f>
        <v/>
      </c>
      <c r="LV51" s="929" t="str">
        <f>IF(ISNUMBER(SEARCH($A51,VLOOKUP(LV$2,职业列表!$B$1:$G$370,6,0))),"★","")</f>
        <v>★</v>
      </c>
      <c r="LW51" s="929" t="str">
        <f>IF(ISNUMBER(SEARCH($A51,VLOOKUP(LW$2,职业列表!$B$1:$G$370,6,0))),"★","")</f>
        <v>★</v>
      </c>
      <c r="LX51" s="929" t="str">
        <f>IF(ISNUMBER(SEARCH($A51,VLOOKUP(LX$2,职业列表!$B$1:$G$370,6,0))),"★","")</f>
        <v>★</v>
      </c>
      <c r="LY51" s="929" t="str">
        <f>IF(ISNUMBER(SEARCH($A51,VLOOKUP(LY$2,职业列表!$B$1:$G$370,6,0))),"★","")</f>
        <v/>
      </c>
      <c r="LZ51" s="929" t="str">
        <f>IF(ISNUMBER(SEARCH($A51,VLOOKUP(LZ$2,职业列表!$B$1:$G$370,6,0))),"★","")</f>
        <v>★</v>
      </c>
      <c r="MA51" s="929" t="str">
        <f>IF(ISNUMBER(SEARCH($A51,VLOOKUP(MA$2,职业列表!$B$1:$G$370,6,0))),"★","")</f>
        <v>★</v>
      </c>
      <c r="MB51" s="929" t="str">
        <f>IF(ISNUMBER(SEARCH($A51,VLOOKUP(MB$2,职业列表!$B$1:$G$370,6,0))),"★","")</f>
        <v>★</v>
      </c>
      <c r="MC51" s="929" t="str">
        <f>IF(ISNUMBER(SEARCH($A51,VLOOKUP(MC$2,职业列表!$B$1:$G$370,6,0))),"★","")</f>
        <v>★</v>
      </c>
      <c r="MD51" s="929" t="str">
        <f>IF(ISNUMBER(SEARCH($A51,VLOOKUP(MD$2,职业列表!$B$1:$G$370,6,0))),"★","")</f>
        <v>★</v>
      </c>
      <c r="ME51" s="929" t="str">
        <f>IF(ISNUMBER(SEARCH($A51,VLOOKUP(ME$2,职业列表!$B$1:$G$370,6,0))),"★","")</f>
        <v>★</v>
      </c>
      <c r="MF51" s="929" t="str">
        <f>IF(ISNUMBER(SEARCH($A51,VLOOKUP(MF$2,职业列表!$B$1:$G$370,6,0))),"★","")</f>
        <v>★</v>
      </c>
      <c r="MG51" s="929" t="str">
        <f>IF(ISNUMBER(SEARCH($A51,VLOOKUP(MG$2,职业列表!$B$1:$G$370,6,0))),"★","")</f>
        <v>★</v>
      </c>
      <c r="MH51" s="929" t="str">
        <f>IF(ISNUMBER(SEARCH($A51,VLOOKUP(MH$2,职业列表!$B$1:$G$370,6,0))),"★","")</f>
        <v/>
      </c>
      <c r="MI51" s="929" t="str">
        <f>IF(ISNUMBER(SEARCH($A51,VLOOKUP(MI$2,职业列表!$B$1:$G$370,6,0))),"★","")</f>
        <v>★</v>
      </c>
      <c r="MJ51" s="929" t="str">
        <f>IF(ISNUMBER(SEARCH($A51,VLOOKUP(MJ$2,职业列表!$B$1:$G$370,6,0))),"★","")</f>
        <v/>
      </c>
      <c r="MK51" s="929" t="str">
        <f>IF(ISNUMBER(SEARCH($A51,VLOOKUP(MK$2,职业列表!$B$1:$G$370,6,0))),"★","")</f>
        <v/>
      </c>
      <c r="ML51" s="929" t="str">
        <f>IF(ISNUMBER(SEARCH($A51,VLOOKUP(ML$2,职业列表!$B$1:$G$370,6,0))),"★","")</f>
        <v>★</v>
      </c>
      <c r="MM51" s="929" t="str">
        <f>IF(ISNUMBER(SEARCH($A51,VLOOKUP(MM$2,职业列表!$B$1:$G$370,6,0))),"★","")</f>
        <v>★</v>
      </c>
      <c r="MN51" s="929" t="str">
        <f>IF(ISNUMBER(SEARCH($A51,VLOOKUP(MN$2,职业列表!$B$1:$G$370,6,0))),"★","")</f>
        <v>★</v>
      </c>
      <c r="MO51" s="929" t="str">
        <f>IF(ISNUMBER(SEARCH($A51,VLOOKUP(MO$2,职业列表!$B$1:$G$370,6,0))),"★","")</f>
        <v>★</v>
      </c>
      <c r="MP51" s="929" t="str">
        <f>IF(ISNUMBER(SEARCH($A51,VLOOKUP(MP$2,职业列表!$B$1:$G$370,6,0))),"★","")</f>
        <v>★</v>
      </c>
      <c r="MQ51" s="929" t="str">
        <f>IF(ISNUMBER(SEARCH($A51,VLOOKUP(MQ$2,职业列表!$B$1:$G$370,6,0))),"★","")</f>
        <v>★</v>
      </c>
      <c r="MR51" s="929" t="str">
        <f>IF(ISNUMBER(SEARCH($A51,VLOOKUP(MR$2,职业列表!$B$1:$G$370,6,0))),"★","")</f>
        <v>★</v>
      </c>
      <c r="MS51" s="929" t="str">
        <f>IF(ISNUMBER(SEARCH($A51,VLOOKUP(MS$2,职业列表!$B$1:$G$370,6,0))),"★","")</f>
        <v/>
      </c>
      <c r="MT51" s="929" t="str">
        <f>IF(ISNUMBER(SEARCH($A51,VLOOKUP(MT$2,职业列表!$B$1:$G$370,6,0))),"★","")</f>
        <v>★</v>
      </c>
      <c r="MU51" s="929" t="str">
        <f>IF(ISNUMBER(SEARCH($A51,VLOOKUP(MU$2,职业列表!$B$1:$G$370,6,0))),"★","")</f>
        <v>★</v>
      </c>
      <c r="MV51" s="929" t="str">
        <f>IF(ISNUMBER(SEARCH($A51,VLOOKUP(MV$2,职业列表!$B$1:$G$370,6,0))),"★","")</f>
        <v>★</v>
      </c>
      <c r="MW51" s="929" t="str">
        <f>IF(ISNUMBER(SEARCH($A51,VLOOKUP(MW$2,职业列表!$B$1:$G$370,6,0))),"★","")</f>
        <v/>
      </c>
      <c r="MX51" s="929" t="str">
        <f>IF(ISNUMBER(SEARCH($A51,VLOOKUP(MX$2,职业列表!$B$1:$G$370,6,0))),"★","")</f>
        <v>★</v>
      </c>
      <c r="MY51" s="929" t="str">
        <f>IF(ISNUMBER(SEARCH($A51,VLOOKUP(MY$2,职业列表!$B$1:$G$370,6,0))),"★","")</f>
        <v>★</v>
      </c>
      <c r="MZ51" s="929" t="str">
        <f>IF(ISNUMBER(SEARCH($A51,VLOOKUP(MZ$2,职业列表!$B$1:$G$370,6,0))),"★","")</f>
        <v>★</v>
      </c>
      <c r="NA51" s="929" t="str">
        <f>IF(ISNUMBER(SEARCH($A51,VLOOKUP(NA$2,职业列表!$B$1:$G$370,6,0))),"★","")</f>
        <v/>
      </c>
      <c r="NB51" s="929" t="str">
        <f>IF(ISNUMBER(SEARCH($A51,VLOOKUP(NB$2,职业列表!$B$1:$G$370,6,0))),"★","")</f>
        <v>★</v>
      </c>
      <c r="NC51" s="929" t="str">
        <f>IF(ISNUMBER(SEARCH($A51,VLOOKUP(NC$2,职业列表!$B$1:$G$370,6,0))),"★","")</f>
        <v>★</v>
      </c>
      <c r="ND51" s="929" t="str">
        <f>IF(ISNUMBER(SEARCH($A51,VLOOKUP(ND$2,职业列表!$B$1:$G$370,6,0))),"★","")</f>
        <v/>
      </c>
      <c r="NE51" s="929" t="str">
        <f>IF(ISNUMBER(SEARCH($A51,VLOOKUP(NE$2,职业列表!$B$1:$G$370,6,0))),"★","")</f>
        <v/>
      </c>
    </row>
    <row r="52" customFormat="1" spans="1:369">
      <c r="A52" s="932" t="s">
        <v>97</v>
      </c>
      <c r="B52" s="939" t="str">
        <f>IF(OR(A52="说服",A52="话术",A52="取悦",A52="恐吓"),"☯",IF(ISNUMBER(SEARCH(A52,VLOOKUP(IX$2,职业列表!$B$1:$G$370,6,0))),"★",""))</f>
        <v/>
      </c>
      <c r="C52" s="939" t="str">
        <f>IF(ISTEXT(IFERROR(VLOOKUP(A52,职业列表!I3:J10,1,FALSE),0)),"★","")</f>
        <v/>
      </c>
      <c r="D52" s="939"/>
      <c r="E52" s="939"/>
      <c r="F52" s="939"/>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s="939"/>
      <c r="AM52" s="939" t="s">
        <v>2716</v>
      </c>
      <c r="AN52" s="939"/>
      <c r="AO52" s="939"/>
      <c r="AP52" s="939"/>
      <c r="AQ52" s="939"/>
      <c r="AR52" s="939"/>
      <c r="AS52" s="939" t="s">
        <v>1319</v>
      </c>
      <c r="AT52" s="939"/>
      <c r="AU52" s="939"/>
      <c r="AV52" s="939"/>
      <c r="AW52" s="939"/>
      <c r="AX52" s="939"/>
      <c r="AY52" s="939"/>
      <c r="AZ52" s="939"/>
      <c r="BA52" s="939"/>
      <c r="BB52" s="939"/>
      <c r="BC52" s="939"/>
      <c r="BD52" s="939"/>
      <c r="BE52" s="939"/>
      <c r="BF52" s="939"/>
      <c r="BG52" s="939"/>
      <c r="BH52" s="939"/>
      <c r="BI52" s="939"/>
      <c r="BJ52" s="939"/>
      <c r="BK52" s="939"/>
      <c r="BL52" s="939"/>
      <c r="BM52" s="939"/>
      <c r="BN52" s="939"/>
      <c r="BO52" s="939"/>
      <c r="BP52" s="939"/>
      <c r="BQ52" s="939"/>
      <c r="BR52" s="939"/>
      <c r="BS52" s="939"/>
      <c r="BT52" s="939"/>
      <c r="BU52" s="939"/>
      <c r="BV52" s="939"/>
      <c r="BW52" s="939"/>
      <c r="BX52" s="939"/>
      <c r="BY52" s="939"/>
      <c r="BZ52" s="939"/>
      <c r="CA52" s="939"/>
      <c r="CB52" s="939"/>
      <c r="CC52" s="939"/>
      <c r="CD52" s="939"/>
      <c r="CE52" s="939"/>
      <c r="CF52" s="939"/>
      <c r="CG52" s="939"/>
      <c r="CH52" s="939"/>
      <c r="CI52" s="939"/>
      <c r="CJ52" s="939"/>
      <c r="CK52" s="940" t="s">
        <v>2743</v>
      </c>
      <c r="CL52" s="940" t="s">
        <v>2743</v>
      </c>
      <c r="CM52" s="939"/>
      <c r="CN52" s="939"/>
      <c r="CO52" s="939"/>
      <c r="CP52" s="939"/>
      <c r="CQ52" s="939"/>
      <c r="CR52" s="939"/>
      <c r="CS52" s="939"/>
      <c r="CT52" s="939"/>
      <c r="CU52" s="939"/>
      <c r="CV52" s="939" t="s">
        <v>1319</v>
      </c>
      <c r="CW52" s="939" t="s">
        <v>1319</v>
      </c>
      <c r="CX52" s="939"/>
      <c r="CY52" s="939"/>
      <c r="CZ52" s="939"/>
      <c r="DA52" s="939"/>
      <c r="DB52" s="939"/>
      <c r="DC52" s="939"/>
      <c r="DD52" s="939"/>
      <c r="DE52" s="939" t="s">
        <v>2719</v>
      </c>
      <c r="DF52" s="939"/>
      <c r="DG52" s="939"/>
      <c r="DH52" s="939"/>
      <c r="DI52" s="939"/>
      <c r="DJ52" s="939"/>
      <c r="DK52" s="939"/>
      <c r="DL52" s="939"/>
      <c r="DM52" s="939"/>
      <c r="DN52" s="939"/>
      <c r="DO52" s="939"/>
      <c r="DP52" s="939"/>
      <c r="DQ52" s="939"/>
      <c r="DR52" s="939"/>
      <c r="DS52" s="939"/>
      <c r="DT52" s="939"/>
      <c r="DU52" s="939"/>
      <c r="DV52" s="939"/>
      <c r="DW52" s="939"/>
      <c r="DX52" s="939"/>
      <c r="DY52" s="939"/>
      <c r="DZ52" s="939"/>
      <c r="EA52" s="939"/>
      <c r="EB52" s="939"/>
      <c r="EC52" s="939"/>
      <c r="ED52" s="939"/>
      <c r="EE52" s="939"/>
      <c r="EF52" s="939"/>
      <c r="EG52" s="939"/>
      <c r="EH52" s="939"/>
      <c r="EI52" s="939"/>
      <c r="EJ52" s="939"/>
      <c r="EK52" s="939"/>
      <c r="EL52" s="939"/>
      <c r="EM52" s="939"/>
      <c r="EN52" s="939"/>
      <c r="EO52" s="939"/>
      <c r="EP52" s="939" t="s">
        <v>1319</v>
      </c>
      <c r="EQ52" s="939"/>
      <c r="ER52" s="939"/>
      <c r="ES52" s="939"/>
      <c r="ET52" s="939"/>
      <c r="EU52" s="939"/>
      <c r="EV52" s="939"/>
      <c r="EW52" s="939"/>
      <c r="EX52" s="939"/>
      <c r="EY52" s="939"/>
      <c r="EZ52" s="939"/>
      <c r="FA52" s="939"/>
      <c r="FB52" s="939" t="s">
        <v>74</v>
      </c>
      <c r="FC52" s="939"/>
      <c r="FD52" s="939"/>
      <c r="FE52" s="939"/>
      <c r="FF52" s="939"/>
      <c r="FG52" s="939"/>
      <c r="FH52" s="939"/>
      <c r="FI52" s="939"/>
      <c r="FJ52" s="939"/>
      <c r="FK52" s="939"/>
      <c r="FL52" s="939"/>
      <c r="FM52" s="939"/>
      <c r="FN52" s="939"/>
      <c r="FO52" s="939"/>
      <c r="FP52" s="939" t="s">
        <v>1319</v>
      </c>
      <c r="FQ52" s="939"/>
      <c r="FR52" s="939"/>
      <c r="FS52" s="939"/>
      <c r="FT52" s="939"/>
      <c r="FU52" s="939"/>
      <c r="FV52" s="939"/>
      <c r="FW52" s="939"/>
      <c r="FX52" s="939"/>
      <c r="FY52" s="939"/>
      <c r="FZ52" s="939"/>
      <c r="GA52" s="939" t="s">
        <v>1319</v>
      </c>
      <c r="GB52" s="939" t="s">
        <v>1319</v>
      </c>
      <c r="GC52" s="939"/>
      <c r="GD52" s="939"/>
      <c r="GE52" s="939"/>
      <c r="GF52" s="939"/>
      <c r="GG52" s="939"/>
      <c r="GH52" s="939"/>
      <c r="GI52" s="939"/>
      <c r="GJ52" s="939"/>
      <c r="GK52" s="939"/>
      <c r="GL52" s="939"/>
      <c r="GM52" s="939"/>
      <c r="GN52" s="939"/>
      <c r="GO52" s="939"/>
      <c r="GP52" s="939"/>
      <c r="GQ52" s="939"/>
      <c r="GR52" s="939"/>
      <c r="GS52" s="939"/>
      <c r="GT52" s="939"/>
      <c r="GU52" s="939"/>
      <c r="GV52" s="939"/>
      <c r="GW52" s="939"/>
      <c r="GX52" s="939"/>
      <c r="GY52" s="939"/>
      <c r="GZ52" s="939"/>
      <c r="HA52" s="939"/>
      <c r="HB52" s="939"/>
      <c r="HC52" s="939"/>
      <c r="HD52" s="939"/>
      <c r="HE52" s="939"/>
      <c r="HF52" s="939"/>
      <c r="HG52" s="939"/>
      <c r="HH52" s="939"/>
      <c r="HI52" s="939"/>
      <c r="HJ52" s="939"/>
      <c r="HK52" s="939"/>
      <c r="HL52" s="940" t="s">
        <v>2744</v>
      </c>
      <c r="HM52" s="939"/>
      <c r="HN52" s="939"/>
      <c r="HO52" s="940" t="s">
        <v>2719</v>
      </c>
      <c r="HP52" s="939"/>
      <c r="HQ52" s="939"/>
      <c r="HR52" s="939"/>
      <c r="HS52" s="939"/>
      <c r="HT52" s="939"/>
      <c r="HU52" s="939"/>
      <c r="HV52" s="939"/>
      <c r="HW52" s="939"/>
      <c r="HX52" s="990"/>
      <c r="HY52" s="1012"/>
      <c r="HZ52" s="1012"/>
      <c r="IA52" s="1012"/>
      <c r="IB52" s="1031" t="s">
        <v>1317</v>
      </c>
      <c r="IC52" s="1013"/>
      <c r="ID52" s="1013"/>
      <c r="IE52" s="1012"/>
      <c r="IF52" s="1012"/>
      <c r="IG52" s="1012"/>
      <c r="IH52" s="1012"/>
      <c r="II52" s="1012"/>
      <c r="IJ52" s="1012"/>
      <c r="IK52" s="1012"/>
      <c r="IL52" s="1012"/>
      <c r="IM52" s="1012"/>
      <c r="IN52" s="1012"/>
      <c r="IO52" s="1012"/>
      <c r="IP52" s="1013"/>
      <c r="IQ52" s="1013"/>
      <c r="IR52" s="1012"/>
      <c r="IS52" s="1012"/>
      <c r="IT52" s="1012"/>
      <c r="IU52" s="1012"/>
      <c r="IV52" s="1012"/>
      <c r="IW52" s="929"/>
      <c r="IX52" s="929" t="str">
        <f>IF(ISNUMBER(SEARCH($A52,VLOOKUP(IX$2,职业列表!$B$1:$G$370,6,0))),"★","")</f>
        <v/>
      </c>
      <c r="IY52" s="929" t="str">
        <f>IF(ISNUMBER(SEARCH($A52,VLOOKUP(IY$2,职业列表!$B$1:$G$370,6,0))),"★","")</f>
        <v/>
      </c>
      <c r="IZ52" s="929" t="str">
        <f>IF(ISNUMBER(SEARCH($A52,VLOOKUP(IZ$2,职业列表!$B$1:$G$370,6,0))),"★","")</f>
        <v/>
      </c>
      <c r="JA52" s="929" t="str">
        <f>IF(ISNUMBER(SEARCH($A52,VLOOKUP(JA$2,职业列表!$B$1:$G$370,6,0))),"★","")</f>
        <v/>
      </c>
      <c r="JB52" s="929" t="str">
        <f>IF(ISNUMBER(SEARCH($A52,VLOOKUP(JB$2,职业列表!$B$1:$G$370,6,0))),"★","")</f>
        <v/>
      </c>
      <c r="JC52" s="929" t="str">
        <f>IF(ISNUMBER(SEARCH($A52,VLOOKUP(JC$2,职业列表!$B$1:$G$370,6,0))),"★","")</f>
        <v/>
      </c>
      <c r="JD52" s="929" t="str">
        <f>IF(ISNUMBER(SEARCH($A52,VLOOKUP(JD$2,职业列表!$B$1:$G$370,6,0))),"★","")</f>
        <v/>
      </c>
      <c r="JE52" s="929" t="str">
        <f>IF(ISNUMBER(SEARCH($A52,VLOOKUP(JE$2,职业列表!$B$1:$G$370,6,0))),"★","")</f>
        <v/>
      </c>
      <c r="JF52" s="929" t="str">
        <f>IF(ISNUMBER(SEARCH($A52,VLOOKUP(JF$2,职业列表!$B$1:$G$370,6,0))),"★","")</f>
        <v/>
      </c>
      <c r="JG52" s="929" t="str">
        <f>IF(ISNUMBER(SEARCH($A52,VLOOKUP(JG$2,职业列表!$B$1:$G$370,6,0))),"★","")</f>
        <v/>
      </c>
      <c r="JH52" s="929" t="str">
        <f>IF(ISNUMBER(SEARCH($A52,VLOOKUP(JH$2,职业列表!$B$1:$G$370,6,0))),"★","")</f>
        <v/>
      </c>
      <c r="JI52" s="929" t="str">
        <f>IF(ISNUMBER(SEARCH($A52,VLOOKUP(JI$2,职业列表!$B$1:$G$370,6,0))),"★","")</f>
        <v/>
      </c>
      <c r="JJ52" s="929" t="str">
        <f>IF(ISNUMBER(SEARCH($A52,VLOOKUP(JJ$2,职业列表!$B$1:$G$370,6,0))),"★","")</f>
        <v>★</v>
      </c>
      <c r="JK52" s="929" t="str">
        <f>IF(ISNUMBER(SEARCH($A52,VLOOKUP(JK$2,职业列表!$B$1:$G$370,6,0))),"★","")</f>
        <v/>
      </c>
      <c r="JL52" s="929" t="str">
        <f>IF(ISNUMBER(SEARCH($A52,VLOOKUP(JL$2,职业列表!$B$1:$G$370,6,0))),"★","")</f>
        <v/>
      </c>
      <c r="JM52" s="929" t="str">
        <f>IF(ISNUMBER(SEARCH($A52,VLOOKUP(JM$2,职业列表!$B$1:$G$370,6,0))),"★","")</f>
        <v/>
      </c>
      <c r="JN52" s="929" t="str">
        <f>IF(ISNUMBER(SEARCH($A52,VLOOKUP(JN$2,职业列表!$B$1:$G$370,6,0))),"★","")</f>
        <v/>
      </c>
      <c r="JO52" s="929" t="str">
        <f>IF(ISNUMBER(SEARCH($A52,VLOOKUP(JO$2,职业列表!$B$1:$G$370,6,0))),"★","")</f>
        <v/>
      </c>
      <c r="JP52" s="929" t="str">
        <f>IF(ISNUMBER(SEARCH($A52,VLOOKUP(JP$2,职业列表!$B$1:$G$370,6,0))),"★","")</f>
        <v/>
      </c>
      <c r="JQ52" s="929" t="str">
        <f>IF(ISNUMBER(SEARCH($A52,VLOOKUP(JQ$2,职业列表!$B$1:$G$370,6,0))),"★","")</f>
        <v/>
      </c>
      <c r="JR52" s="929" t="str">
        <f>IF(ISNUMBER(SEARCH($A52,VLOOKUP(JR$2,职业列表!$B$1:$G$370,6,0))),"★","")</f>
        <v/>
      </c>
      <c r="JS52" s="929" t="str">
        <f>IF(ISNUMBER(SEARCH($A52,VLOOKUP(JS$2,职业列表!$B$1:$G$370,6,0))),"★","")</f>
        <v/>
      </c>
      <c r="JT52" s="929" t="str">
        <f>IF(ISNUMBER(SEARCH($A52,VLOOKUP(JT$2,职业列表!$B$1:$G$370,6,0))),"★","")</f>
        <v/>
      </c>
      <c r="JU52" s="929" t="str">
        <f>IF(ISNUMBER(SEARCH($A52,VLOOKUP(JU$2,职业列表!$B$1:$G$370,6,0))),"★","")</f>
        <v/>
      </c>
      <c r="JV52" s="929" t="str">
        <f>IF(ISNUMBER(SEARCH($A52,VLOOKUP(JV$2,职业列表!$B$1:$G$370,6,0))),"★","")</f>
        <v/>
      </c>
      <c r="JW52" s="929" t="str">
        <f>IF(ISNUMBER(SEARCH($A52,VLOOKUP(JW$2,职业列表!$B$1:$G$370,6,0))),"★","")</f>
        <v/>
      </c>
      <c r="JX52" s="929" t="str">
        <f>IF(ISNUMBER(SEARCH($A52,VLOOKUP(JX$2,职业列表!$B$1:$G$370,6,0))),"★","")</f>
        <v/>
      </c>
      <c r="JY52" s="929" t="str">
        <f>IF(ISNUMBER(SEARCH($A52,VLOOKUP(JY$2,职业列表!$B$1:$G$370,6,0))),"★","")</f>
        <v/>
      </c>
      <c r="JZ52" s="929" t="str">
        <f>IF(ISNUMBER(SEARCH($A52,VLOOKUP(JZ$2,职业列表!$B$1:$G$370,6,0))),"★","")</f>
        <v/>
      </c>
      <c r="KA52" s="929" t="str">
        <f>IF(ISNUMBER(SEARCH($A52,VLOOKUP(KA$2,职业列表!$B$1:$G$370,6,0))),"★","")</f>
        <v/>
      </c>
      <c r="KB52" s="929" t="str">
        <f>IF(ISNUMBER(SEARCH($A52,VLOOKUP(KB$2,职业列表!$B$1:$G$370,6,0))),"★","")</f>
        <v/>
      </c>
      <c r="KC52" s="929" t="str">
        <f>IF(ISNUMBER(SEARCH($A52,VLOOKUP(KC$2,职业列表!$B$1:$G$370,6,0))),"★","")</f>
        <v/>
      </c>
      <c r="KD52" s="929" t="str">
        <f>IF(ISNUMBER(SEARCH($A52,VLOOKUP(KD$2,职业列表!$B$1:$G$370,6,0))),"★","")</f>
        <v/>
      </c>
      <c r="KE52" s="929" t="str">
        <f>IF(ISNUMBER(SEARCH($A52,VLOOKUP(KE$2,职业列表!$B$1:$G$370,6,0))),"★","")</f>
        <v/>
      </c>
      <c r="KF52" s="929" t="str">
        <f>IF(ISNUMBER(SEARCH($A52,VLOOKUP(KF$2,职业列表!$B$1:$G$370,6,0))),"★","")</f>
        <v/>
      </c>
      <c r="KG52" s="929" t="str">
        <f>IF(ISNUMBER(SEARCH($A52,VLOOKUP(KG$2,职业列表!$B$1:$G$370,6,0))),"★","")</f>
        <v/>
      </c>
      <c r="KH52" s="929" t="str">
        <f>IF(ISNUMBER(SEARCH($A52,VLOOKUP(KH$2,职业列表!$B$1:$G$370,6,0))),"★","")</f>
        <v/>
      </c>
      <c r="KI52" s="929" t="str">
        <f>IF(ISNUMBER(SEARCH($A52,VLOOKUP(KI$2,职业列表!$B$1:$G$370,6,0))),"★","")</f>
        <v/>
      </c>
      <c r="KJ52" s="929" t="str">
        <f>IF(ISNUMBER(SEARCH($A52,VLOOKUP(KJ$2,职业列表!$B$1:$G$370,6,0))),"★","")</f>
        <v/>
      </c>
      <c r="KK52" s="929" t="str">
        <f>IF(ISNUMBER(SEARCH($A52,VLOOKUP(KK$2,职业列表!$B$1:$G$370,6,0))),"★","")</f>
        <v/>
      </c>
      <c r="KL52" s="929" t="str">
        <f>IF(ISNUMBER(SEARCH($A52,VLOOKUP(KL$2,职业列表!$B$1:$G$370,6,0))),"★","")</f>
        <v/>
      </c>
      <c r="KM52" s="929" t="str">
        <f>IF(ISNUMBER(SEARCH($A52,VLOOKUP(KM$2,职业列表!$B$1:$G$370,6,0))),"★","")</f>
        <v>★</v>
      </c>
      <c r="KN52" s="929" t="str">
        <f>IF(ISNUMBER(SEARCH($A52,VLOOKUP(KN$2,职业列表!$B$1:$G$370,6,0))),"★","")</f>
        <v/>
      </c>
      <c r="KO52" s="929" t="str">
        <f>IF(ISNUMBER(SEARCH($A52,VLOOKUP(KO$2,职业列表!$B$1:$G$370,6,0))),"★","")</f>
        <v/>
      </c>
      <c r="KP52" s="929" t="str">
        <f>IF(ISNUMBER(SEARCH($A52,VLOOKUP(KP$2,职业列表!$B$1:$G$370,6,0))),"★","")</f>
        <v/>
      </c>
      <c r="KQ52" s="929" t="str">
        <f>IF(ISNUMBER(SEARCH($A52,VLOOKUP(KQ$2,职业列表!$B$1:$G$370,6,0))),"★","")</f>
        <v/>
      </c>
      <c r="KR52" s="929" t="str">
        <f>IF(ISNUMBER(SEARCH($A52,VLOOKUP(KR$2,职业列表!$B$1:$G$370,6,0))),"★","")</f>
        <v/>
      </c>
      <c r="KS52" s="929" t="str">
        <f>IF(ISNUMBER(SEARCH($A52,VLOOKUP(KS$2,职业列表!$B$1:$G$370,6,0))),"★","")</f>
        <v/>
      </c>
      <c r="KT52" s="929" t="str">
        <f>IF(ISNUMBER(SEARCH($A52,VLOOKUP(KT$2,职业列表!$B$1:$G$370,6,0))),"★","")</f>
        <v/>
      </c>
      <c r="KU52" s="929" t="str">
        <f>IF(ISNUMBER(SEARCH($A52,VLOOKUP(KU$2,职业列表!$B$1:$G$370,6,0))),"★","")</f>
        <v/>
      </c>
      <c r="KV52" s="929" t="str">
        <f>IF(ISNUMBER(SEARCH($A52,VLOOKUP(KV$2,职业列表!$B$1:$G$370,6,0))),"★","")</f>
        <v/>
      </c>
      <c r="KW52" s="929" t="str">
        <f>IF(ISNUMBER(SEARCH($A52,VLOOKUP(KW$2,职业列表!$B$1:$G$370,6,0))),"★","")</f>
        <v/>
      </c>
      <c r="KX52" s="929" t="str">
        <f>IF(ISNUMBER(SEARCH($A52,VLOOKUP(KX$2,职业列表!$B$1:$G$370,6,0))),"★","")</f>
        <v/>
      </c>
      <c r="KY52" s="929" t="str">
        <f>IF(ISNUMBER(SEARCH($A52,VLOOKUP(KY$2,职业列表!$B$1:$G$370,6,0))),"★","")</f>
        <v/>
      </c>
      <c r="KZ52" s="929" t="str">
        <f>IF(ISNUMBER(SEARCH($A52,VLOOKUP(KZ$2,职业列表!$B$1:$G$370,6,0))),"★","")</f>
        <v/>
      </c>
      <c r="LA52" s="929" t="str">
        <f>IF(ISNUMBER(SEARCH($A52,VLOOKUP(LA$2,职业列表!$B$1:$G$370,6,0))),"★","")</f>
        <v>★</v>
      </c>
      <c r="LB52" s="929" t="str">
        <f>IF(ISNUMBER(SEARCH($A52,VLOOKUP(LB$2,职业列表!$B$1:$G$370,6,0))),"★","")</f>
        <v/>
      </c>
      <c r="LC52" s="929" t="str">
        <f>IF(ISNUMBER(SEARCH($A52,VLOOKUP(LC$2,职业列表!$B$1:$G$370,6,0))),"★","")</f>
        <v>★</v>
      </c>
      <c r="LD52" s="929" t="str">
        <f>IF(ISNUMBER(SEARCH($A52,VLOOKUP(LD$2,职业列表!$B$1:$G$370,6,0))),"★","")</f>
        <v/>
      </c>
      <c r="LE52" s="929" t="str">
        <f>IF(ISNUMBER(SEARCH($A52,VLOOKUP(LE$2,职业列表!$B$1:$G$370,6,0))),"★","")</f>
        <v/>
      </c>
      <c r="LF52" s="929" t="str">
        <f>IF(ISNUMBER(SEARCH($A52,VLOOKUP(LF$2,职业列表!$B$1:$G$370,6,0))),"★","")</f>
        <v/>
      </c>
      <c r="LG52" s="929" t="str">
        <f>IF(ISNUMBER(SEARCH($A52,VLOOKUP(LG$2,职业列表!$B$1:$G$370,6,0))),"★","")</f>
        <v/>
      </c>
      <c r="LH52" s="929" t="str">
        <f>IF(ISNUMBER(SEARCH($A52,VLOOKUP(LH$2,职业列表!$B$1:$G$370,6,0))),"★","")</f>
        <v/>
      </c>
      <c r="LI52" s="929" t="str">
        <f>IF(ISNUMBER(SEARCH($A52,VLOOKUP(LI$2,职业列表!$B$1:$G$370,6,0))),"★","")</f>
        <v/>
      </c>
      <c r="LJ52" s="929" t="str">
        <f>IF(ISNUMBER(SEARCH($A52,VLOOKUP(LJ$2,职业列表!$B$1:$G$370,6,0))),"★","")</f>
        <v/>
      </c>
      <c r="LK52" s="929" t="str">
        <f>IF(ISNUMBER(SEARCH($A52,VLOOKUP(LK$2,职业列表!$B$1:$G$370,6,0))),"★","")</f>
        <v/>
      </c>
      <c r="LL52" s="929" t="str">
        <f>IF(ISNUMBER(SEARCH($A52,VLOOKUP(LL$2,职业列表!$B$1:$G$370,6,0))),"★","")</f>
        <v>★</v>
      </c>
      <c r="LM52" s="929" t="str">
        <f>IF(ISNUMBER(SEARCH($A52,VLOOKUP(LM$2,职业列表!$B$1:$G$370,6,0))),"★","")</f>
        <v/>
      </c>
      <c r="LN52" s="929" t="str">
        <f>IF(ISNUMBER(SEARCH($A52,VLOOKUP(LN$2,职业列表!$B$1:$G$370,6,0))),"★","")</f>
        <v>★</v>
      </c>
      <c r="LO52" s="929" t="str">
        <f>IF(ISNUMBER(SEARCH($A52,VLOOKUP(LO$2,职业列表!$B$1:$G$370,6,0))),"★","")</f>
        <v>★</v>
      </c>
      <c r="LP52" s="929" t="str">
        <f>IF(ISNUMBER(SEARCH($A52,VLOOKUP(LP$2,职业列表!$B$1:$G$370,6,0))),"★","")</f>
        <v>★</v>
      </c>
      <c r="LQ52" s="929" t="str">
        <f>IF(ISNUMBER(SEARCH($A52,VLOOKUP(LQ$2,职业列表!$B$1:$G$370,6,0))),"★","")</f>
        <v/>
      </c>
      <c r="LR52" s="929" t="str">
        <f>IF(ISNUMBER(SEARCH($A52,VLOOKUP(LR$2,职业列表!$B$1:$G$370,6,0))),"★","")</f>
        <v>★</v>
      </c>
      <c r="LS52" s="929" t="str">
        <f>IF(ISNUMBER(SEARCH($A52,VLOOKUP(LS$2,职业列表!$B$1:$G$370,6,0))),"★","")</f>
        <v>★</v>
      </c>
      <c r="LT52" s="929" t="str">
        <f>IF(ISNUMBER(SEARCH($A52,VLOOKUP(LT$2,职业列表!$B$1:$G$370,6,0))),"★","")</f>
        <v>★</v>
      </c>
      <c r="LU52" s="929" t="str">
        <f>IF(ISNUMBER(SEARCH($A52,VLOOKUP(LU$2,职业列表!$B$1:$G$370,6,0))),"★","")</f>
        <v/>
      </c>
      <c r="LV52" s="929" t="str">
        <f>IF(ISNUMBER(SEARCH($A52,VLOOKUP(LV$2,职业列表!$B$1:$G$370,6,0))),"★","")</f>
        <v/>
      </c>
      <c r="LW52" s="929" t="str">
        <f>IF(ISNUMBER(SEARCH($A52,VLOOKUP(LW$2,职业列表!$B$1:$G$370,6,0))),"★","")</f>
        <v/>
      </c>
      <c r="LX52" s="929" t="str">
        <f>IF(ISNUMBER(SEARCH($A52,VLOOKUP(LX$2,职业列表!$B$1:$G$370,6,0))),"★","")</f>
        <v/>
      </c>
      <c r="LY52" s="929" t="str">
        <f>IF(ISNUMBER(SEARCH($A52,VLOOKUP(LY$2,职业列表!$B$1:$G$370,6,0))),"★","")</f>
        <v>★</v>
      </c>
      <c r="LZ52" s="929" t="str">
        <f>IF(ISNUMBER(SEARCH($A52,VLOOKUP(LZ$2,职业列表!$B$1:$G$370,6,0))),"★","")</f>
        <v/>
      </c>
      <c r="MA52" s="929" t="str">
        <f>IF(ISNUMBER(SEARCH($A52,VLOOKUP(MA$2,职业列表!$B$1:$G$370,6,0))),"★","")</f>
        <v/>
      </c>
      <c r="MB52" s="929" t="str">
        <f>IF(ISNUMBER(SEARCH($A52,VLOOKUP(MB$2,职业列表!$B$1:$G$370,6,0))),"★","")</f>
        <v/>
      </c>
      <c r="MC52" s="929" t="str">
        <f>IF(ISNUMBER(SEARCH($A52,VLOOKUP(MC$2,职业列表!$B$1:$G$370,6,0))),"★","")</f>
        <v/>
      </c>
      <c r="MD52" s="929" t="str">
        <f>IF(ISNUMBER(SEARCH($A52,VLOOKUP(MD$2,职业列表!$B$1:$G$370,6,0))),"★","")</f>
        <v/>
      </c>
      <c r="ME52" s="929" t="str">
        <f>IF(ISNUMBER(SEARCH($A52,VLOOKUP(ME$2,职业列表!$B$1:$G$370,6,0))),"★","")</f>
        <v/>
      </c>
      <c r="MF52" s="929" t="str">
        <f>IF(ISNUMBER(SEARCH($A52,VLOOKUP(MF$2,职业列表!$B$1:$G$370,6,0))),"★","")</f>
        <v/>
      </c>
      <c r="MG52" s="929" t="str">
        <f>IF(ISNUMBER(SEARCH($A52,VLOOKUP(MG$2,职业列表!$B$1:$G$370,6,0))),"★","")</f>
        <v/>
      </c>
      <c r="MH52" s="929" t="str">
        <f>IF(ISNUMBER(SEARCH($A52,VLOOKUP(MH$2,职业列表!$B$1:$G$370,6,0))),"★","")</f>
        <v>★</v>
      </c>
      <c r="MI52" s="929" t="str">
        <f>IF(ISNUMBER(SEARCH($A52,VLOOKUP(MI$2,职业列表!$B$1:$G$370,6,0))),"★","")</f>
        <v/>
      </c>
      <c r="MJ52" s="929" t="str">
        <f>IF(ISNUMBER(SEARCH($A52,VLOOKUP(MJ$2,职业列表!$B$1:$G$370,6,0))),"★","")</f>
        <v/>
      </c>
      <c r="MK52" s="929" t="str">
        <f>IF(ISNUMBER(SEARCH($A52,VLOOKUP(MK$2,职业列表!$B$1:$G$370,6,0))),"★","")</f>
        <v/>
      </c>
      <c r="ML52" s="929" t="str">
        <f>IF(ISNUMBER(SEARCH($A52,VLOOKUP(ML$2,职业列表!$B$1:$G$370,6,0))),"★","")</f>
        <v/>
      </c>
      <c r="MM52" s="929" t="str">
        <f>IF(ISNUMBER(SEARCH($A52,VLOOKUP(MM$2,职业列表!$B$1:$G$370,6,0))),"★","")</f>
        <v/>
      </c>
      <c r="MN52" s="929" t="str">
        <f>IF(ISNUMBER(SEARCH($A52,VLOOKUP(MN$2,职业列表!$B$1:$G$370,6,0))),"★","")</f>
        <v/>
      </c>
      <c r="MO52" s="929" t="str">
        <f>IF(ISNUMBER(SEARCH($A52,VLOOKUP(MO$2,职业列表!$B$1:$G$370,6,0))),"★","")</f>
        <v/>
      </c>
      <c r="MP52" s="929" t="str">
        <f>IF(ISNUMBER(SEARCH($A52,VLOOKUP(MP$2,职业列表!$B$1:$G$370,6,0))),"★","")</f>
        <v/>
      </c>
      <c r="MQ52" s="929" t="str">
        <f>IF(ISNUMBER(SEARCH($A52,VLOOKUP(MQ$2,职业列表!$B$1:$G$370,6,0))),"★","")</f>
        <v/>
      </c>
      <c r="MR52" s="929" t="str">
        <f>IF(ISNUMBER(SEARCH($A52,VLOOKUP(MR$2,职业列表!$B$1:$G$370,6,0))),"★","")</f>
        <v/>
      </c>
      <c r="MS52" s="929" t="str">
        <f>IF(ISNUMBER(SEARCH($A52,VLOOKUP(MS$2,职业列表!$B$1:$G$370,6,0))),"★","")</f>
        <v/>
      </c>
      <c r="MT52" s="929" t="str">
        <f>IF(ISNUMBER(SEARCH($A52,VLOOKUP(MT$2,职业列表!$B$1:$G$370,6,0))),"★","")</f>
        <v/>
      </c>
      <c r="MU52" s="929" t="str">
        <f>IF(ISNUMBER(SEARCH($A52,VLOOKUP(MU$2,职业列表!$B$1:$G$370,6,0))),"★","")</f>
        <v/>
      </c>
      <c r="MV52" s="929" t="str">
        <f>IF(ISNUMBER(SEARCH($A52,VLOOKUP(MV$2,职业列表!$B$1:$G$370,6,0))),"★","")</f>
        <v>★</v>
      </c>
      <c r="MW52" s="929" t="str">
        <f>IF(ISNUMBER(SEARCH($A52,VLOOKUP(MW$2,职业列表!$B$1:$G$370,6,0))),"★","")</f>
        <v/>
      </c>
      <c r="MX52" s="929" t="str">
        <f>IF(ISNUMBER(SEARCH($A52,VLOOKUP(MX$2,职业列表!$B$1:$G$370,6,0))),"★","")</f>
        <v/>
      </c>
      <c r="MY52" s="929" t="str">
        <f>IF(ISNUMBER(SEARCH($A52,VLOOKUP(MY$2,职业列表!$B$1:$G$370,6,0))),"★","")</f>
        <v/>
      </c>
      <c r="MZ52" s="929" t="str">
        <f>IF(ISNUMBER(SEARCH($A52,VLOOKUP(MZ$2,职业列表!$B$1:$G$370,6,0))),"★","")</f>
        <v>★</v>
      </c>
      <c r="NA52" s="929" t="str">
        <f>IF(ISNUMBER(SEARCH($A52,VLOOKUP(NA$2,职业列表!$B$1:$G$370,6,0))),"★","")</f>
        <v/>
      </c>
      <c r="NB52" s="929" t="str">
        <f>IF(ISNUMBER(SEARCH($A52,VLOOKUP(NB$2,职业列表!$B$1:$G$370,6,0))),"★","")</f>
        <v>★</v>
      </c>
      <c r="NC52" s="929" t="str">
        <f>IF(ISNUMBER(SEARCH($A52,VLOOKUP(NC$2,职业列表!$B$1:$G$370,6,0))),"★","")</f>
        <v/>
      </c>
      <c r="ND52" s="929" t="str">
        <f>IF(ISNUMBER(SEARCH($A52,VLOOKUP(ND$2,职业列表!$B$1:$G$370,6,0))),"★","")</f>
        <v/>
      </c>
      <c r="NE52" s="929" t="str">
        <f>IF(ISNUMBER(SEARCH($A52,VLOOKUP(NE$2,职业列表!$B$1:$G$370,6,0))),"★","")</f>
        <v/>
      </c>
    </row>
    <row r="53" customFormat="1" spans="1:369">
      <c r="A53" s="932" t="s">
        <v>104</v>
      </c>
      <c r="B53" s="939" t="str">
        <f>IF(OR(A53="说服",A53="话术",A53="取悦",A53="恐吓"),"☯",IF(ISNUMBER(SEARCH(A53,VLOOKUP(IX$2,职业列表!$B$1:$G$370,6,0))),"★",""))</f>
        <v/>
      </c>
      <c r="C53" s="939" t="str">
        <f>IF(ISTEXT(IFERROR(VLOOKUP(A53,职业列表!I3:J10,1,FALSE),0)),"★","")</f>
        <v/>
      </c>
      <c r="D53" s="939"/>
      <c r="E53" s="939"/>
      <c r="F53" s="939"/>
      <c r="G53" s="939"/>
      <c r="H53" s="939"/>
      <c r="I53" s="939" t="s">
        <v>74</v>
      </c>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c r="AL53" s="939"/>
      <c r="AM53" s="939"/>
      <c r="AN53" s="939"/>
      <c r="AO53" s="939"/>
      <c r="AP53" s="939"/>
      <c r="AQ53" s="939"/>
      <c r="AR53" s="939"/>
      <c r="AS53" s="939"/>
      <c r="AT53" s="939"/>
      <c r="AU53" s="939"/>
      <c r="AV53" s="939"/>
      <c r="AW53" s="939"/>
      <c r="AX53" s="939"/>
      <c r="AY53" s="939"/>
      <c r="AZ53" s="939"/>
      <c r="BA53" s="939"/>
      <c r="BB53" s="939"/>
      <c r="BC53" s="939"/>
      <c r="BD53" s="939"/>
      <c r="BE53" s="939"/>
      <c r="BF53" s="939"/>
      <c r="BG53" s="939"/>
      <c r="BH53" s="939"/>
      <c r="BI53" s="939"/>
      <c r="BJ53" s="939"/>
      <c r="BK53" s="939"/>
      <c r="BL53" s="939"/>
      <c r="BM53" s="939"/>
      <c r="BN53" s="939"/>
      <c r="BO53" s="939"/>
      <c r="BP53" s="939"/>
      <c r="BQ53" s="939"/>
      <c r="BR53" s="939"/>
      <c r="BS53" s="939"/>
      <c r="BT53" s="939"/>
      <c r="BU53" s="939"/>
      <c r="BV53" s="939"/>
      <c r="BW53" s="939"/>
      <c r="BX53" s="939"/>
      <c r="BY53" s="939"/>
      <c r="BZ53" s="939"/>
      <c r="CA53" s="939"/>
      <c r="CB53" s="939"/>
      <c r="CC53" s="939"/>
      <c r="CD53" s="939"/>
      <c r="CE53" s="939"/>
      <c r="CF53" s="939"/>
      <c r="CG53" s="939"/>
      <c r="CH53" s="939"/>
      <c r="CI53" s="939"/>
      <c r="CJ53" s="939"/>
      <c r="CK53" s="939"/>
      <c r="CL53" s="939"/>
      <c r="CM53" s="939"/>
      <c r="CN53" s="939"/>
      <c r="CO53" s="939"/>
      <c r="CP53" s="939"/>
      <c r="CQ53" s="939"/>
      <c r="CR53" s="939"/>
      <c r="CS53" s="939" t="s">
        <v>74</v>
      </c>
      <c r="CT53" s="939" t="s">
        <v>74</v>
      </c>
      <c r="CU53" s="939"/>
      <c r="CV53" s="939"/>
      <c r="CW53" s="939"/>
      <c r="CX53" s="939"/>
      <c r="CY53" s="939"/>
      <c r="CZ53" s="939"/>
      <c r="DA53" s="939"/>
      <c r="DB53" s="939"/>
      <c r="DC53" s="939"/>
      <c r="DD53" s="939"/>
      <c r="DE53" s="939"/>
      <c r="DF53" s="939"/>
      <c r="DG53" s="939"/>
      <c r="DH53" s="939"/>
      <c r="DI53" s="939"/>
      <c r="DJ53" s="939"/>
      <c r="DK53" s="939"/>
      <c r="DL53" s="939"/>
      <c r="DM53" s="939"/>
      <c r="DN53" s="939"/>
      <c r="DO53" s="939"/>
      <c r="DP53" s="939"/>
      <c r="DQ53" s="939"/>
      <c r="DR53" s="939"/>
      <c r="DS53" s="939"/>
      <c r="DT53" s="939"/>
      <c r="DU53" s="939"/>
      <c r="DV53" s="939"/>
      <c r="DW53" s="939"/>
      <c r="DX53" s="939"/>
      <c r="DY53" s="939"/>
      <c r="DZ53" s="939"/>
      <c r="EA53" s="939"/>
      <c r="EB53" s="939"/>
      <c r="EC53" s="939"/>
      <c r="ED53" s="939"/>
      <c r="EE53" s="939"/>
      <c r="EF53" s="939"/>
      <c r="EG53" s="939"/>
      <c r="EH53" s="939"/>
      <c r="EI53" s="939"/>
      <c r="EJ53" s="939"/>
      <c r="EK53" s="939"/>
      <c r="EL53" s="939"/>
      <c r="EM53" s="939"/>
      <c r="EN53" s="939"/>
      <c r="EO53" s="939"/>
      <c r="EP53" s="939"/>
      <c r="EQ53" s="939"/>
      <c r="ER53" s="939"/>
      <c r="ES53" s="939"/>
      <c r="ET53" s="939"/>
      <c r="EU53" s="939"/>
      <c r="EV53" s="939"/>
      <c r="EW53" s="939"/>
      <c r="EX53" s="939"/>
      <c r="EY53" s="939"/>
      <c r="EZ53" s="939"/>
      <c r="FA53" s="939"/>
      <c r="FB53" s="939"/>
      <c r="FC53" s="939"/>
      <c r="FD53" s="939"/>
      <c r="FE53" s="939"/>
      <c r="FF53" s="939"/>
      <c r="FG53" s="939"/>
      <c r="FH53" s="939"/>
      <c r="FI53" s="939"/>
      <c r="FJ53" s="939"/>
      <c r="FK53" s="939"/>
      <c r="FL53" s="939" t="s">
        <v>2716</v>
      </c>
      <c r="FM53" s="939"/>
      <c r="FN53" s="939"/>
      <c r="FO53" s="939"/>
      <c r="FP53" s="939"/>
      <c r="FQ53" s="939" t="s">
        <v>74</v>
      </c>
      <c r="FR53" s="939"/>
      <c r="FS53" s="939"/>
      <c r="FT53" s="939" t="s">
        <v>74</v>
      </c>
      <c r="FU53" s="939"/>
      <c r="FV53" s="939"/>
      <c r="FW53" s="939"/>
      <c r="FX53" s="939"/>
      <c r="FY53" s="939"/>
      <c r="FZ53" s="939"/>
      <c r="GA53" s="939"/>
      <c r="GB53" s="939"/>
      <c r="GC53" s="939"/>
      <c r="GD53" s="939"/>
      <c r="GE53" s="939"/>
      <c r="GF53" s="939"/>
      <c r="GG53" s="939"/>
      <c r="GH53" s="939"/>
      <c r="GI53" s="939"/>
      <c r="GJ53" s="939"/>
      <c r="GK53" s="939"/>
      <c r="GL53" s="939"/>
      <c r="GM53" s="939"/>
      <c r="GN53" s="939"/>
      <c r="GO53" s="939"/>
      <c r="GP53" s="939"/>
      <c r="GQ53" s="939"/>
      <c r="GR53" s="939"/>
      <c r="GS53" s="939"/>
      <c r="GT53" s="939"/>
      <c r="GU53" s="939"/>
      <c r="GV53" s="939"/>
      <c r="GW53" s="939"/>
      <c r="GX53" s="939"/>
      <c r="GY53" s="939"/>
      <c r="GZ53" s="939"/>
      <c r="HA53" s="939"/>
      <c r="HB53" s="939"/>
      <c r="HC53" s="939"/>
      <c r="HD53" s="939"/>
      <c r="HE53" s="939"/>
      <c r="HF53" s="939"/>
      <c r="HG53" s="939"/>
      <c r="HH53" s="939"/>
      <c r="HI53" s="939"/>
      <c r="HJ53" s="939"/>
      <c r="HK53" s="939"/>
      <c r="HL53" s="939"/>
      <c r="HM53" s="939"/>
      <c r="HN53" s="939"/>
      <c r="HO53" s="939"/>
      <c r="HP53" s="939"/>
      <c r="HQ53" s="939"/>
      <c r="HR53" s="939"/>
      <c r="HS53" s="939"/>
      <c r="HT53" s="939"/>
      <c r="HU53" s="939"/>
      <c r="HV53" s="939"/>
      <c r="HW53" s="939"/>
      <c r="HX53" s="990"/>
      <c r="HY53" s="1012"/>
      <c r="HZ53" s="1012"/>
      <c r="IA53" s="1012"/>
      <c r="IB53" s="1012"/>
      <c r="IC53" s="1013"/>
      <c r="ID53" s="1013"/>
      <c r="IE53" s="1012"/>
      <c r="IF53" s="1012"/>
      <c r="IG53" s="1012"/>
      <c r="IH53" s="1012"/>
      <c r="II53" s="1012"/>
      <c r="IJ53" s="1012"/>
      <c r="IK53" s="1012"/>
      <c r="IL53" s="1012"/>
      <c r="IM53" s="1012"/>
      <c r="IN53" s="1012"/>
      <c r="IO53" s="1012"/>
      <c r="IP53" s="1013"/>
      <c r="IQ53" s="1013"/>
      <c r="IR53" s="1012"/>
      <c r="IS53" s="1012"/>
      <c r="IT53" s="1012"/>
      <c r="IU53" s="1012"/>
      <c r="IV53" s="1012"/>
      <c r="IW53" s="929"/>
      <c r="IX53" s="929" t="str">
        <f>IF(ISNUMBER(SEARCH($A53,VLOOKUP(IX$2,职业列表!$B$1:$G$370,6,0))),"★","")</f>
        <v/>
      </c>
      <c r="IY53" s="929" t="str">
        <f>IF(ISNUMBER(SEARCH($A53,VLOOKUP(IY$2,职业列表!$B$1:$G$370,6,0))),"★","")</f>
        <v/>
      </c>
      <c r="IZ53" s="929" t="str">
        <f>IF(ISNUMBER(SEARCH($A53,VLOOKUP(IZ$2,职业列表!$B$1:$G$370,6,0))),"★","")</f>
        <v/>
      </c>
      <c r="JA53" s="929" t="str">
        <f>IF(ISNUMBER(SEARCH($A53,VLOOKUP(JA$2,职业列表!$B$1:$G$370,6,0))),"★","")</f>
        <v/>
      </c>
      <c r="JB53" s="929" t="str">
        <f>IF(ISNUMBER(SEARCH($A53,VLOOKUP(JB$2,职业列表!$B$1:$G$370,6,0))),"★","")</f>
        <v/>
      </c>
      <c r="JC53" s="929" t="str">
        <f>IF(ISNUMBER(SEARCH($A53,VLOOKUP(JC$2,职业列表!$B$1:$G$370,6,0))),"★","")</f>
        <v/>
      </c>
      <c r="JD53" s="929" t="str">
        <f>IF(ISNUMBER(SEARCH($A53,VLOOKUP(JD$2,职业列表!$B$1:$G$370,6,0))),"★","")</f>
        <v/>
      </c>
      <c r="JE53" s="929" t="str">
        <f>IF(ISNUMBER(SEARCH($A53,VLOOKUP(JE$2,职业列表!$B$1:$G$370,6,0))),"★","")</f>
        <v/>
      </c>
      <c r="JF53" s="929" t="str">
        <f>IF(ISNUMBER(SEARCH($A53,VLOOKUP(JF$2,职业列表!$B$1:$G$370,6,0))),"★","")</f>
        <v/>
      </c>
      <c r="JG53" s="929" t="str">
        <f>IF(ISNUMBER(SEARCH($A53,VLOOKUP(JG$2,职业列表!$B$1:$G$370,6,0))),"★","")</f>
        <v/>
      </c>
      <c r="JH53" s="929" t="str">
        <f>IF(ISNUMBER(SEARCH($A53,VLOOKUP(JH$2,职业列表!$B$1:$G$370,6,0))),"★","")</f>
        <v/>
      </c>
      <c r="JI53" s="929" t="str">
        <f>IF(ISNUMBER(SEARCH($A53,VLOOKUP(JI$2,职业列表!$B$1:$G$370,6,0))),"★","")</f>
        <v/>
      </c>
      <c r="JJ53" s="929" t="str">
        <f>IF(ISNUMBER(SEARCH($A53,VLOOKUP(JJ$2,职业列表!$B$1:$G$370,6,0))),"★","")</f>
        <v/>
      </c>
      <c r="JK53" s="929" t="str">
        <f>IF(ISNUMBER(SEARCH($A53,VLOOKUP(JK$2,职业列表!$B$1:$G$370,6,0))),"★","")</f>
        <v/>
      </c>
      <c r="JL53" s="929" t="str">
        <f>IF(ISNUMBER(SEARCH($A53,VLOOKUP(JL$2,职业列表!$B$1:$G$370,6,0))),"★","")</f>
        <v/>
      </c>
      <c r="JM53" s="929" t="str">
        <f>IF(ISNUMBER(SEARCH($A53,VLOOKUP(JM$2,职业列表!$B$1:$G$370,6,0))),"★","")</f>
        <v/>
      </c>
      <c r="JN53" s="929" t="str">
        <f>IF(ISNUMBER(SEARCH($A53,VLOOKUP(JN$2,职业列表!$B$1:$G$370,6,0))),"★","")</f>
        <v/>
      </c>
      <c r="JO53" s="929" t="str">
        <f>IF(ISNUMBER(SEARCH($A53,VLOOKUP(JO$2,职业列表!$B$1:$G$370,6,0))),"★","")</f>
        <v/>
      </c>
      <c r="JP53" s="929" t="str">
        <f>IF(ISNUMBER(SEARCH($A53,VLOOKUP(JP$2,职业列表!$B$1:$G$370,6,0))),"★","")</f>
        <v/>
      </c>
      <c r="JQ53" s="929" t="str">
        <f>IF(ISNUMBER(SEARCH($A53,VLOOKUP(JQ$2,职业列表!$B$1:$G$370,6,0))),"★","")</f>
        <v/>
      </c>
      <c r="JR53" s="929" t="str">
        <f>IF(ISNUMBER(SEARCH($A53,VLOOKUP(JR$2,职业列表!$B$1:$G$370,6,0))),"★","")</f>
        <v/>
      </c>
      <c r="JS53" s="929" t="str">
        <f>IF(ISNUMBER(SEARCH($A53,VLOOKUP(JS$2,职业列表!$B$1:$G$370,6,0))),"★","")</f>
        <v/>
      </c>
      <c r="JT53" s="929" t="str">
        <f>IF(ISNUMBER(SEARCH($A53,VLOOKUP(JT$2,职业列表!$B$1:$G$370,6,0))),"★","")</f>
        <v/>
      </c>
      <c r="JU53" s="929" t="str">
        <f>IF(ISNUMBER(SEARCH($A53,VLOOKUP(JU$2,职业列表!$B$1:$G$370,6,0))),"★","")</f>
        <v/>
      </c>
      <c r="JV53" s="929" t="str">
        <f>IF(ISNUMBER(SEARCH($A53,VLOOKUP(JV$2,职业列表!$B$1:$G$370,6,0))),"★","")</f>
        <v/>
      </c>
      <c r="JW53" s="929" t="str">
        <f>IF(ISNUMBER(SEARCH($A53,VLOOKUP(JW$2,职业列表!$B$1:$G$370,6,0))),"★","")</f>
        <v/>
      </c>
      <c r="JX53" s="929" t="str">
        <f>IF(ISNUMBER(SEARCH($A53,VLOOKUP(JX$2,职业列表!$B$1:$G$370,6,0))),"★","")</f>
        <v/>
      </c>
      <c r="JY53" s="929" t="str">
        <f>IF(ISNUMBER(SEARCH($A53,VLOOKUP(JY$2,职业列表!$B$1:$G$370,6,0))),"★","")</f>
        <v/>
      </c>
      <c r="JZ53" s="929" t="str">
        <f>IF(ISNUMBER(SEARCH($A53,VLOOKUP(JZ$2,职业列表!$B$1:$G$370,6,0))),"★","")</f>
        <v/>
      </c>
      <c r="KA53" s="929" t="str">
        <f>IF(ISNUMBER(SEARCH($A53,VLOOKUP(KA$2,职业列表!$B$1:$G$370,6,0))),"★","")</f>
        <v/>
      </c>
      <c r="KB53" s="929" t="str">
        <f>IF(ISNUMBER(SEARCH($A53,VLOOKUP(KB$2,职业列表!$B$1:$G$370,6,0))),"★","")</f>
        <v/>
      </c>
      <c r="KC53" s="929" t="str">
        <f>IF(ISNUMBER(SEARCH($A53,VLOOKUP(KC$2,职业列表!$B$1:$G$370,6,0))),"★","")</f>
        <v/>
      </c>
      <c r="KD53" s="929" t="str">
        <f>IF(ISNUMBER(SEARCH($A53,VLOOKUP(KD$2,职业列表!$B$1:$G$370,6,0))),"★","")</f>
        <v/>
      </c>
      <c r="KE53" s="929" t="str">
        <f>IF(ISNUMBER(SEARCH($A53,VLOOKUP(KE$2,职业列表!$B$1:$G$370,6,0))),"★","")</f>
        <v/>
      </c>
      <c r="KF53" s="929" t="str">
        <f>IF(ISNUMBER(SEARCH($A53,VLOOKUP(KF$2,职业列表!$B$1:$G$370,6,0))),"★","")</f>
        <v/>
      </c>
      <c r="KG53" s="929" t="str">
        <f>IF(ISNUMBER(SEARCH($A53,VLOOKUP(KG$2,职业列表!$B$1:$G$370,6,0))),"★","")</f>
        <v/>
      </c>
      <c r="KH53" s="929" t="str">
        <f>IF(ISNUMBER(SEARCH($A53,VLOOKUP(KH$2,职业列表!$B$1:$G$370,6,0))),"★","")</f>
        <v/>
      </c>
      <c r="KI53" s="929" t="str">
        <f>IF(ISNUMBER(SEARCH($A53,VLOOKUP(KI$2,职业列表!$B$1:$G$370,6,0))),"★","")</f>
        <v/>
      </c>
      <c r="KJ53" s="929" t="str">
        <f>IF(ISNUMBER(SEARCH($A53,VLOOKUP(KJ$2,职业列表!$B$1:$G$370,6,0))),"★","")</f>
        <v/>
      </c>
      <c r="KK53" s="929" t="str">
        <f>IF(ISNUMBER(SEARCH($A53,VLOOKUP(KK$2,职业列表!$B$1:$G$370,6,0))),"★","")</f>
        <v/>
      </c>
      <c r="KL53" s="929" t="str">
        <f>IF(ISNUMBER(SEARCH($A53,VLOOKUP(KL$2,职业列表!$B$1:$G$370,6,0))),"★","")</f>
        <v/>
      </c>
      <c r="KM53" s="929" t="str">
        <f>IF(ISNUMBER(SEARCH($A53,VLOOKUP(KM$2,职业列表!$B$1:$G$370,6,0))),"★","")</f>
        <v/>
      </c>
      <c r="KN53" s="929" t="str">
        <f>IF(ISNUMBER(SEARCH($A53,VLOOKUP(KN$2,职业列表!$B$1:$G$370,6,0))),"★","")</f>
        <v/>
      </c>
      <c r="KO53" s="929" t="str">
        <f>IF(ISNUMBER(SEARCH($A53,VLOOKUP(KO$2,职业列表!$B$1:$G$370,6,0))),"★","")</f>
        <v>★</v>
      </c>
      <c r="KP53" s="929" t="str">
        <f>IF(ISNUMBER(SEARCH($A53,VLOOKUP(KP$2,职业列表!$B$1:$G$370,6,0))),"★","")</f>
        <v/>
      </c>
      <c r="KQ53" s="929" t="str">
        <f>IF(ISNUMBER(SEARCH($A53,VLOOKUP(KQ$2,职业列表!$B$1:$G$370,6,0))),"★","")</f>
        <v/>
      </c>
      <c r="KR53" s="929" t="str">
        <f>IF(ISNUMBER(SEARCH($A53,VLOOKUP(KR$2,职业列表!$B$1:$G$370,6,0))),"★","")</f>
        <v/>
      </c>
      <c r="KS53" s="929" t="str">
        <f>IF(ISNUMBER(SEARCH($A53,VLOOKUP(KS$2,职业列表!$B$1:$G$370,6,0))),"★","")</f>
        <v/>
      </c>
      <c r="KT53" s="929" t="str">
        <f>IF(ISNUMBER(SEARCH($A53,VLOOKUP(KT$2,职业列表!$B$1:$G$370,6,0))),"★","")</f>
        <v/>
      </c>
      <c r="KU53" s="929" t="str">
        <f>IF(ISNUMBER(SEARCH($A53,VLOOKUP(KU$2,职业列表!$B$1:$G$370,6,0))),"★","")</f>
        <v/>
      </c>
      <c r="KV53" s="929" t="str">
        <f>IF(ISNUMBER(SEARCH($A53,VLOOKUP(KV$2,职业列表!$B$1:$G$370,6,0))),"★","")</f>
        <v/>
      </c>
      <c r="KW53" s="929" t="str">
        <f>IF(ISNUMBER(SEARCH($A53,VLOOKUP(KW$2,职业列表!$B$1:$G$370,6,0))),"★","")</f>
        <v/>
      </c>
      <c r="KX53" s="929" t="str">
        <f>IF(ISNUMBER(SEARCH($A53,VLOOKUP(KX$2,职业列表!$B$1:$G$370,6,0))),"★","")</f>
        <v/>
      </c>
      <c r="KY53" s="929" t="str">
        <f>IF(ISNUMBER(SEARCH($A53,VLOOKUP(KY$2,职业列表!$B$1:$G$370,6,0))),"★","")</f>
        <v/>
      </c>
      <c r="KZ53" s="929" t="str">
        <f>IF(ISNUMBER(SEARCH($A53,VLOOKUP(KZ$2,职业列表!$B$1:$G$370,6,0))),"★","")</f>
        <v/>
      </c>
      <c r="LA53" s="929" t="str">
        <f>IF(ISNUMBER(SEARCH($A53,VLOOKUP(LA$2,职业列表!$B$1:$G$370,6,0))),"★","")</f>
        <v/>
      </c>
      <c r="LB53" s="929" t="str">
        <f>IF(ISNUMBER(SEARCH($A53,VLOOKUP(LB$2,职业列表!$B$1:$G$370,6,0))),"★","")</f>
        <v/>
      </c>
      <c r="LC53" s="929" t="str">
        <f>IF(ISNUMBER(SEARCH($A53,VLOOKUP(LC$2,职业列表!$B$1:$G$370,6,0))),"★","")</f>
        <v/>
      </c>
      <c r="LD53" s="929" t="str">
        <f>IF(ISNUMBER(SEARCH($A53,VLOOKUP(LD$2,职业列表!$B$1:$G$370,6,0))),"★","")</f>
        <v/>
      </c>
      <c r="LE53" s="929" t="str">
        <f>IF(ISNUMBER(SEARCH($A53,VLOOKUP(LE$2,职业列表!$B$1:$G$370,6,0))),"★","")</f>
        <v/>
      </c>
      <c r="LF53" s="929" t="str">
        <f>IF(ISNUMBER(SEARCH($A53,VLOOKUP(LF$2,职业列表!$B$1:$G$370,6,0))),"★","")</f>
        <v/>
      </c>
      <c r="LG53" s="929" t="str">
        <f>IF(ISNUMBER(SEARCH($A53,VLOOKUP(LG$2,职业列表!$B$1:$G$370,6,0))),"★","")</f>
        <v/>
      </c>
      <c r="LH53" s="929" t="str">
        <f>IF(ISNUMBER(SEARCH($A53,VLOOKUP(LH$2,职业列表!$B$1:$G$370,6,0))),"★","")</f>
        <v/>
      </c>
      <c r="LI53" s="929" t="str">
        <f>IF(ISNUMBER(SEARCH($A53,VLOOKUP(LI$2,职业列表!$B$1:$G$370,6,0))),"★","")</f>
        <v/>
      </c>
      <c r="LJ53" s="929" t="str">
        <f>IF(ISNUMBER(SEARCH($A53,VLOOKUP(LJ$2,职业列表!$B$1:$G$370,6,0))),"★","")</f>
        <v/>
      </c>
      <c r="LK53" s="929" t="str">
        <f>IF(ISNUMBER(SEARCH($A53,VLOOKUP(LK$2,职业列表!$B$1:$G$370,6,0))),"★","")</f>
        <v/>
      </c>
      <c r="LL53" s="929" t="str">
        <f>IF(ISNUMBER(SEARCH($A53,VLOOKUP(LL$2,职业列表!$B$1:$G$370,6,0))),"★","")</f>
        <v/>
      </c>
      <c r="LM53" s="929" t="str">
        <f>IF(ISNUMBER(SEARCH($A53,VLOOKUP(LM$2,职业列表!$B$1:$G$370,6,0))),"★","")</f>
        <v/>
      </c>
      <c r="LN53" s="929" t="str">
        <f>IF(ISNUMBER(SEARCH($A53,VLOOKUP(LN$2,职业列表!$B$1:$G$370,6,0))),"★","")</f>
        <v/>
      </c>
      <c r="LO53" s="929" t="str">
        <f>IF(ISNUMBER(SEARCH($A53,VLOOKUP(LO$2,职业列表!$B$1:$G$370,6,0))),"★","")</f>
        <v/>
      </c>
      <c r="LP53" s="929" t="str">
        <f>IF(ISNUMBER(SEARCH($A53,VLOOKUP(LP$2,职业列表!$B$1:$G$370,6,0))),"★","")</f>
        <v/>
      </c>
      <c r="LQ53" s="929" t="str">
        <f>IF(ISNUMBER(SEARCH($A53,VLOOKUP(LQ$2,职业列表!$B$1:$G$370,6,0))),"★","")</f>
        <v/>
      </c>
      <c r="LR53" s="929" t="str">
        <f>IF(ISNUMBER(SEARCH($A53,VLOOKUP(LR$2,职业列表!$B$1:$G$370,6,0))),"★","")</f>
        <v/>
      </c>
      <c r="LS53" s="929" t="str">
        <f>IF(ISNUMBER(SEARCH($A53,VLOOKUP(LS$2,职业列表!$B$1:$G$370,6,0))),"★","")</f>
        <v/>
      </c>
      <c r="LT53" s="929" t="str">
        <f>IF(ISNUMBER(SEARCH($A53,VLOOKUP(LT$2,职业列表!$B$1:$G$370,6,0))),"★","")</f>
        <v/>
      </c>
      <c r="LU53" s="929" t="str">
        <f>IF(ISNUMBER(SEARCH($A53,VLOOKUP(LU$2,职业列表!$B$1:$G$370,6,0))),"★","")</f>
        <v/>
      </c>
      <c r="LV53" s="929" t="str">
        <f>IF(ISNUMBER(SEARCH($A53,VLOOKUP(LV$2,职业列表!$B$1:$G$370,6,0))),"★","")</f>
        <v/>
      </c>
      <c r="LW53" s="929" t="str">
        <f>IF(ISNUMBER(SEARCH($A53,VLOOKUP(LW$2,职业列表!$B$1:$G$370,6,0))),"★","")</f>
        <v/>
      </c>
      <c r="LX53" s="929" t="str">
        <f>IF(ISNUMBER(SEARCH($A53,VLOOKUP(LX$2,职业列表!$B$1:$G$370,6,0))),"★","")</f>
        <v/>
      </c>
      <c r="LY53" s="929" t="str">
        <f>IF(ISNUMBER(SEARCH($A53,VLOOKUP(LY$2,职业列表!$B$1:$G$370,6,0))),"★","")</f>
        <v/>
      </c>
      <c r="LZ53" s="929" t="str">
        <f>IF(ISNUMBER(SEARCH($A53,VLOOKUP(LZ$2,职业列表!$B$1:$G$370,6,0))),"★","")</f>
        <v/>
      </c>
      <c r="MA53" s="929" t="str">
        <f>IF(ISNUMBER(SEARCH($A53,VLOOKUP(MA$2,职业列表!$B$1:$G$370,6,0))),"★","")</f>
        <v/>
      </c>
      <c r="MB53" s="929" t="str">
        <f>IF(ISNUMBER(SEARCH($A53,VLOOKUP(MB$2,职业列表!$B$1:$G$370,6,0))),"★","")</f>
        <v/>
      </c>
      <c r="MC53" s="929" t="str">
        <f>IF(ISNUMBER(SEARCH($A53,VLOOKUP(MC$2,职业列表!$B$1:$G$370,6,0))),"★","")</f>
        <v/>
      </c>
      <c r="MD53" s="929" t="str">
        <f>IF(ISNUMBER(SEARCH($A53,VLOOKUP(MD$2,职业列表!$B$1:$G$370,6,0))),"★","")</f>
        <v/>
      </c>
      <c r="ME53" s="929" t="str">
        <f>IF(ISNUMBER(SEARCH($A53,VLOOKUP(ME$2,职业列表!$B$1:$G$370,6,0))),"★","")</f>
        <v>★</v>
      </c>
      <c r="MF53" s="929" t="str">
        <f>IF(ISNUMBER(SEARCH($A53,VLOOKUP(MF$2,职业列表!$B$1:$G$370,6,0))),"★","")</f>
        <v/>
      </c>
      <c r="MG53" s="929" t="str">
        <f>IF(ISNUMBER(SEARCH($A53,VLOOKUP(MG$2,职业列表!$B$1:$G$370,6,0))),"★","")</f>
        <v/>
      </c>
      <c r="MH53" s="929" t="str">
        <f>IF(ISNUMBER(SEARCH($A53,VLOOKUP(MH$2,职业列表!$B$1:$G$370,6,0))),"★","")</f>
        <v/>
      </c>
      <c r="MI53" s="929" t="str">
        <f>IF(ISNUMBER(SEARCH($A53,VLOOKUP(MI$2,职业列表!$B$1:$G$370,6,0))),"★","")</f>
        <v/>
      </c>
      <c r="MJ53" s="929" t="str">
        <f>IF(ISNUMBER(SEARCH($A53,VLOOKUP(MJ$2,职业列表!$B$1:$G$370,6,0))),"★","")</f>
        <v/>
      </c>
      <c r="MK53" s="929" t="str">
        <f>IF(ISNUMBER(SEARCH($A53,VLOOKUP(MK$2,职业列表!$B$1:$G$370,6,0))),"★","")</f>
        <v/>
      </c>
      <c r="ML53" s="929" t="str">
        <f>IF(ISNUMBER(SEARCH($A53,VLOOKUP(ML$2,职业列表!$B$1:$G$370,6,0))),"★","")</f>
        <v/>
      </c>
      <c r="MM53" s="929" t="str">
        <f>IF(ISNUMBER(SEARCH($A53,VLOOKUP(MM$2,职业列表!$B$1:$G$370,6,0))),"★","")</f>
        <v/>
      </c>
      <c r="MN53" s="929" t="str">
        <f>IF(ISNUMBER(SEARCH($A53,VLOOKUP(MN$2,职业列表!$B$1:$G$370,6,0))),"★","")</f>
        <v/>
      </c>
      <c r="MO53" s="929" t="str">
        <f>IF(ISNUMBER(SEARCH($A53,VLOOKUP(MO$2,职业列表!$B$1:$G$370,6,0))),"★","")</f>
        <v/>
      </c>
      <c r="MP53" s="929" t="str">
        <f>IF(ISNUMBER(SEARCH($A53,VLOOKUP(MP$2,职业列表!$B$1:$G$370,6,0))),"★","")</f>
        <v/>
      </c>
      <c r="MQ53" s="929" t="str">
        <f>IF(ISNUMBER(SEARCH($A53,VLOOKUP(MQ$2,职业列表!$B$1:$G$370,6,0))),"★","")</f>
        <v/>
      </c>
      <c r="MR53" s="929" t="str">
        <f>IF(ISNUMBER(SEARCH($A53,VLOOKUP(MR$2,职业列表!$B$1:$G$370,6,0))),"★","")</f>
        <v/>
      </c>
      <c r="MS53" s="929" t="str">
        <f>IF(ISNUMBER(SEARCH($A53,VLOOKUP(MS$2,职业列表!$B$1:$G$370,6,0))),"★","")</f>
        <v/>
      </c>
      <c r="MT53" s="929" t="str">
        <f>IF(ISNUMBER(SEARCH($A53,VLOOKUP(MT$2,职业列表!$B$1:$G$370,6,0))),"★","")</f>
        <v/>
      </c>
      <c r="MU53" s="929" t="str">
        <f>IF(ISNUMBER(SEARCH($A53,VLOOKUP(MU$2,职业列表!$B$1:$G$370,6,0))),"★","")</f>
        <v/>
      </c>
      <c r="MV53" s="929" t="str">
        <f>IF(ISNUMBER(SEARCH($A53,VLOOKUP(MV$2,职业列表!$B$1:$G$370,6,0))),"★","")</f>
        <v/>
      </c>
      <c r="MW53" s="929" t="str">
        <f>IF(ISNUMBER(SEARCH($A53,VLOOKUP(MW$2,职业列表!$B$1:$G$370,6,0))),"★","")</f>
        <v/>
      </c>
      <c r="MX53" s="929" t="str">
        <f>IF(ISNUMBER(SEARCH($A53,VLOOKUP(MX$2,职业列表!$B$1:$G$370,6,0))),"★","")</f>
        <v/>
      </c>
      <c r="MY53" s="929" t="str">
        <f>IF(ISNUMBER(SEARCH($A53,VLOOKUP(MY$2,职业列表!$B$1:$G$370,6,0))),"★","")</f>
        <v/>
      </c>
      <c r="MZ53" s="929" t="str">
        <f>IF(ISNUMBER(SEARCH($A53,VLOOKUP(MZ$2,职业列表!$B$1:$G$370,6,0))),"★","")</f>
        <v/>
      </c>
      <c r="NA53" s="929" t="str">
        <f>IF(ISNUMBER(SEARCH($A53,VLOOKUP(NA$2,职业列表!$B$1:$G$370,6,0))),"★","")</f>
        <v/>
      </c>
      <c r="NB53" s="929" t="str">
        <f>IF(ISNUMBER(SEARCH($A53,VLOOKUP(NB$2,职业列表!$B$1:$G$370,6,0))),"★","")</f>
        <v/>
      </c>
      <c r="NC53" s="929" t="str">
        <f>IF(ISNUMBER(SEARCH($A53,VLOOKUP(NC$2,职业列表!$B$1:$G$370,6,0))),"★","")</f>
        <v/>
      </c>
      <c r="ND53" s="929" t="str">
        <f>IF(ISNUMBER(SEARCH($A53,VLOOKUP(ND$2,职业列表!$B$1:$G$370,6,0))),"★","")</f>
        <v/>
      </c>
      <c r="NE53" s="929" t="str">
        <f>IF(ISNUMBER(SEARCH($A53,VLOOKUP(NE$2,职业列表!$B$1:$G$370,6,0))),"★","")</f>
        <v/>
      </c>
    </row>
    <row r="54" customFormat="1" ht="14.5" spans="1:369">
      <c r="A54" s="932" t="s">
        <v>106</v>
      </c>
      <c r="B54" s="958" t="str">
        <f>IF(OR(A54="说服",A54="话术",A54="取悦",A54="恐吓"),"☯",IF(ISNUMBER(SEARCH(A54,VLOOKUP(IX$2,职业列表!$B$1:$G$370,6,0))),"★",""))</f>
        <v>★</v>
      </c>
      <c r="C54" s="939" t="str">
        <f>IF(ISTEXT(IFERROR(VLOOKUP(A54,职业列表!I3:J10,1,FALSE),0)),"★","")</f>
        <v/>
      </c>
      <c r="D54" s="958"/>
      <c r="E54" s="958"/>
      <c r="F54" s="958" t="s">
        <v>74</v>
      </c>
      <c r="G54" s="958" t="s">
        <v>74</v>
      </c>
      <c r="H54" s="958" t="s">
        <v>74</v>
      </c>
      <c r="I54" s="958" t="s">
        <v>74</v>
      </c>
      <c r="J54" s="958" t="s">
        <v>74</v>
      </c>
      <c r="K54" s="958"/>
      <c r="L54" s="958"/>
      <c r="M54" s="958"/>
      <c r="N54" s="958" t="s">
        <v>74</v>
      </c>
      <c r="O54" s="958" t="s">
        <v>74</v>
      </c>
      <c r="P54" s="958" t="s">
        <v>74</v>
      </c>
      <c r="Q54" s="958"/>
      <c r="R54" s="958" t="s">
        <v>74</v>
      </c>
      <c r="S54" s="958" t="s">
        <v>74</v>
      </c>
      <c r="T54" s="958"/>
      <c r="U54" s="958"/>
      <c r="V54" s="958" t="s">
        <v>74</v>
      </c>
      <c r="W54" s="958" t="s">
        <v>74</v>
      </c>
      <c r="X54" s="958" t="s">
        <v>74</v>
      </c>
      <c r="Y54" s="958" t="s">
        <v>74</v>
      </c>
      <c r="Z54" s="958"/>
      <c r="AA54" s="958"/>
      <c r="AB54" s="958"/>
      <c r="AC54" s="958"/>
      <c r="AD54" s="958" t="s">
        <v>74</v>
      </c>
      <c r="AE54" s="958"/>
      <c r="AF54" s="958" t="s">
        <v>74</v>
      </c>
      <c r="AG54" s="958"/>
      <c r="AH54" s="958" t="s">
        <v>74</v>
      </c>
      <c r="AI54" s="958" t="s">
        <v>74</v>
      </c>
      <c r="AJ54" s="958"/>
      <c r="AK54" s="958"/>
      <c r="AL54" s="958"/>
      <c r="AM54" s="958" t="s">
        <v>74</v>
      </c>
      <c r="AN54" s="958"/>
      <c r="AO54" s="958" t="s">
        <v>74</v>
      </c>
      <c r="AP54" s="958" t="s">
        <v>74</v>
      </c>
      <c r="AQ54" s="958" t="s">
        <v>74</v>
      </c>
      <c r="AR54" s="958"/>
      <c r="AS54" s="958"/>
      <c r="AT54" s="958" t="s">
        <v>74</v>
      </c>
      <c r="AU54" s="958"/>
      <c r="AV54" s="958"/>
      <c r="AW54" s="958" t="s">
        <v>74</v>
      </c>
      <c r="AX54" s="958"/>
      <c r="AY54" s="958" t="s">
        <v>74</v>
      </c>
      <c r="AZ54" s="958" t="s">
        <v>74</v>
      </c>
      <c r="BA54" s="958"/>
      <c r="BB54" s="958" t="s">
        <v>74</v>
      </c>
      <c r="BC54" s="958"/>
      <c r="BD54" s="958"/>
      <c r="BE54" s="958"/>
      <c r="BF54" s="958"/>
      <c r="BG54" s="958" t="s">
        <v>74</v>
      </c>
      <c r="BH54" s="958"/>
      <c r="BI54" s="958" t="s">
        <v>74</v>
      </c>
      <c r="BJ54" s="958" t="s">
        <v>74</v>
      </c>
      <c r="BK54" s="958" t="s">
        <v>74</v>
      </c>
      <c r="BL54" s="958"/>
      <c r="BM54" s="958"/>
      <c r="BN54" s="958" t="s">
        <v>74</v>
      </c>
      <c r="BO54" s="958" t="s">
        <v>74</v>
      </c>
      <c r="BP54" s="958" t="s">
        <v>74</v>
      </c>
      <c r="BQ54" s="958" t="s">
        <v>74</v>
      </c>
      <c r="BR54" s="958"/>
      <c r="BS54" s="958"/>
      <c r="BT54" s="958"/>
      <c r="BU54" s="958"/>
      <c r="BV54" s="958" t="s">
        <v>74</v>
      </c>
      <c r="BW54" s="958"/>
      <c r="BX54" s="958"/>
      <c r="BY54" s="958" t="s">
        <v>74</v>
      </c>
      <c r="BZ54" s="958"/>
      <c r="CA54" s="958"/>
      <c r="CB54" s="958"/>
      <c r="CC54" s="958" t="s">
        <v>74</v>
      </c>
      <c r="CD54" s="958" t="s">
        <v>74</v>
      </c>
      <c r="CE54" s="958"/>
      <c r="CF54" s="958"/>
      <c r="CG54" s="958" t="s">
        <v>74</v>
      </c>
      <c r="CH54" s="958" t="s">
        <v>74</v>
      </c>
      <c r="CI54" s="958" t="s">
        <v>74</v>
      </c>
      <c r="CJ54" s="958" t="s">
        <v>74</v>
      </c>
      <c r="CK54" s="958"/>
      <c r="CL54" s="958"/>
      <c r="CM54" s="958" t="s">
        <v>74</v>
      </c>
      <c r="CN54" s="958" t="s">
        <v>74</v>
      </c>
      <c r="CO54" s="958" t="s">
        <v>74</v>
      </c>
      <c r="CP54" s="958" t="s">
        <v>74</v>
      </c>
      <c r="CQ54" s="958"/>
      <c r="CR54" s="958" t="s">
        <v>74</v>
      </c>
      <c r="CS54" s="958" t="s">
        <v>74</v>
      </c>
      <c r="CT54" s="958" t="s">
        <v>74</v>
      </c>
      <c r="CU54" s="958"/>
      <c r="CV54" s="958"/>
      <c r="CW54" s="958"/>
      <c r="CX54" s="958" t="s">
        <v>74</v>
      </c>
      <c r="CY54" s="958"/>
      <c r="CZ54" s="958" t="s">
        <v>74</v>
      </c>
      <c r="DA54" s="958" t="s">
        <v>74</v>
      </c>
      <c r="DB54" s="958"/>
      <c r="DC54" s="958" t="s">
        <v>74</v>
      </c>
      <c r="DD54" s="958"/>
      <c r="DE54" s="958"/>
      <c r="DF54" s="958"/>
      <c r="DG54" s="958" t="s">
        <v>74</v>
      </c>
      <c r="DH54" s="958" t="s">
        <v>74</v>
      </c>
      <c r="DI54" s="958" t="s">
        <v>74</v>
      </c>
      <c r="DJ54" s="958"/>
      <c r="DK54" s="958" t="s">
        <v>74</v>
      </c>
      <c r="DL54" s="958" t="s">
        <v>74</v>
      </c>
      <c r="DM54" s="958"/>
      <c r="DN54" s="958" t="s">
        <v>74</v>
      </c>
      <c r="DO54" s="958"/>
      <c r="DP54" s="958"/>
      <c r="DQ54" s="958" t="s">
        <v>74</v>
      </c>
      <c r="DR54" s="958"/>
      <c r="DS54" s="958" t="s">
        <v>74</v>
      </c>
      <c r="DT54" s="958" t="s">
        <v>74</v>
      </c>
      <c r="DU54" s="958" t="s">
        <v>74</v>
      </c>
      <c r="DV54" s="958" t="s">
        <v>74</v>
      </c>
      <c r="DW54" s="958" t="s">
        <v>74</v>
      </c>
      <c r="DX54" s="958" t="s">
        <v>74</v>
      </c>
      <c r="DY54" s="958" t="s">
        <v>74</v>
      </c>
      <c r="DZ54" s="958" t="s">
        <v>74</v>
      </c>
      <c r="EA54" s="958" t="s">
        <v>74</v>
      </c>
      <c r="EB54" s="958" t="s">
        <v>74</v>
      </c>
      <c r="EC54" s="958" t="s">
        <v>74</v>
      </c>
      <c r="ED54" s="958"/>
      <c r="EE54" s="958" t="s">
        <v>74</v>
      </c>
      <c r="EF54" s="958" t="s">
        <v>74</v>
      </c>
      <c r="EG54" s="958" t="s">
        <v>74</v>
      </c>
      <c r="EH54" s="958" t="s">
        <v>74</v>
      </c>
      <c r="EI54" s="958" t="s">
        <v>74</v>
      </c>
      <c r="EJ54" s="958"/>
      <c r="EK54" s="958"/>
      <c r="EL54" s="958"/>
      <c r="EM54" s="958" t="s">
        <v>74</v>
      </c>
      <c r="EN54" s="958"/>
      <c r="EO54" s="958" t="s">
        <v>74</v>
      </c>
      <c r="EP54" s="958" t="s">
        <v>74</v>
      </c>
      <c r="EQ54" s="958" t="s">
        <v>74</v>
      </c>
      <c r="ER54" s="958" t="s">
        <v>74</v>
      </c>
      <c r="ES54" s="958" t="s">
        <v>74</v>
      </c>
      <c r="ET54" s="958" t="s">
        <v>74</v>
      </c>
      <c r="EU54" s="958" t="s">
        <v>74</v>
      </c>
      <c r="EV54" s="958" t="s">
        <v>74</v>
      </c>
      <c r="EW54" s="958"/>
      <c r="EX54" s="958" t="s">
        <v>74</v>
      </c>
      <c r="EY54" s="958" t="s">
        <v>74</v>
      </c>
      <c r="EZ54" s="958"/>
      <c r="FA54" s="958" t="s">
        <v>74</v>
      </c>
      <c r="FB54" s="958"/>
      <c r="FC54" s="958" t="s">
        <v>2716</v>
      </c>
      <c r="FD54" s="958"/>
      <c r="FE54" s="958" t="s">
        <v>74</v>
      </c>
      <c r="FF54" s="958" t="s">
        <v>74</v>
      </c>
      <c r="FG54" s="958"/>
      <c r="FH54" s="958" t="s">
        <v>74</v>
      </c>
      <c r="FI54" s="958"/>
      <c r="FJ54" s="958" t="s">
        <v>74</v>
      </c>
      <c r="FK54" s="958"/>
      <c r="FL54" s="958"/>
      <c r="FM54" s="958" t="s">
        <v>74</v>
      </c>
      <c r="FN54" s="958" t="s">
        <v>74</v>
      </c>
      <c r="FO54" s="958" t="s">
        <v>74</v>
      </c>
      <c r="FP54" s="958"/>
      <c r="FQ54" s="958" t="s">
        <v>74</v>
      </c>
      <c r="FR54" s="958"/>
      <c r="FS54" s="958"/>
      <c r="FT54" s="958" t="s">
        <v>74</v>
      </c>
      <c r="FU54" s="958"/>
      <c r="FV54" s="958"/>
      <c r="FW54" s="958"/>
      <c r="FX54" s="958"/>
      <c r="FY54" s="958" t="s">
        <v>74</v>
      </c>
      <c r="FZ54" s="958" t="s">
        <v>74</v>
      </c>
      <c r="GA54" s="958"/>
      <c r="GB54" s="958"/>
      <c r="GC54" s="958"/>
      <c r="GD54" s="958"/>
      <c r="GE54" s="958"/>
      <c r="GF54" s="958" t="s">
        <v>74</v>
      </c>
      <c r="GG54" s="958" t="s">
        <v>74</v>
      </c>
      <c r="GH54" s="958" t="s">
        <v>74</v>
      </c>
      <c r="GI54" s="958" t="s">
        <v>74</v>
      </c>
      <c r="GJ54" s="958"/>
      <c r="GK54" s="958" t="s">
        <v>74</v>
      </c>
      <c r="GL54" s="958" t="s">
        <v>74</v>
      </c>
      <c r="GM54" s="958" t="s">
        <v>74</v>
      </c>
      <c r="GN54" s="958" t="s">
        <v>74</v>
      </c>
      <c r="GO54" s="958"/>
      <c r="GP54" s="958"/>
      <c r="GQ54" s="958" t="s">
        <v>74</v>
      </c>
      <c r="GR54" s="958"/>
      <c r="GS54" s="958"/>
      <c r="GT54" s="958"/>
      <c r="GU54" s="958"/>
      <c r="GV54" s="958"/>
      <c r="GW54" s="958" t="s">
        <v>74</v>
      </c>
      <c r="GX54" s="958"/>
      <c r="GY54" s="958" t="s">
        <v>74</v>
      </c>
      <c r="GZ54" s="958" t="s">
        <v>74</v>
      </c>
      <c r="HA54" s="958"/>
      <c r="HB54" s="958"/>
      <c r="HC54" s="958" t="s">
        <v>74</v>
      </c>
      <c r="HD54" s="978" t="s">
        <v>74</v>
      </c>
      <c r="HE54" s="979" t="s">
        <v>74</v>
      </c>
      <c r="HF54" s="958" t="s">
        <v>74</v>
      </c>
      <c r="HG54" s="958"/>
      <c r="HH54" s="958"/>
      <c r="HI54" s="958"/>
      <c r="HJ54" s="958" t="s">
        <v>74</v>
      </c>
      <c r="HK54" s="979" t="s">
        <v>74</v>
      </c>
      <c r="HL54" s="958"/>
      <c r="HM54" s="958"/>
      <c r="HN54" s="979" t="s">
        <v>74</v>
      </c>
      <c r="HO54" s="958"/>
      <c r="HP54" s="979" t="s">
        <v>74</v>
      </c>
      <c r="HQ54" s="958" t="s">
        <v>74</v>
      </c>
      <c r="HR54" s="958" t="s">
        <v>74</v>
      </c>
      <c r="HS54" s="958" t="s">
        <v>74</v>
      </c>
      <c r="HT54" s="958"/>
      <c r="HU54" s="958"/>
      <c r="HV54" s="958" t="s">
        <v>74</v>
      </c>
      <c r="HW54" s="958"/>
      <c r="HX54" s="1003" t="s">
        <v>74</v>
      </c>
      <c r="HY54" s="939" t="s">
        <v>74</v>
      </c>
      <c r="HZ54" s="953" t="s">
        <v>74</v>
      </c>
      <c r="IA54" s="1032"/>
      <c r="IB54" s="1032"/>
      <c r="IC54" s="990" t="s">
        <v>74</v>
      </c>
      <c r="ID54" s="990" t="s">
        <v>74</v>
      </c>
      <c r="IE54" s="1032"/>
      <c r="IF54" s="939" t="s">
        <v>74</v>
      </c>
      <c r="IG54" s="1032"/>
      <c r="IH54" s="1032"/>
      <c r="II54" s="1032"/>
      <c r="IJ54" s="1032"/>
      <c r="IK54" s="1032"/>
      <c r="IL54" s="1032"/>
      <c r="IM54" s="1032"/>
      <c r="IN54" s="939" t="s">
        <v>74</v>
      </c>
      <c r="IO54" s="939" t="s">
        <v>74</v>
      </c>
      <c r="IP54" s="990" t="s">
        <v>74</v>
      </c>
      <c r="IQ54" s="1042"/>
      <c r="IR54" s="972" t="s">
        <v>74</v>
      </c>
      <c r="IS54" s="972" t="s">
        <v>74</v>
      </c>
      <c r="IT54" s="972" t="s">
        <v>74</v>
      </c>
      <c r="IU54" s="972" t="s">
        <v>74</v>
      </c>
      <c r="IV54" s="1032"/>
      <c r="IW54" s="1056"/>
      <c r="IX54" s="929" t="str">
        <f>IF(ISNUMBER(SEARCH($A54,VLOOKUP(IX$2,职业列表!$B$1:$G$370,6,0))),"★","")</f>
        <v>★</v>
      </c>
      <c r="IY54" s="929" t="str">
        <f>IF(ISNUMBER(SEARCH($A54,VLOOKUP(IY$2,职业列表!$B$1:$G$370,6,0))),"★","")</f>
        <v>★</v>
      </c>
      <c r="IZ54" s="929" t="str">
        <f>IF(ISNUMBER(SEARCH($A54,VLOOKUP(IZ$2,职业列表!$B$1:$G$370,6,0))),"★","")</f>
        <v/>
      </c>
      <c r="JA54" s="929" t="str">
        <f>IF(ISNUMBER(SEARCH($A54,VLOOKUP(JA$2,职业列表!$B$1:$G$370,6,0))),"★","")</f>
        <v/>
      </c>
      <c r="JB54" s="929" t="str">
        <f>IF(ISNUMBER(SEARCH($A54,VLOOKUP(JB$2,职业列表!$B$1:$G$370,6,0))),"★","")</f>
        <v/>
      </c>
      <c r="JC54" s="929" t="str">
        <f>IF(ISNUMBER(SEARCH($A54,VLOOKUP(JC$2,职业列表!$B$1:$G$370,6,0))),"★","")</f>
        <v/>
      </c>
      <c r="JD54" s="929" t="str">
        <f>IF(ISNUMBER(SEARCH($A54,VLOOKUP(JD$2,职业列表!$B$1:$G$370,6,0))),"★","")</f>
        <v>★</v>
      </c>
      <c r="JE54" s="929" t="str">
        <f>IF(ISNUMBER(SEARCH($A54,VLOOKUP(JE$2,职业列表!$B$1:$G$370,6,0))),"★","")</f>
        <v/>
      </c>
      <c r="JF54" s="929" t="str">
        <f>IF(ISNUMBER(SEARCH($A54,VLOOKUP(JF$2,职业列表!$B$1:$G$370,6,0))),"★","")</f>
        <v>★</v>
      </c>
      <c r="JG54" s="929" t="str">
        <f>IF(ISNUMBER(SEARCH($A54,VLOOKUP(JG$2,职业列表!$B$1:$G$370,6,0))),"★","")</f>
        <v/>
      </c>
      <c r="JH54" s="929" t="str">
        <f>IF(ISNUMBER(SEARCH($A54,VLOOKUP(JH$2,职业列表!$B$1:$G$370,6,0))),"★","")</f>
        <v/>
      </c>
      <c r="JI54" s="929" t="str">
        <f>IF(ISNUMBER(SEARCH($A54,VLOOKUP(JI$2,职业列表!$B$1:$G$370,6,0))),"★","")</f>
        <v/>
      </c>
      <c r="JJ54" s="929" t="str">
        <f>IF(ISNUMBER(SEARCH($A54,VLOOKUP(JJ$2,职业列表!$B$1:$G$370,6,0))),"★","")</f>
        <v/>
      </c>
      <c r="JK54" s="929" t="str">
        <f>IF(ISNUMBER(SEARCH($A54,VLOOKUP(JK$2,职业列表!$B$1:$G$370,6,0))),"★","")</f>
        <v/>
      </c>
      <c r="JL54" s="929" t="str">
        <f>IF(ISNUMBER(SEARCH($A54,VLOOKUP(JL$2,职业列表!$B$1:$G$370,6,0))),"★","")</f>
        <v>★</v>
      </c>
      <c r="JM54" s="929" t="str">
        <f>IF(ISNUMBER(SEARCH($A54,VLOOKUP(JM$2,职业列表!$B$1:$G$370,6,0))),"★","")</f>
        <v>★</v>
      </c>
      <c r="JN54" s="929" t="str">
        <f>IF(ISNUMBER(SEARCH($A54,VLOOKUP(JN$2,职业列表!$B$1:$G$370,6,0))),"★","")</f>
        <v/>
      </c>
      <c r="JO54" s="929" t="str">
        <f>IF(ISNUMBER(SEARCH($A54,VLOOKUP(JO$2,职业列表!$B$1:$G$370,6,0))),"★","")</f>
        <v/>
      </c>
      <c r="JP54" s="929" t="str">
        <f>IF(ISNUMBER(SEARCH($A54,VLOOKUP(JP$2,职业列表!$B$1:$G$370,6,0))),"★","")</f>
        <v/>
      </c>
      <c r="JQ54" s="929" t="str">
        <f>IF(ISNUMBER(SEARCH($A54,VLOOKUP(JQ$2,职业列表!$B$1:$G$370,6,0))),"★","")</f>
        <v>★</v>
      </c>
      <c r="JR54" s="929" t="str">
        <f>IF(ISNUMBER(SEARCH($A54,VLOOKUP(JR$2,职业列表!$B$1:$G$370,6,0))),"★","")</f>
        <v>★</v>
      </c>
      <c r="JS54" s="929" t="str">
        <f>IF(ISNUMBER(SEARCH($A54,VLOOKUP(JS$2,职业列表!$B$1:$G$370,6,0))),"★","")</f>
        <v>★</v>
      </c>
      <c r="JT54" s="929" t="str">
        <f>IF(ISNUMBER(SEARCH($A54,VLOOKUP(JT$2,职业列表!$B$1:$G$370,6,0))),"★","")</f>
        <v/>
      </c>
      <c r="JU54" s="929" t="str">
        <f>IF(ISNUMBER(SEARCH($A54,VLOOKUP(JU$2,职业列表!$B$1:$G$370,6,0))),"★","")</f>
        <v/>
      </c>
      <c r="JV54" s="929" t="str">
        <f>IF(ISNUMBER(SEARCH($A54,VLOOKUP(JV$2,职业列表!$B$1:$G$370,6,0))),"★","")</f>
        <v/>
      </c>
      <c r="JW54" s="929" t="str">
        <f>IF(ISNUMBER(SEARCH($A54,VLOOKUP(JW$2,职业列表!$B$1:$G$370,6,0))),"★","")</f>
        <v/>
      </c>
      <c r="JX54" s="929" t="str">
        <f>IF(ISNUMBER(SEARCH($A54,VLOOKUP(JX$2,职业列表!$B$1:$G$370,6,0))),"★","")</f>
        <v>★</v>
      </c>
      <c r="JY54" s="929" t="str">
        <f>IF(ISNUMBER(SEARCH($A54,VLOOKUP(JY$2,职业列表!$B$1:$G$370,6,0))),"★","")</f>
        <v>★</v>
      </c>
      <c r="JZ54" s="929" t="str">
        <f>IF(ISNUMBER(SEARCH($A54,VLOOKUP(JZ$2,职业列表!$B$1:$G$370,6,0))),"★","")</f>
        <v>★</v>
      </c>
      <c r="KA54" s="929" t="str">
        <f>IF(ISNUMBER(SEARCH($A54,VLOOKUP(KA$2,职业列表!$B$1:$G$370,6,0))),"★","")</f>
        <v/>
      </c>
      <c r="KB54" s="929" t="str">
        <f>IF(ISNUMBER(SEARCH($A54,VLOOKUP(KB$2,职业列表!$B$1:$G$370,6,0))),"★","")</f>
        <v>★</v>
      </c>
      <c r="KC54" s="929" t="str">
        <f>IF(ISNUMBER(SEARCH($A54,VLOOKUP(KC$2,职业列表!$B$1:$G$370,6,0))),"★","")</f>
        <v>★</v>
      </c>
      <c r="KD54" s="929" t="str">
        <f>IF(ISNUMBER(SEARCH($A54,VLOOKUP(KD$2,职业列表!$B$1:$G$370,6,0))),"★","")</f>
        <v/>
      </c>
      <c r="KE54" s="929" t="str">
        <f>IF(ISNUMBER(SEARCH($A54,VLOOKUP(KE$2,职业列表!$B$1:$G$370,6,0))),"★","")</f>
        <v>★</v>
      </c>
      <c r="KF54" s="929" t="str">
        <f>IF(ISNUMBER(SEARCH($A54,VLOOKUP(KF$2,职业列表!$B$1:$G$370,6,0))),"★","")</f>
        <v/>
      </c>
      <c r="KG54" s="929" t="str">
        <f>IF(ISNUMBER(SEARCH($A54,VLOOKUP(KG$2,职业列表!$B$1:$G$370,6,0))),"★","")</f>
        <v>★</v>
      </c>
      <c r="KH54" s="929" t="str">
        <f>IF(ISNUMBER(SEARCH($A54,VLOOKUP(KH$2,职业列表!$B$1:$G$370,6,0))),"★","")</f>
        <v>★</v>
      </c>
      <c r="KI54" s="929" t="str">
        <f>IF(ISNUMBER(SEARCH($A54,VLOOKUP(KI$2,职业列表!$B$1:$G$370,6,0))),"★","")</f>
        <v/>
      </c>
      <c r="KJ54" s="929" t="str">
        <f>IF(ISNUMBER(SEARCH($A54,VLOOKUP(KJ$2,职业列表!$B$1:$G$370,6,0))),"★","")</f>
        <v/>
      </c>
      <c r="KK54" s="929" t="str">
        <f>IF(ISNUMBER(SEARCH($A54,VLOOKUP(KK$2,职业列表!$B$1:$G$370,6,0))),"★","")</f>
        <v/>
      </c>
      <c r="KL54" s="929" t="str">
        <f>IF(ISNUMBER(SEARCH($A54,VLOOKUP(KL$2,职业列表!$B$1:$G$370,6,0))),"★","")</f>
        <v>★</v>
      </c>
      <c r="KM54" s="929" t="str">
        <f>IF(ISNUMBER(SEARCH($A54,VLOOKUP(KM$2,职业列表!$B$1:$G$370,6,0))),"★","")</f>
        <v/>
      </c>
      <c r="KN54" s="929" t="str">
        <f>IF(ISNUMBER(SEARCH($A54,VLOOKUP(KN$2,职业列表!$B$1:$G$370,6,0))),"★","")</f>
        <v/>
      </c>
      <c r="KO54" s="929" t="str">
        <f>IF(ISNUMBER(SEARCH($A54,VLOOKUP(KO$2,职业列表!$B$1:$G$370,6,0))),"★","")</f>
        <v>★</v>
      </c>
      <c r="KP54" s="929" t="str">
        <f>IF(ISNUMBER(SEARCH($A54,VLOOKUP(KP$2,职业列表!$B$1:$G$370,6,0))),"★","")</f>
        <v>★</v>
      </c>
      <c r="KQ54" s="929" t="str">
        <f>IF(ISNUMBER(SEARCH($A54,VLOOKUP(KQ$2,职业列表!$B$1:$G$370,6,0))),"★","")</f>
        <v/>
      </c>
      <c r="KR54" s="929" t="str">
        <f>IF(ISNUMBER(SEARCH($A54,VLOOKUP(KR$2,职业列表!$B$1:$G$370,6,0))),"★","")</f>
        <v/>
      </c>
      <c r="KS54" s="929" t="str">
        <f>IF(ISNUMBER(SEARCH($A54,VLOOKUP(KS$2,职业列表!$B$1:$G$370,6,0))),"★","")</f>
        <v/>
      </c>
      <c r="KT54" s="929" t="str">
        <f>IF(ISNUMBER(SEARCH($A54,VLOOKUP(KT$2,职业列表!$B$1:$G$370,6,0))),"★","")</f>
        <v>★</v>
      </c>
      <c r="KU54" s="929" t="str">
        <f>IF(ISNUMBER(SEARCH($A54,VLOOKUP(KU$2,职业列表!$B$1:$G$370,6,0))),"★","")</f>
        <v/>
      </c>
      <c r="KV54" s="929" t="str">
        <f>IF(ISNUMBER(SEARCH($A54,VLOOKUP(KV$2,职业列表!$B$1:$G$370,6,0))),"★","")</f>
        <v/>
      </c>
      <c r="KW54" s="929" t="str">
        <f>IF(ISNUMBER(SEARCH($A54,VLOOKUP(KW$2,职业列表!$B$1:$G$370,6,0))),"★","")</f>
        <v/>
      </c>
      <c r="KX54" s="929" t="str">
        <f>IF(ISNUMBER(SEARCH($A54,VLOOKUP(KX$2,职业列表!$B$1:$G$370,6,0))),"★","")</f>
        <v>★</v>
      </c>
      <c r="KY54" s="929" t="str">
        <f>IF(ISNUMBER(SEARCH($A54,VLOOKUP(KY$2,职业列表!$B$1:$G$370,6,0))),"★","")</f>
        <v/>
      </c>
      <c r="KZ54" s="929" t="str">
        <f>IF(ISNUMBER(SEARCH($A54,VLOOKUP(KZ$2,职业列表!$B$1:$G$370,6,0))),"★","")</f>
        <v>★</v>
      </c>
      <c r="LA54" s="929" t="str">
        <f>IF(ISNUMBER(SEARCH($A54,VLOOKUP(LA$2,职业列表!$B$1:$G$370,6,0))),"★","")</f>
        <v/>
      </c>
      <c r="LB54" s="929" t="str">
        <f>IF(ISNUMBER(SEARCH($A54,VLOOKUP(LB$2,职业列表!$B$1:$G$370,6,0))),"★","")</f>
        <v>★</v>
      </c>
      <c r="LC54" s="929" t="str">
        <f>IF(ISNUMBER(SEARCH($A54,VLOOKUP(LC$2,职业列表!$B$1:$G$370,6,0))),"★","")</f>
        <v/>
      </c>
      <c r="LD54" s="929" t="str">
        <f>IF(ISNUMBER(SEARCH($A54,VLOOKUP(LD$2,职业列表!$B$1:$G$370,6,0))),"★","")</f>
        <v>★</v>
      </c>
      <c r="LE54" s="929" t="str">
        <f>IF(ISNUMBER(SEARCH($A54,VLOOKUP(LE$2,职业列表!$B$1:$G$370,6,0))),"★","")</f>
        <v>★</v>
      </c>
      <c r="LF54" s="929" t="str">
        <f>IF(ISNUMBER(SEARCH($A54,VLOOKUP(LF$2,职业列表!$B$1:$G$370,6,0))),"★","")</f>
        <v>★</v>
      </c>
      <c r="LG54" s="929" t="str">
        <f>IF(ISNUMBER(SEARCH($A54,VLOOKUP(LG$2,职业列表!$B$1:$G$370,6,0))),"★","")</f>
        <v/>
      </c>
      <c r="LH54" s="929" t="str">
        <f>IF(ISNUMBER(SEARCH($A54,VLOOKUP(LH$2,职业列表!$B$1:$G$370,6,0))),"★","")</f>
        <v>★</v>
      </c>
      <c r="LI54" s="929" t="str">
        <f>IF(ISNUMBER(SEARCH($A54,VLOOKUP(LI$2,职业列表!$B$1:$G$370,6,0))),"★","")</f>
        <v>★</v>
      </c>
      <c r="LJ54" s="929" t="str">
        <f>IF(ISNUMBER(SEARCH($A54,VLOOKUP(LJ$2,职业列表!$B$1:$G$370,6,0))),"★","")</f>
        <v/>
      </c>
      <c r="LK54" s="929" t="str">
        <f>IF(ISNUMBER(SEARCH($A54,VLOOKUP(LK$2,职业列表!$B$1:$G$370,6,0))),"★","")</f>
        <v/>
      </c>
      <c r="LL54" s="929" t="str">
        <f>IF(ISNUMBER(SEARCH($A54,VLOOKUP(LL$2,职业列表!$B$1:$G$370,6,0))),"★","")</f>
        <v>★</v>
      </c>
      <c r="LM54" s="929" t="str">
        <f>IF(ISNUMBER(SEARCH($A54,VLOOKUP(LM$2,职业列表!$B$1:$G$370,6,0))),"★","")</f>
        <v/>
      </c>
      <c r="LN54" s="929" t="str">
        <f>IF(ISNUMBER(SEARCH($A54,VLOOKUP(LN$2,职业列表!$B$1:$G$370,6,0))),"★","")</f>
        <v/>
      </c>
      <c r="LO54" s="929" t="str">
        <f>IF(ISNUMBER(SEARCH($A54,VLOOKUP(LO$2,职业列表!$B$1:$G$370,6,0))),"★","")</f>
        <v/>
      </c>
      <c r="LP54" s="929" t="str">
        <f>IF(ISNUMBER(SEARCH($A54,VLOOKUP(LP$2,职业列表!$B$1:$G$370,6,0))),"★","")</f>
        <v>★</v>
      </c>
      <c r="LQ54" s="929" t="str">
        <f>IF(ISNUMBER(SEARCH($A54,VLOOKUP(LQ$2,职业列表!$B$1:$G$370,6,0))),"★","")</f>
        <v>★</v>
      </c>
      <c r="LR54" s="929" t="str">
        <f>IF(ISNUMBER(SEARCH($A54,VLOOKUP(LR$2,职业列表!$B$1:$G$370,6,0))),"★","")</f>
        <v>★</v>
      </c>
      <c r="LS54" s="929" t="str">
        <f>IF(ISNUMBER(SEARCH($A54,VLOOKUP(LS$2,职业列表!$B$1:$G$370,6,0))),"★","")</f>
        <v>★</v>
      </c>
      <c r="LT54" s="929" t="str">
        <f>IF(ISNUMBER(SEARCH($A54,VLOOKUP(LT$2,职业列表!$B$1:$G$370,6,0))),"★","")</f>
        <v>★</v>
      </c>
      <c r="LU54" s="929" t="str">
        <f>IF(ISNUMBER(SEARCH($A54,VLOOKUP(LU$2,职业列表!$B$1:$G$370,6,0))),"★","")</f>
        <v/>
      </c>
      <c r="LV54" s="929" t="str">
        <f>IF(ISNUMBER(SEARCH($A54,VLOOKUP(LV$2,职业列表!$B$1:$G$370,6,0))),"★","")</f>
        <v>★</v>
      </c>
      <c r="LW54" s="929" t="str">
        <f>IF(ISNUMBER(SEARCH($A54,VLOOKUP(LW$2,职业列表!$B$1:$G$370,6,0))),"★","")</f>
        <v>★</v>
      </c>
      <c r="LX54" s="929" t="str">
        <f>IF(ISNUMBER(SEARCH($A54,VLOOKUP(LX$2,职业列表!$B$1:$G$370,6,0))),"★","")</f>
        <v>★</v>
      </c>
      <c r="LY54" s="929" t="str">
        <f>IF(ISNUMBER(SEARCH($A54,VLOOKUP(LY$2,职业列表!$B$1:$G$370,6,0))),"★","")</f>
        <v/>
      </c>
      <c r="LZ54" s="929" t="str">
        <f>IF(ISNUMBER(SEARCH($A54,VLOOKUP(LZ$2,职业列表!$B$1:$G$370,6,0))),"★","")</f>
        <v>★</v>
      </c>
      <c r="MA54" s="929" t="str">
        <f>IF(ISNUMBER(SEARCH($A54,VLOOKUP(MA$2,职业列表!$B$1:$G$370,6,0))),"★","")</f>
        <v/>
      </c>
      <c r="MB54" s="929" t="str">
        <f>IF(ISNUMBER(SEARCH($A54,VLOOKUP(MB$2,职业列表!$B$1:$G$370,6,0))),"★","")</f>
        <v/>
      </c>
      <c r="MC54" s="929" t="str">
        <f>IF(ISNUMBER(SEARCH($A54,VLOOKUP(MC$2,职业列表!$B$1:$G$370,6,0))),"★","")</f>
        <v>★</v>
      </c>
      <c r="MD54" s="929" t="str">
        <f>IF(ISNUMBER(SEARCH($A54,VLOOKUP(MD$2,职业列表!$B$1:$G$370,6,0))),"★","")</f>
        <v>★</v>
      </c>
      <c r="ME54" s="929" t="str">
        <f>IF(ISNUMBER(SEARCH($A54,VLOOKUP(ME$2,职业列表!$B$1:$G$370,6,0))),"★","")</f>
        <v>★</v>
      </c>
      <c r="MF54" s="929" t="str">
        <f>IF(ISNUMBER(SEARCH($A54,VLOOKUP(MF$2,职业列表!$B$1:$G$370,6,0))),"★","")</f>
        <v>★</v>
      </c>
      <c r="MG54" s="929" t="str">
        <f>IF(ISNUMBER(SEARCH($A54,VLOOKUP(MG$2,职业列表!$B$1:$G$370,6,0))),"★","")</f>
        <v>★</v>
      </c>
      <c r="MH54" s="929" t="str">
        <f>IF(ISNUMBER(SEARCH($A54,VLOOKUP(MH$2,职业列表!$B$1:$G$370,6,0))),"★","")</f>
        <v/>
      </c>
      <c r="MI54" s="929" t="str">
        <f>IF(ISNUMBER(SEARCH($A54,VLOOKUP(MI$2,职业列表!$B$1:$G$370,6,0))),"★","")</f>
        <v>★</v>
      </c>
      <c r="MJ54" s="929" t="str">
        <f>IF(ISNUMBER(SEARCH($A54,VLOOKUP(MJ$2,职业列表!$B$1:$G$370,6,0))),"★","")</f>
        <v>★</v>
      </c>
      <c r="MK54" s="929" t="str">
        <f>IF(ISNUMBER(SEARCH($A54,VLOOKUP(MK$2,职业列表!$B$1:$G$370,6,0))),"★","")</f>
        <v/>
      </c>
      <c r="ML54" s="929" t="str">
        <f>IF(ISNUMBER(SEARCH($A54,VLOOKUP(ML$2,职业列表!$B$1:$G$370,6,0))),"★","")</f>
        <v>★</v>
      </c>
      <c r="MM54" s="929" t="str">
        <f>IF(ISNUMBER(SEARCH($A54,VLOOKUP(MM$2,职业列表!$B$1:$G$370,6,0))),"★","")</f>
        <v/>
      </c>
      <c r="MN54" s="929" t="str">
        <f>IF(ISNUMBER(SEARCH($A54,VLOOKUP(MN$2,职业列表!$B$1:$G$370,6,0))),"★","")</f>
        <v>★</v>
      </c>
      <c r="MO54" s="929" t="str">
        <f>IF(ISNUMBER(SEARCH($A54,VLOOKUP(MO$2,职业列表!$B$1:$G$370,6,0))),"★","")</f>
        <v>★</v>
      </c>
      <c r="MP54" s="929" t="str">
        <f>IF(ISNUMBER(SEARCH($A54,VLOOKUP(MP$2,职业列表!$B$1:$G$370,6,0))),"★","")</f>
        <v>★</v>
      </c>
      <c r="MQ54" s="929" t="str">
        <f>IF(ISNUMBER(SEARCH($A54,VLOOKUP(MQ$2,职业列表!$B$1:$G$370,6,0))),"★","")</f>
        <v>★</v>
      </c>
      <c r="MR54" s="929" t="str">
        <f>IF(ISNUMBER(SEARCH($A54,VLOOKUP(MR$2,职业列表!$B$1:$G$370,6,0))),"★","")</f>
        <v>★</v>
      </c>
      <c r="MS54" s="929" t="str">
        <f>IF(ISNUMBER(SEARCH($A54,VLOOKUP(MS$2,职业列表!$B$1:$G$370,6,0))),"★","")</f>
        <v/>
      </c>
      <c r="MT54" s="929" t="str">
        <f>IF(ISNUMBER(SEARCH($A54,VLOOKUP(MT$2,职业列表!$B$1:$G$370,6,0))),"★","")</f>
        <v>★</v>
      </c>
      <c r="MU54" s="929" t="str">
        <f>IF(ISNUMBER(SEARCH($A54,VLOOKUP(MU$2,职业列表!$B$1:$G$370,6,0))),"★","")</f>
        <v/>
      </c>
      <c r="MV54" s="929" t="str">
        <f>IF(ISNUMBER(SEARCH($A54,VLOOKUP(MV$2,职业列表!$B$1:$G$370,6,0))),"★","")</f>
        <v>★</v>
      </c>
      <c r="MW54" s="929" t="str">
        <f>IF(ISNUMBER(SEARCH($A54,VLOOKUP(MW$2,职业列表!$B$1:$G$370,6,0))),"★","")</f>
        <v>★</v>
      </c>
      <c r="MX54" s="929" t="str">
        <f>IF(ISNUMBER(SEARCH($A54,VLOOKUP(MX$2,职业列表!$B$1:$G$370,6,0))),"★","")</f>
        <v>★</v>
      </c>
      <c r="MY54" s="929" t="str">
        <f>IF(ISNUMBER(SEARCH($A54,VLOOKUP(MY$2,职业列表!$B$1:$G$370,6,0))),"★","")</f>
        <v/>
      </c>
      <c r="MZ54" s="929" t="str">
        <f>IF(ISNUMBER(SEARCH($A54,VLOOKUP(MZ$2,职业列表!$B$1:$G$370,6,0))),"★","")</f>
        <v/>
      </c>
      <c r="NA54" s="929" t="str">
        <f>IF(ISNUMBER(SEARCH($A54,VLOOKUP(NA$2,职业列表!$B$1:$G$370,6,0))),"★","")</f>
        <v/>
      </c>
      <c r="NB54" s="929" t="str">
        <f>IF(ISNUMBER(SEARCH($A54,VLOOKUP(NB$2,职业列表!$B$1:$G$370,6,0))),"★","")</f>
        <v/>
      </c>
      <c r="NC54" s="929" t="str">
        <f>IF(ISNUMBER(SEARCH($A54,VLOOKUP(NC$2,职业列表!$B$1:$G$370,6,0))),"★","")</f>
        <v/>
      </c>
      <c r="ND54" s="929" t="str">
        <f>IF(ISNUMBER(SEARCH($A54,VLOOKUP(ND$2,职业列表!$B$1:$G$370,6,0))),"★","")</f>
        <v/>
      </c>
      <c r="NE54" s="929" t="str">
        <f>IF(ISNUMBER(SEARCH($A54,VLOOKUP(NE$2,职业列表!$B$1:$G$370,6,0))),"★","")</f>
        <v/>
      </c>
    </row>
    <row r="55" customFormat="1" spans="1:369">
      <c r="A55" s="932" t="s">
        <v>110</v>
      </c>
      <c r="B55" s="939" t="str">
        <f>IF(OR(A55="说服",A55="话术",A55="取悦",A55="恐吓"),"☯",IF(ISNUMBER(SEARCH(A55,VLOOKUP(IX$2,职业列表!$B$1:$G$370,6,0))),"★",""))</f>
        <v/>
      </c>
      <c r="C55" s="940" t="str">
        <f>IF(ISTEXT(IFERROR(VLOOKUP(A55,职业列表!I3:J10,1,FALSE),0)),"★","")</f>
        <v/>
      </c>
      <c r="D55" s="939"/>
      <c r="E55" s="939"/>
      <c r="F55" s="939"/>
      <c r="G55" s="939"/>
      <c r="H55" s="939"/>
      <c r="I55" s="939"/>
      <c r="J55" s="939"/>
      <c r="K55" s="939"/>
      <c r="L55" s="939"/>
      <c r="M55" s="939"/>
      <c r="N55" s="939"/>
      <c r="O55" s="939"/>
      <c r="P55" s="939"/>
      <c r="Q55" s="939" t="s">
        <v>74</v>
      </c>
      <c r="R55" s="939"/>
      <c r="S55" s="939"/>
      <c r="T55" s="939"/>
      <c r="U55" s="939"/>
      <c r="V55" s="939"/>
      <c r="W55" s="939"/>
      <c r="X55" s="939"/>
      <c r="Y55" s="939"/>
      <c r="Z55" s="939"/>
      <c r="AA55" s="939"/>
      <c r="AB55" s="939" t="s">
        <v>74</v>
      </c>
      <c r="AC55" s="939"/>
      <c r="AD55" s="939"/>
      <c r="AE55" s="939"/>
      <c r="AF55" s="939"/>
      <c r="AG55" s="939"/>
      <c r="AH55" s="939"/>
      <c r="AI55" s="939"/>
      <c r="AJ55" s="939"/>
      <c r="AK55" s="939"/>
      <c r="AL55" s="939"/>
      <c r="AM55" s="939"/>
      <c r="AN55" s="939"/>
      <c r="AO55" s="939"/>
      <c r="AP55" s="939"/>
      <c r="AQ55" s="954"/>
      <c r="AR55" s="939" t="s">
        <v>74</v>
      </c>
      <c r="AS55" s="939"/>
      <c r="AT55" s="939"/>
      <c r="AU55" s="939"/>
      <c r="AV55" s="939"/>
      <c r="AW55" s="939"/>
      <c r="AX55" s="939"/>
      <c r="AY55" s="939"/>
      <c r="AZ55" s="939"/>
      <c r="BA55" s="939"/>
      <c r="BB55" s="939"/>
      <c r="BC55" s="939"/>
      <c r="BD55" s="939"/>
      <c r="BE55" s="939"/>
      <c r="BF55" s="939"/>
      <c r="BG55" s="939"/>
      <c r="BH55" s="939"/>
      <c r="BI55" s="939"/>
      <c r="BJ55" s="939"/>
      <c r="BK55" s="939"/>
      <c r="BL55" s="939" t="s">
        <v>74</v>
      </c>
      <c r="BM55" s="939"/>
      <c r="BN55" s="939"/>
      <c r="BO55" s="939"/>
      <c r="BP55" s="939"/>
      <c r="BQ55" s="939"/>
      <c r="BR55" s="939"/>
      <c r="BS55" s="939"/>
      <c r="BT55" s="939"/>
      <c r="BU55" s="939"/>
      <c r="BV55" s="939"/>
      <c r="BW55" s="939"/>
      <c r="BX55" s="939"/>
      <c r="BY55" s="939"/>
      <c r="BZ55" s="939"/>
      <c r="CA55" s="939"/>
      <c r="CB55" s="939"/>
      <c r="CC55" s="939"/>
      <c r="CD55" s="939"/>
      <c r="CE55" s="939"/>
      <c r="CF55" s="939"/>
      <c r="CG55" s="939"/>
      <c r="CH55" s="939"/>
      <c r="CI55" s="939"/>
      <c r="CJ55" s="939"/>
      <c r="CK55" s="939"/>
      <c r="CL55" s="939"/>
      <c r="CM55" s="939"/>
      <c r="CN55" s="939" t="s">
        <v>2716</v>
      </c>
      <c r="CO55" s="939"/>
      <c r="CP55" s="939"/>
      <c r="CQ55" s="939"/>
      <c r="CR55" s="939"/>
      <c r="CS55" s="939"/>
      <c r="CT55" s="939"/>
      <c r="CU55" s="939"/>
      <c r="CV55" s="939"/>
      <c r="CW55" s="939"/>
      <c r="CX55" s="939"/>
      <c r="CY55" s="939"/>
      <c r="CZ55" s="939"/>
      <c r="DA55" s="939"/>
      <c r="DB55" s="939"/>
      <c r="DC55" s="939"/>
      <c r="DD55" s="939"/>
      <c r="DE55" s="939" t="s">
        <v>2719</v>
      </c>
      <c r="DF55" s="939"/>
      <c r="DG55" s="939"/>
      <c r="DH55" s="939"/>
      <c r="DI55" s="939"/>
      <c r="DJ55" s="939"/>
      <c r="DK55" s="939"/>
      <c r="DL55" s="939"/>
      <c r="DM55" s="939"/>
      <c r="DN55" s="939"/>
      <c r="DO55" s="939"/>
      <c r="DP55" s="939" t="s">
        <v>74</v>
      </c>
      <c r="DQ55" s="939"/>
      <c r="DR55" s="939"/>
      <c r="DS55" s="939"/>
      <c r="DT55" s="939"/>
      <c r="DU55" s="939"/>
      <c r="DV55" s="939"/>
      <c r="DW55" s="939"/>
      <c r="DX55" s="939"/>
      <c r="DY55" s="939"/>
      <c r="DZ55" s="939"/>
      <c r="EA55" s="939"/>
      <c r="EB55" s="939"/>
      <c r="EC55" s="939"/>
      <c r="ED55" s="939"/>
      <c r="EE55" s="939"/>
      <c r="EF55" s="939"/>
      <c r="EG55" s="939"/>
      <c r="EH55" s="939"/>
      <c r="EI55" s="939"/>
      <c r="EJ55" s="939"/>
      <c r="EK55" s="939"/>
      <c r="EL55" s="939"/>
      <c r="EM55" s="939"/>
      <c r="EN55" s="939"/>
      <c r="EO55" s="939"/>
      <c r="EP55" s="939"/>
      <c r="EQ55" s="939"/>
      <c r="ER55" s="939"/>
      <c r="ES55" s="939"/>
      <c r="ET55" s="939"/>
      <c r="EU55" s="939"/>
      <c r="EV55" s="939"/>
      <c r="EW55" s="939"/>
      <c r="EX55" s="939"/>
      <c r="EY55" s="939"/>
      <c r="EZ55" s="939"/>
      <c r="FA55" s="939"/>
      <c r="FB55" s="939"/>
      <c r="FC55" s="939" t="s">
        <v>74</v>
      </c>
      <c r="FD55" s="939"/>
      <c r="FE55" s="939"/>
      <c r="FF55" s="939"/>
      <c r="FG55" s="939"/>
      <c r="FH55" s="939"/>
      <c r="FI55" s="939"/>
      <c r="FJ55" s="939"/>
      <c r="FK55" s="939"/>
      <c r="FL55" s="939"/>
      <c r="FM55" s="939"/>
      <c r="FN55" s="939"/>
      <c r="FO55" s="939"/>
      <c r="FP55" s="939"/>
      <c r="FQ55" s="939"/>
      <c r="FR55" s="939" t="s">
        <v>74</v>
      </c>
      <c r="FS55" s="939"/>
      <c r="FT55" s="939"/>
      <c r="FU55" s="939"/>
      <c r="FV55" s="939"/>
      <c r="FW55" s="939"/>
      <c r="FX55" s="939"/>
      <c r="FY55" s="939"/>
      <c r="FZ55" s="939"/>
      <c r="GA55" s="939"/>
      <c r="GB55" s="939"/>
      <c r="GC55" s="939"/>
      <c r="GD55" s="939"/>
      <c r="GE55" s="939"/>
      <c r="GF55" s="939"/>
      <c r="GG55" s="939"/>
      <c r="GH55" s="939"/>
      <c r="GI55" s="939"/>
      <c r="GJ55" s="939"/>
      <c r="GK55" s="939"/>
      <c r="GL55" s="939"/>
      <c r="GM55" s="939"/>
      <c r="GN55" s="939"/>
      <c r="GO55" s="939"/>
      <c r="GP55" s="939"/>
      <c r="GQ55" s="939"/>
      <c r="GR55" s="939"/>
      <c r="GS55" s="939"/>
      <c r="GT55" s="939"/>
      <c r="GU55" s="939"/>
      <c r="GV55" s="939"/>
      <c r="GW55" s="939" t="s">
        <v>2716</v>
      </c>
      <c r="GX55" s="939"/>
      <c r="GY55" s="939" t="s">
        <v>74</v>
      </c>
      <c r="GZ55" s="939"/>
      <c r="HA55" s="939" t="s">
        <v>74</v>
      </c>
      <c r="HB55" s="939"/>
      <c r="HC55" s="939"/>
      <c r="HD55" s="939"/>
      <c r="HE55" s="939"/>
      <c r="HF55" s="939"/>
      <c r="HG55" s="939"/>
      <c r="HH55" s="939"/>
      <c r="HI55" s="939"/>
      <c r="HJ55" s="939"/>
      <c r="HK55" s="939" t="s">
        <v>74</v>
      </c>
      <c r="HL55" s="939" t="s">
        <v>74</v>
      </c>
      <c r="HM55" s="939"/>
      <c r="HN55" s="939"/>
      <c r="HO55" s="939"/>
      <c r="HP55" s="939"/>
      <c r="HQ55" s="939"/>
      <c r="HR55" s="939"/>
      <c r="HS55" s="939"/>
      <c r="HT55" s="939"/>
      <c r="HU55" s="939"/>
      <c r="HV55" s="939"/>
      <c r="HW55" s="939"/>
      <c r="HX55" s="990"/>
      <c r="HY55" s="1012"/>
      <c r="HZ55" s="1012"/>
      <c r="IA55" s="1012"/>
      <c r="IB55" s="1012"/>
      <c r="IC55" s="1013"/>
      <c r="ID55" s="1013"/>
      <c r="IE55" s="1012"/>
      <c r="IF55" s="1012"/>
      <c r="IG55" s="1012"/>
      <c r="IH55" s="1012"/>
      <c r="II55" s="1012"/>
      <c r="IJ55" s="1012"/>
      <c r="IK55" s="1012"/>
      <c r="IL55" s="1012"/>
      <c r="IM55" s="1012"/>
      <c r="IN55" s="1012"/>
      <c r="IO55" s="1012"/>
      <c r="IP55" s="1013"/>
      <c r="IQ55" s="1013"/>
      <c r="IR55" s="1012"/>
      <c r="IS55" s="1012"/>
      <c r="IT55" s="1012"/>
      <c r="IU55" s="1012"/>
      <c r="IV55" s="1012"/>
      <c r="IW55" s="929"/>
      <c r="IX55" s="929" t="str">
        <f>IF(ISNUMBER(SEARCH($A55,VLOOKUP(IX$2,职业列表!$B$1:$G$370,6,0))),"★","")</f>
        <v/>
      </c>
      <c r="IY55" s="929" t="str">
        <f>IF(ISNUMBER(SEARCH($A55,VLOOKUP(IY$2,职业列表!$B$1:$G$370,6,0))),"★","")</f>
        <v/>
      </c>
      <c r="IZ55" s="929" t="str">
        <f>IF(ISNUMBER(SEARCH($A55,VLOOKUP(IZ$2,职业列表!$B$1:$G$370,6,0))),"★","")</f>
        <v/>
      </c>
      <c r="JA55" s="929" t="str">
        <f>IF(ISNUMBER(SEARCH($A55,VLOOKUP(JA$2,职业列表!$B$1:$G$370,6,0))),"★","")</f>
        <v/>
      </c>
      <c r="JB55" s="929" t="str">
        <f>IF(ISNUMBER(SEARCH($A55,VLOOKUP(JB$2,职业列表!$B$1:$G$370,6,0))),"★","")</f>
        <v/>
      </c>
      <c r="JC55" s="929" t="str">
        <f>IF(ISNUMBER(SEARCH($A55,VLOOKUP(JC$2,职业列表!$B$1:$G$370,6,0))),"★","")</f>
        <v/>
      </c>
      <c r="JD55" s="929" t="str">
        <f>IF(ISNUMBER(SEARCH($A55,VLOOKUP(JD$2,职业列表!$B$1:$G$370,6,0))),"★","")</f>
        <v/>
      </c>
      <c r="JE55" s="929" t="str">
        <f>IF(ISNUMBER(SEARCH($A55,VLOOKUP(JE$2,职业列表!$B$1:$G$370,6,0))),"★","")</f>
        <v/>
      </c>
      <c r="JF55" s="929" t="str">
        <f>IF(ISNUMBER(SEARCH($A55,VLOOKUP(JF$2,职业列表!$B$1:$G$370,6,0))),"★","")</f>
        <v/>
      </c>
      <c r="JG55" s="929" t="str">
        <f>IF(ISNUMBER(SEARCH($A55,VLOOKUP(JG$2,职业列表!$B$1:$G$370,6,0))),"★","")</f>
        <v/>
      </c>
      <c r="JH55" s="929" t="str">
        <f>IF(ISNUMBER(SEARCH($A55,VLOOKUP(JH$2,职业列表!$B$1:$G$370,6,0))),"★","")</f>
        <v/>
      </c>
      <c r="JI55" s="929" t="str">
        <f>IF(ISNUMBER(SEARCH($A55,VLOOKUP(JI$2,职业列表!$B$1:$G$370,6,0))),"★","")</f>
        <v/>
      </c>
      <c r="JJ55" s="929" t="str">
        <f>IF(ISNUMBER(SEARCH($A55,VLOOKUP(JJ$2,职业列表!$B$1:$G$370,6,0))),"★","")</f>
        <v/>
      </c>
      <c r="JK55" s="929" t="str">
        <f>IF(ISNUMBER(SEARCH($A55,VLOOKUP(JK$2,职业列表!$B$1:$G$370,6,0))),"★","")</f>
        <v/>
      </c>
      <c r="JL55" s="929" t="str">
        <f>IF(ISNUMBER(SEARCH($A55,VLOOKUP(JL$2,职业列表!$B$1:$G$370,6,0))),"★","")</f>
        <v/>
      </c>
      <c r="JM55" s="929" t="str">
        <f>IF(ISNUMBER(SEARCH($A55,VLOOKUP(JM$2,职业列表!$B$1:$G$370,6,0))),"★","")</f>
        <v/>
      </c>
      <c r="JN55" s="929" t="str">
        <f>IF(ISNUMBER(SEARCH($A55,VLOOKUP(JN$2,职业列表!$B$1:$G$370,6,0))),"★","")</f>
        <v/>
      </c>
      <c r="JO55" s="929" t="str">
        <f>IF(ISNUMBER(SEARCH($A55,VLOOKUP(JO$2,职业列表!$B$1:$G$370,6,0))),"★","")</f>
        <v/>
      </c>
      <c r="JP55" s="929" t="str">
        <f>IF(ISNUMBER(SEARCH($A55,VLOOKUP(JP$2,职业列表!$B$1:$G$370,6,0))),"★","")</f>
        <v/>
      </c>
      <c r="JQ55" s="929" t="str">
        <f>IF(ISNUMBER(SEARCH($A55,VLOOKUP(JQ$2,职业列表!$B$1:$G$370,6,0))),"★","")</f>
        <v/>
      </c>
      <c r="JR55" s="929" t="str">
        <f>IF(ISNUMBER(SEARCH($A55,VLOOKUP(JR$2,职业列表!$B$1:$G$370,6,0))),"★","")</f>
        <v/>
      </c>
      <c r="JS55" s="929" t="str">
        <f>IF(ISNUMBER(SEARCH($A55,VLOOKUP(JS$2,职业列表!$B$1:$G$370,6,0))),"★","")</f>
        <v/>
      </c>
      <c r="JT55" s="929" t="str">
        <f>IF(ISNUMBER(SEARCH($A55,VLOOKUP(JT$2,职业列表!$B$1:$G$370,6,0))),"★","")</f>
        <v/>
      </c>
      <c r="JU55" s="929" t="str">
        <f>IF(ISNUMBER(SEARCH($A55,VLOOKUP(JU$2,职业列表!$B$1:$G$370,6,0))),"★","")</f>
        <v/>
      </c>
      <c r="JV55" s="929" t="str">
        <f>IF(ISNUMBER(SEARCH($A55,VLOOKUP(JV$2,职业列表!$B$1:$G$370,6,0))),"★","")</f>
        <v/>
      </c>
      <c r="JW55" s="929" t="str">
        <f>IF(ISNUMBER(SEARCH($A55,VLOOKUP(JW$2,职业列表!$B$1:$G$370,6,0))),"★","")</f>
        <v/>
      </c>
      <c r="JX55" s="929" t="str">
        <f>IF(ISNUMBER(SEARCH($A55,VLOOKUP(JX$2,职业列表!$B$1:$G$370,6,0))),"★","")</f>
        <v/>
      </c>
      <c r="JY55" s="929" t="str">
        <f>IF(ISNUMBER(SEARCH($A55,VLOOKUP(JY$2,职业列表!$B$1:$G$370,6,0))),"★","")</f>
        <v/>
      </c>
      <c r="JZ55" s="929" t="str">
        <f>IF(ISNUMBER(SEARCH($A55,VLOOKUP(JZ$2,职业列表!$B$1:$G$370,6,0))),"★","")</f>
        <v/>
      </c>
      <c r="KA55" s="929" t="str">
        <f>IF(ISNUMBER(SEARCH($A55,VLOOKUP(KA$2,职业列表!$B$1:$G$370,6,0))),"★","")</f>
        <v/>
      </c>
      <c r="KB55" s="929" t="str">
        <f>IF(ISNUMBER(SEARCH($A55,VLOOKUP(KB$2,职业列表!$B$1:$G$370,6,0))),"★","")</f>
        <v/>
      </c>
      <c r="KC55" s="929" t="str">
        <f>IF(ISNUMBER(SEARCH($A55,VLOOKUP(KC$2,职业列表!$B$1:$G$370,6,0))),"★","")</f>
        <v/>
      </c>
      <c r="KD55" s="929" t="str">
        <f>IF(ISNUMBER(SEARCH($A55,VLOOKUP(KD$2,职业列表!$B$1:$G$370,6,0))),"★","")</f>
        <v/>
      </c>
      <c r="KE55" s="929" t="str">
        <f>IF(ISNUMBER(SEARCH($A55,VLOOKUP(KE$2,职业列表!$B$1:$G$370,6,0))),"★","")</f>
        <v/>
      </c>
      <c r="KF55" s="929" t="str">
        <f>IF(ISNUMBER(SEARCH($A55,VLOOKUP(KF$2,职业列表!$B$1:$G$370,6,0))),"★","")</f>
        <v/>
      </c>
      <c r="KG55" s="929" t="str">
        <f>IF(ISNUMBER(SEARCH($A55,VLOOKUP(KG$2,职业列表!$B$1:$G$370,6,0))),"★","")</f>
        <v/>
      </c>
      <c r="KH55" s="929" t="str">
        <f>IF(ISNUMBER(SEARCH($A55,VLOOKUP(KH$2,职业列表!$B$1:$G$370,6,0))),"★","")</f>
        <v/>
      </c>
      <c r="KI55" s="929" t="str">
        <f>IF(ISNUMBER(SEARCH($A55,VLOOKUP(KI$2,职业列表!$B$1:$G$370,6,0))),"★","")</f>
        <v/>
      </c>
      <c r="KJ55" s="929" t="str">
        <f>IF(ISNUMBER(SEARCH($A55,VLOOKUP(KJ$2,职业列表!$B$1:$G$370,6,0))),"★","")</f>
        <v/>
      </c>
      <c r="KK55" s="929" t="str">
        <f>IF(ISNUMBER(SEARCH($A55,VLOOKUP(KK$2,职业列表!$B$1:$G$370,6,0))),"★","")</f>
        <v/>
      </c>
      <c r="KL55" s="929" t="str">
        <f>IF(ISNUMBER(SEARCH($A55,VLOOKUP(KL$2,职业列表!$B$1:$G$370,6,0))),"★","")</f>
        <v/>
      </c>
      <c r="KM55" s="929" t="str">
        <f>IF(ISNUMBER(SEARCH($A55,VLOOKUP(KM$2,职业列表!$B$1:$G$370,6,0))),"★","")</f>
        <v/>
      </c>
      <c r="KN55" s="929" t="str">
        <f>IF(ISNUMBER(SEARCH($A55,VLOOKUP(KN$2,职业列表!$B$1:$G$370,6,0))),"★","")</f>
        <v/>
      </c>
      <c r="KO55" s="929" t="str">
        <f>IF(ISNUMBER(SEARCH($A55,VLOOKUP(KO$2,职业列表!$B$1:$G$370,6,0))),"★","")</f>
        <v/>
      </c>
      <c r="KP55" s="929" t="str">
        <f>IF(ISNUMBER(SEARCH($A55,VLOOKUP(KP$2,职业列表!$B$1:$G$370,6,0))),"★","")</f>
        <v/>
      </c>
      <c r="KQ55" s="929" t="str">
        <f>IF(ISNUMBER(SEARCH($A55,VLOOKUP(KQ$2,职业列表!$B$1:$G$370,6,0))),"★","")</f>
        <v/>
      </c>
      <c r="KR55" s="929" t="str">
        <f>IF(ISNUMBER(SEARCH($A55,VLOOKUP(KR$2,职业列表!$B$1:$G$370,6,0))),"★","")</f>
        <v/>
      </c>
      <c r="KS55" s="929" t="str">
        <f>IF(ISNUMBER(SEARCH($A55,VLOOKUP(KS$2,职业列表!$B$1:$G$370,6,0))),"★","")</f>
        <v/>
      </c>
      <c r="KT55" s="929" t="str">
        <f>IF(ISNUMBER(SEARCH($A55,VLOOKUP(KT$2,职业列表!$B$1:$G$370,6,0))),"★","")</f>
        <v/>
      </c>
      <c r="KU55" s="929" t="str">
        <f>IF(ISNUMBER(SEARCH($A55,VLOOKUP(KU$2,职业列表!$B$1:$G$370,6,0))),"★","")</f>
        <v/>
      </c>
      <c r="KV55" s="929" t="str">
        <f>IF(ISNUMBER(SEARCH($A55,VLOOKUP(KV$2,职业列表!$B$1:$G$370,6,0))),"★","")</f>
        <v/>
      </c>
      <c r="KW55" s="929" t="str">
        <f>IF(ISNUMBER(SEARCH($A55,VLOOKUP(KW$2,职业列表!$B$1:$G$370,6,0))),"★","")</f>
        <v/>
      </c>
      <c r="KX55" s="929" t="str">
        <f>IF(ISNUMBER(SEARCH($A55,VLOOKUP(KX$2,职业列表!$B$1:$G$370,6,0))),"★","")</f>
        <v/>
      </c>
      <c r="KY55" s="929" t="str">
        <f>IF(ISNUMBER(SEARCH($A55,VLOOKUP(KY$2,职业列表!$B$1:$G$370,6,0))),"★","")</f>
        <v/>
      </c>
      <c r="KZ55" s="929" t="str">
        <f>IF(ISNUMBER(SEARCH($A55,VLOOKUP(KZ$2,职业列表!$B$1:$G$370,6,0))),"★","")</f>
        <v/>
      </c>
      <c r="LA55" s="929" t="str">
        <f>IF(ISNUMBER(SEARCH($A55,VLOOKUP(LA$2,职业列表!$B$1:$G$370,6,0))),"★","")</f>
        <v/>
      </c>
      <c r="LB55" s="929" t="str">
        <f>IF(ISNUMBER(SEARCH($A55,VLOOKUP(LB$2,职业列表!$B$1:$G$370,6,0))),"★","")</f>
        <v/>
      </c>
      <c r="LC55" s="929" t="str">
        <f>IF(ISNUMBER(SEARCH($A55,VLOOKUP(LC$2,职业列表!$B$1:$G$370,6,0))),"★","")</f>
        <v/>
      </c>
      <c r="LD55" s="929" t="str">
        <f>IF(ISNUMBER(SEARCH($A55,VLOOKUP(LD$2,职业列表!$B$1:$G$370,6,0))),"★","")</f>
        <v/>
      </c>
      <c r="LE55" s="929" t="str">
        <f>IF(ISNUMBER(SEARCH($A55,VLOOKUP(LE$2,职业列表!$B$1:$G$370,6,0))),"★","")</f>
        <v/>
      </c>
      <c r="LF55" s="929" t="str">
        <f>IF(ISNUMBER(SEARCH($A55,VLOOKUP(LF$2,职业列表!$B$1:$G$370,6,0))),"★","")</f>
        <v/>
      </c>
      <c r="LG55" s="929" t="str">
        <f>IF(ISNUMBER(SEARCH($A55,VLOOKUP(LG$2,职业列表!$B$1:$G$370,6,0))),"★","")</f>
        <v/>
      </c>
      <c r="LH55" s="929" t="str">
        <f>IF(ISNUMBER(SEARCH($A55,VLOOKUP(LH$2,职业列表!$B$1:$G$370,6,0))),"★","")</f>
        <v/>
      </c>
      <c r="LI55" s="929" t="str">
        <f>IF(ISNUMBER(SEARCH($A55,VLOOKUP(LI$2,职业列表!$B$1:$G$370,6,0))),"★","")</f>
        <v/>
      </c>
      <c r="LJ55" s="929" t="str">
        <f>IF(ISNUMBER(SEARCH($A55,VLOOKUP(LJ$2,职业列表!$B$1:$G$370,6,0))),"★","")</f>
        <v/>
      </c>
      <c r="LK55" s="929" t="str">
        <f>IF(ISNUMBER(SEARCH($A55,VLOOKUP(LK$2,职业列表!$B$1:$G$370,6,0))),"★","")</f>
        <v/>
      </c>
      <c r="LL55" s="929" t="str">
        <f>IF(ISNUMBER(SEARCH($A55,VLOOKUP(LL$2,职业列表!$B$1:$G$370,6,0))),"★","")</f>
        <v/>
      </c>
      <c r="LM55" s="929" t="str">
        <f>IF(ISNUMBER(SEARCH($A55,VLOOKUP(LM$2,职业列表!$B$1:$G$370,6,0))),"★","")</f>
        <v/>
      </c>
      <c r="LN55" s="929" t="str">
        <f>IF(ISNUMBER(SEARCH($A55,VLOOKUP(LN$2,职业列表!$B$1:$G$370,6,0))),"★","")</f>
        <v/>
      </c>
      <c r="LO55" s="929" t="str">
        <f>IF(ISNUMBER(SEARCH($A55,VLOOKUP(LO$2,职业列表!$B$1:$G$370,6,0))),"★","")</f>
        <v/>
      </c>
      <c r="LP55" s="929" t="str">
        <f>IF(ISNUMBER(SEARCH($A55,VLOOKUP(LP$2,职业列表!$B$1:$G$370,6,0))),"★","")</f>
        <v/>
      </c>
      <c r="LQ55" s="929" t="str">
        <f>IF(ISNUMBER(SEARCH($A55,VLOOKUP(LQ$2,职业列表!$B$1:$G$370,6,0))),"★","")</f>
        <v/>
      </c>
      <c r="LR55" s="929" t="str">
        <f>IF(ISNUMBER(SEARCH($A55,VLOOKUP(LR$2,职业列表!$B$1:$G$370,6,0))),"★","")</f>
        <v/>
      </c>
      <c r="LS55" s="929" t="str">
        <f>IF(ISNUMBER(SEARCH($A55,VLOOKUP(LS$2,职业列表!$B$1:$G$370,6,0))),"★","")</f>
        <v/>
      </c>
      <c r="LT55" s="929" t="str">
        <f>IF(ISNUMBER(SEARCH($A55,VLOOKUP(LT$2,职业列表!$B$1:$G$370,6,0))),"★","")</f>
        <v/>
      </c>
      <c r="LU55" s="929" t="str">
        <f>IF(ISNUMBER(SEARCH($A55,VLOOKUP(LU$2,职业列表!$B$1:$G$370,6,0))),"★","")</f>
        <v/>
      </c>
      <c r="LV55" s="929" t="str">
        <f>IF(ISNUMBER(SEARCH($A55,VLOOKUP(LV$2,职业列表!$B$1:$G$370,6,0))),"★","")</f>
        <v/>
      </c>
      <c r="LW55" s="929" t="str">
        <f>IF(ISNUMBER(SEARCH($A55,VLOOKUP(LW$2,职业列表!$B$1:$G$370,6,0))),"★","")</f>
        <v/>
      </c>
      <c r="LX55" s="929" t="str">
        <f>IF(ISNUMBER(SEARCH($A55,VLOOKUP(LX$2,职业列表!$B$1:$G$370,6,0))),"★","")</f>
        <v/>
      </c>
      <c r="LY55" s="929" t="str">
        <f>IF(ISNUMBER(SEARCH($A55,VLOOKUP(LY$2,职业列表!$B$1:$G$370,6,0))),"★","")</f>
        <v/>
      </c>
      <c r="LZ55" s="929" t="str">
        <f>IF(ISNUMBER(SEARCH($A55,VLOOKUP(LZ$2,职业列表!$B$1:$G$370,6,0))),"★","")</f>
        <v/>
      </c>
      <c r="MA55" s="929" t="str">
        <f>IF(ISNUMBER(SEARCH($A55,VLOOKUP(MA$2,职业列表!$B$1:$G$370,6,0))),"★","")</f>
        <v/>
      </c>
      <c r="MB55" s="929" t="str">
        <f>IF(ISNUMBER(SEARCH($A55,VLOOKUP(MB$2,职业列表!$B$1:$G$370,6,0))),"★","")</f>
        <v/>
      </c>
      <c r="MC55" s="929" t="str">
        <f>IF(ISNUMBER(SEARCH($A55,VLOOKUP(MC$2,职业列表!$B$1:$G$370,6,0))),"★","")</f>
        <v/>
      </c>
      <c r="MD55" s="929" t="str">
        <f>IF(ISNUMBER(SEARCH($A55,VLOOKUP(MD$2,职业列表!$B$1:$G$370,6,0))),"★","")</f>
        <v/>
      </c>
      <c r="ME55" s="929" t="str">
        <f>IF(ISNUMBER(SEARCH($A55,VLOOKUP(ME$2,职业列表!$B$1:$G$370,6,0))),"★","")</f>
        <v/>
      </c>
      <c r="MF55" s="929" t="str">
        <f>IF(ISNUMBER(SEARCH($A55,VLOOKUP(MF$2,职业列表!$B$1:$G$370,6,0))),"★","")</f>
        <v/>
      </c>
      <c r="MG55" s="929" t="str">
        <f>IF(ISNUMBER(SEARCH($A55,VLOOKUP(MG$2,职业列表!$B$1:$G$370,6,0))),"★","")</f>
        <v/>
      </c>
      <c r="MH55" s="929" t="str">
        <f>IF(ISNUMBER(SEARCH($A55,VLOOKUP(MH$2,职业列表!$B$1:$G$370,6,0))),"★","")</f>
        <v/>
      </c>
      <c r="MI55" s="929" t="str">
        <f>IF(ISNUMBER(SEARCH($A55,VLOOKUP(MI$2,职业列表!$B$1:$G$370,6,0))),"★","")</f>
        <v/>
      </c>
      <c r="MJ55" s="929" t="str">
        <f>IF(ISNUMBER(SEARCH($A55,VLOOKUP(MJ$2,职业列表!$B$1:$G$370,6,0))),"★","")</f>
        <v/>
      </c>
      <c r="MK55" s="929" t="str">
        <f>IF(ISNUMBER(SEARCH($A55,VLOOKUP(MK$2,职业列表!$B$1:$G$370,6,0))),"★","")</f>
        <v/>
      </c>
      <c r="ML55" s="929" t="str">
        <f>IF(ISNUMBER(SEARCH($A55,VLOOKUP(ML$2,职业列表!$B$1:$G$370,6,0))),"★","")</f>
        <v/>
      </c>
      <c r="MM55" s="929" t="str">
        <f>IF(ISNUMBER(SEARCH($A55,VLOOKUP(MM$2,职业列表!$B$1:$G$370,6,0))),"★","")</f>
        <v/>
      </c>
      <c r="MN55" s="929" t="str">
        <f>IF(ISNUMBER(SEARCH($A55,VLOOKUP(MN$2,职业列表!$B$1:$G$370,6,0))),"★","")</f>
        <v/>
      </c>
      <c r="MO55" s="929" t="str">
        <f>IF(ISNUMBER(SEARCH($A55,VLOOKUP(MO$2,职业列表!$B$1:$G$370,6,0))),"★","")</f>
        <v/>
      </c>
      <c r="MP55" s="929" t="str">
        <f>IF(ISNUMBER(SEARCH($A55,VLOOKUP(MP$2,职业列表!$B$1:$G$370,6,0))),"★","")</f>
        <v/>
      </c>
      <c r="MQ55" s="929" t="str">
        <f>IF(ISNUMBER(SEARCH($A55,VLOOKUP(MQ$2,职业列表!$B$1:$G$370,6,0))),"★","")</f>
        <v/>
      </c>
      <c r="MR55" s="929" t="str">
        <f>IF(ISNUMBER(SEARCH($A55,VLOOKUP(MR$2,职业列表!$B$1:$G$370,6,0))),"★","")</f>
        <v/>
      </c>
      <c r="MS55" s="929" t="str">
        <f>IF(ISNUMBER(SEARCH($A55,VLOOKUP(MS$2,职业列表!$B$1:$G$370,6,0))),"★","")</f>
        <v/>
      </c>
      <c r="MT55" s="929" t="str">
        <f>IF(ISNUMBER(SEARCH($A55,VLOOKUP(MT$2,职业列表!$B$1:$G$370,6,0))),"★","")</f>
        <v/>
      </c>
      <c r="MU55" s="929" t="str">
        <f>IF(ISNUMBER(SEARCH($A55,VLOOKUP(MU$2,职业列表!$B$1:$G$370,6,0))),"★","")</f>
        <v/>
      </c>
      <c r="MV55" s="929" t="str">
        <f>IF(ISNUMBER(SEARCH($A55,VLOOKUP(MV$2,职业列表!$B$1:$G$370,6,0))),"★","")</f>
        <v/>
      </c>
      <c r="MW55" s="929" t="str">
        <f>IF(ISNUMBER(SEARCH($A55,VLOOKUP(MW$2,职业列表!$B$1:$G$370,6,0))),"★","")</f>
        <v/>
      </c>
      <c r="MX55" s="929" t="str">
        <f>IF(ISNUMBER(SEARCH($A55,VLOOKUP(MX$2,职业列表!$B$1:$G$370,6,0))),"★","")</f>
        <v/>
      </c>
      <c r="MY55" s="929" t="str">
        <f>IF(ISNUMBER(SEARCH($A55,VLOOKUP(MY$2,职业列表!$B$1:$G$370,6,0))),"★","")</f>
        <v/>
      </c>
      <c r="MZ55" s="929" t="str">
        <f>IF(ISNUMBER(SEARCH($A55,VLOOKUP(MZ$2,职业列表!$B$1:$G$370,6,0))),"★","")</f>
        <v/>
      </c>
      <c r="NA55" s="929" t="str">
        <f>IF(ISNUMBER(SEARCH($A55,VLOOKUP(NA$2,职业列表!$B$1:$G$370,6,0))),"★","")</f>
        <v/>
      </c>
      <c r="NB55" s="929" t="str">
        <f>IF(ISNUMBER(SEARCH($A55,VLOOKUP(NB$2,职业列表!$B$1:$G$370,6,0))),"★","")</f>
        <v/>
      </c>
      <c r="NC55" s="929" t="str">
        <f>IF(ISNUMBER(SEARCH($A55,VLOOKUP(NC$2,职业列表!$B$1:$G$370,6,0))),"★","")</f>
        <v/>
      </c>
      <c r="ND55" s="929" t="str">
        <f>IF(ISNUMBER(SEARCH($A55,VLOOKUP(ND$2,职业列表!$B$1:$G$370,6,0))),"★","")</f>
        <v/>
      </c>
      <c r="NE55" s="929" t="str">
        <f>IF(ISNUMBER(SEARCH($A55,VLOOKUP(NE$2,职业列表!$B$1:$G$370,6,0))),"★","")</f>
        <v/>
      </c>
    </row>
    <row r="56" customFormat="1" spans="1:369">
      <c r="A56" s="932" t="s">
        <v>112</v>
      </c>
      <c r="B56" s="959" t="str">
        <f>IF(OR(A56="说服",A56="话术",A56="取悦",A56="恐吓"),"☯",IF(ISNUMBER(SEARCH(A56,VLOOKUP(IX$2,职业列表!$B$1:$G$370,6,0))),"★",""))</f>
        <v/>
      </c>
      <c r="C56" s="939" t="str">
        <f>IF(ISTEXT(IFERROR(VLOOKUP(A56,职业列表!I3:J10,1,FALSE),0)),"★","")</f>
        <v/>
      </c>
      <c r="D56" s="959"/>
      <c r="E56" s="959"/>
      <c r="F56" s="959"/>
      <c r="G56" s="959"/>
      <c r="H56" s="959"/>
      <c r="I56" s="959" t="s">
        <v>2745</v>
      </c>
      <c r="J56" s="959" t="s">
        <v>2746</v>
      </c>
      <c r="K56" s="959"/>
      <c r="L56" s="959"/>
      <c r="M56" s="960" t="s">
        <v>2716</v>
      </c>
      <c r="N56" s="959" t="s">
        <v>1177</v>
      </c>
      <c r="O56" s="959"/>
      <c r="P56" s="959"/>
      <c r="Q56" s="959"/>
      <c r="R56" s="959"/>
      <c r="S56" s="959"/>
      <c r="T56" s="959" t="s">
        <v>2745</v>
      </c>
      <c r="U56" s="959"/>
      <c r="V56" s="959"/>
      <c r="W56" s="959"/>
      <c r="X56" s="959"/>
      <c r="Y56" s="959"/>
      <c r="Z56" s="959" t="s">
        <v>1177</v>
      </c>
      <c r="AA56" s="959"/>
      <c r="AB56" s="959"/>
      <c r="AC56" s="959"/>
      <c r="AD56" s="959"/>
      <c r="AE56" s="959"/>
      <c r="AF56" s="959"/>
      <c r="AG56" s="959"/>
      <c r="AH56" s="959"/>
      <c r="AI56" s="959"/>
      <c r="AJ56" s="959"/>
      <c r="AK56" s="959"/>
      <c r="AL56" s="959"/>
      <c r="AM56" s="959"/>
      <c r="AN56" s="959"/>
      <c r="AO56" s="959"/>
      <c r="AP56" s="959"/>
      <c r="AQ56" s="959"/>
      <c r="AR56" s="959"/>
      <c r="AS56" s="959" t="s">
        <v>2745</v>
      </c>
      <c r="AT56" s="959" t="s">
        <v>2745</v>
      </c>
      <c r="AU56" s="959"/>
      <c r="AV56" s="959"/>
      <c r="AW56" s="959"/>
      <c r="AX56" s="959"/>
      <c r="AY56" s="959"/>
      <c r="AZ56" s="959"/>
      <c r="BA56" s="959" t="s">
        <v>2747</v>
      </c>
      <c r="BB56" s="959"/>
      <c r="BC56" s="959"/>
      <c r="BD56" s="959"/>
      <c r="BE56" s="959"/>
      <c r="BF56" s="959"/>
      <c r="BG56" s="959"/>
      <c r="BH56" s="959" t="s">
        <v>2745</v>
      </c>
      <c r="BI56" s="959"/>
      <c r="BJ56" s="959"/>
      <c r="BK56" s="959"/>
      <c r="BL56" s="959"/>
      <c r="BM56" s="959"/>
      <c r="BN56" s="959"/>
      <c r="BO56" s="959"/>
      <c r="BP56" s="959"/>
      <c r="BQ56" s="959"/>
      <c r="BR56" s="959" t="s">
        <v>1170</v>
      </c>
      <c r="BS56" s="971"/>
      <c r="BT56" s="959" t="s">
        <v>2748</v>
      </c>
      <c r="BU56" s="959" t="s">
        <v>2749</v>
      </c>
      <c r="BV56" s="959"/>
      <c r="BW56" s="959"/>
      <c r="BX56" s="959"/>
      <c r="BY56" s="959"/>
      <c r="BZ56" s="959"/>
      <c r="CA56" s="959"/>
      <c r="CB56" s="959"/>
      <c r="CC56" s="959"/>
      <c r="CD56" s="959" t="s">
        <v>2745</v>
      </c>
      <c r="CE56" s="960" t="s">
        <v>1180</v>
      </c>
      <c r="CF56" s="959"/>
      <c r="CG56" s="959"/>
      <c r="CH56" s="959" t="s">
        <v>1170</v>
      </c>
      <c r="CI56" s="959" t="s">
        <v>1170</v>
      </c>
      <c r="CJ56" s="959" t="s">
        <v>1170</v>
      </c>
      <c r="CK56" s="959" t="s">
        <v>2750</v>
      </c>
      <c r="CL56" s="959"/>
      <c r="CM56" s="959"/>
      <c r="CN56" s="959"/>
      <c r="CO56" s="959"/>
      <c r="CP56" s="959"/>
      <c r="CQ56" s="959" t="s">
        <v>2749</v>
      </c>
      <c r="CR56" s="959"/>
      <c r="CS56" s="959" t="s">
        <v>2745</v>
      </c>
      <c r="CT56" s="959"/>
      <c r="CU56" s="959"/>
      <c r="CV56" s="959"/>
      <c r="CW56" s="959"/>
      <c r="CX56" s="959"/>
      <c r="CY56" s="959" t="s">
        <v>74</v>
      </c>
      <c r="CZ56" s="959"/>
      <c r="DA56" s="959"/>
      <c r="DB56" s="959"/>
      <c r="DC56" s="959"/>
      <c r="DD56" s="959"/>
      <c r="DE56" s="959"/>
      <c r="DF56" s="959"/>
      <c r="DG56" s="959" t="s">
        <v>2745</v>
      </c>
      <c r="DH56" s="959"/>
      <c r="DI56" s="959"/>
      <c r="DJ56" s="959"/>
      <c r="DK56" s="959"/>
      <c r="DL56" s="959"/>
      <c r="DM56" s="959" t="s">
        <v>1187</v>
      </c>
      <c r="DN56" s="959"/>
      <c r="DO56" s="959"/>
      <c r="DP56" s="959"/>
      <c r="DQ56" s="959"/>
      <c r="DR56" s="959"/>
      <c r="DS56" s="959"/>
      <c r="DT56" s="959"/>
      <c r="DU56" s="959"/>
      <c r="DV56" s="959"/>
      <c r="DW56" s="959"/>
      <c r="DX56" s="959"/>
      <c r="DY56" s="959"/>
      <c r="DZ56" s="959"/>
      <c r="EA56" s="959"/>
      <c r="EB56" s="959"/>
      <c r="EC56" s="959"/>
      <c r="ED56" s="959"/>
      <c r="EE56" s="959"/>
      <c r="EF56" s="959" t="s">
        <v>2745</v>
      </c>
      <c r="EG56" s="959" t="s">
        <v>2745</v>
      </c>
      <c r="EH56" s="959" t="s">
        <v>2745</v>
      </c>
      <c r="EI56" s="959"/>
      <c r="EJ56" s="959"/>
      <c r="EK56" s="959"/>
      <c r="EL56" s="959" t="s">
        <v>1170</v>
      </c>
      <c r="EM56" s="959"/>
      <c r="EN56" s="959"/>
      <c r="EO56" s="959"/>
      <c r="EP56" s="959"/>
      <c r="EQ56" s="959"/>
      <c r="ER56" s="959"/>
      <c r="ES56" s="959"/>
      <c r="ET56" s="959"/>
      <c r="EU56" s="959"/>
      <c r="EV56" s="959"/>
      <c r="EW56" s="959"/>
      <c r="EX56" s="959"/>
      <c r="EY56" s="959"/>
      <c r="EZ56" s="959" t="s">
        <v>2745</v>
      </c>
      <c r="FA56" s="959" t="s">
        <v>1187</v>
      </c>
      <c r="FB56" s="959"/>
      <c r="FC56" s="959"/>
      <c r="FD56" s="959"/>
      <c r="FE56" s="959"/>
      <c r="FF56" s="959"/>
      <c r="FG56" s="959" t="s">
        <v>2750</v>
      </c>
      <c r="FH56" s="959"/>
      <c r="FI56" s="959" t="s">
        <v>2716</v>
      </c>
      <c r="FJ56" s="959"/>
      <c r="FK56" s="959" t="s">
        <v>2750</v>
      </c>
      <c r="FL56" s="959" t="s">
        <v>1170</v>
      </c>
      <c r="FM56" s="959"/>
      <c r="FN56" s="959"/>
      <c r="FO56" s="959"/>
      <c r="FP56" s="959" t="s">
        <v>2750</v>
      </c>
      <c r="FQ56" s="959"/>
      <c r="FR56" s="959"/>
      <c r="FS56" s="959"/>
      <c r="FT56" s="959" t="s">
        <v>2746</v>
      </c>
      <c r="FU56" s="959" t="s">
        <v>1170</v>
      </c>
      <c r="FV56" s="959" t="s">
        <v>1187</v>
      </c>
      <c r="FW56" s="959" t="s">
        <v>1170</v>
      </c>
      <c r="FX56" s="959"/>
      <c r="FY56" s="959"/>
      <c r="FZ56" s="959"/>
      <c r="GA56" s="959"/>
      <c r="GB56" s="959"/>
      <c r="GC56" s="959"/>
      <c r="GD56" s="959"/>
      <c r="GE56" s="959"/>
      <c r="GF56" s="959"/>
      <c r="GG56" s="959"/>
      <c r="GH56" s="959"/>
      <c r="GI56" s="959"/>
      <c r="GJ56" s="959"/>
      <c r="GK56" s="959"/>
      <c r="GL56" s="959"/>
      <c r="GM56" s="959"/>
      <c r="GN56" s="959"/>
      <c r="GO56" s="959"/>
      <c r="GP56" s="959" t="s">
        <v>2751</v>
      </c>
      <c r="GQ56" s="959"/>
      <c r="GR56" s="959"/>
      <c r="GS56" s="959" t="s">
        <v>2745</v>
      </c>
      <c r="GT56" s="959"/>
      <c r="GU56" s="959"/>
      <c r="GV56" s="959"/>
      <c r="GW56" s="959"/>
      <c r="GX56" s="959"/>
      <c r="GY56" s="959"/>
      <c r="GZ56" s="959"/>
      <c r="HA56" s="959"/>
      <c r="HB56" s="959"/>
      <c r="HC56" s="959"/>
      <c r="HD56" s="959"/>
      <c r="HE56" s="959"/>
      <c r="HF56" s="960" t="s">
        <v>1170</v>
      </c>
      <c r="HG56" s="959"/>
      <c r="HH56" s="959"/>
      <c r="HI56" s="959"/>
      <c r="HJ56" s="959"/>
      <c r="HK56" s="959"/>
      <c r="HL56" s="959" t="s">
        <v>2745</v>
      </c>
      <c r="HM56" s="959"/>
      <c r="HN56" s="959"/>
      <c r="HO56" s="959"/>
      <c r="HP56" s="959"/>
      <c r="HQ56" s="960" t="s">
        <v>2745</v>
      </c>
      <c r="HR56" s="959"/>
      <c r="HS56" s="959"/>
      <c r="HT56" s="959"/>
      <c r="HU56" s="959"/>
      <c r="HV56" s="959"/>
      <c r="HW56" s="959"/>
      <c r="HX56" s="1004"/>
      <c r="HY56" s="1033" t="s">
        <v>1177</v>
      </c>
      <c r="HZ56" s="1033"/>
      <c r="IA56" s="1033"/>
      <c r="IB56" s="939" t="s">
        <v>2751</v>
      </c>
      <c r="IC56" s="1034"/>
      <c r="ID56" s="1034"/>
      <c r="IE56" s="1033"/>
      <c r="IF56" s="1035" t="s">
        <v>2745</v>
      </c>
      <c r="IG56" s="1033"/>
      <c r="IH56" s="1035" t="s">
        <v>1170</v>
      </c>
      <c r="II56" s="1035" t="s">
        <v>2745</v>
      </c>
      <c r="IJ56" s="1033"/>
      <c r="IK56" s="1035" t="s">
        <v>1177</v>
      </c>
      <c r="IL56" s="1033"/>
      <c r="IM56" s="1035" t="s">
        <v>2745</v>
      </c>
      <c r="IN56" s="1033"/>
      <c r="IO56" s="1033"/>
      <c r="IP56" s="1034"/>
      <c r="IQ56" s="1043" t="s">
        <v>2750</v>
      </c>
      <c r="IR56" s="1035" t="s">
        <v>1170</v>
      </c>
      <c r="IS56" s="1033"/>
      <c r="IT56" s="1033"/>
      <c r="IU56" s="1035" t="s">
        <v>1170</v>
      </c>
      <c r="IV56" s="1035" t="s">
        <v>1170</v>
      </c>
      <c r="IW56" s="1057" t="s">
        <v>2745</v>
      </c>
      <c r="IX56" s="929" t="str">
        <f>IF(ISNUMBER(SEARCH($A56,VLOOKUP(IX$2,职业列表!$B$1:$G$370,6,0))),"★","")</f>
        <v/>
      </c>
      <c r="IY56" s="929" t="str">
        <f>IF(ISNUMBER(SEARCH($A56,VLOOKUP(IY$2,职业列表!$B$1:$G$370,6,0))),"★","")</f>
        <v/>
      </c>
      <c r="IZ56" s="929" t="str">
        <f>IF(ISNUMBER(SEARCH($A56,VLOOKUP(IZ$2,职业列表!$B$1:$G$370,6,0))),"★","")</f>
        <v/>
      </c>
      <c r="JA56" s="929" t="str">
        <f>IF(ISNUMBER(SEARCH($A56,VLOOKUP(JA$2,职业列表!$B$1:$G$370,6,0))),"★","")</f>
        <v>★</v>
      </c>
      <c r="JB56" s="929" t="str">
        <f>IF(ISNUMBER(SEARCH($A56,VLOOKUP(JB$2,职业列表!$B$1:$G$370,6,0))),"★","")</f>
        <v/>
      </c>
      <c r="JC56" s="929" t="str">
        <f>IF(ISNUMBER(SEARCH($A56,VLOOKUP(JC$2,职业列表!$B$1:$G$370,6,0))),"★","")</f>
        <v>★</v>
      </c>
      <c r="JD56" s="929" t="str">
        <f>IF(ISNUMBER(SEARCH($A56,VLOOKUP(JD$2,职业列表!$B$1:$G$370,6,0))),"★","")</f>
        <v/>
      </c>
      <c r="JE56" s="929" t="str">
        <f>IF(ISNUMBER(SEARCH($A56,VLOOKUP(JE$2,职业列表!$B$1:$G$370,6,0))),"★","")</f>
        <v>★</v>
      </c>
      <c r="JF56" s="929" t="str">
        <f>IF(ISNUMBER(SEARCH($A56,VLOOKUP(JF$2,职业列表!$B$1:$G$370,6,0))),"★","")</f>
        <v/>
      </c>
      <c r="JG56" s="929" t="str">
        <f>IF(ISNUMBER(SEARCH($A56,VLOOKUP(JG$2,职业列表!$B$1:$G$370,6,0))),"★","")</f>
        <v>★</v>
      </c>
      <c r="JH56" s="929" t="str">
        <f>IF(ISNUMBER(SEARCH($A56,VLOOKUP(JH$2,职业列表!$B$1:$G$370,6,0))),"★","")</f>
        <v>★</v>
      </c>
      <c r="JI56" s="929" t="str">
        <f>IF(ISNUMBER(SEARCH($A56,VLOOKUP(JI$2,职业列表!$B$1:$G$370,6,0))),"★","")</f>
        <v>★</v>
      </c>
      <c r="JJ56" s="929" t="str">
        <f>IF(ISNUMBER(SEARCH($A56,VLOOKUP(JJ$2,职业列表!$B$1:$G$370,6,0))),"★","")</f>
        <v>★</v>
      </c>
      <c r="JK56" s="929" t="str">
        <f>IF(ISNUMBER(SEARCH($A56,VLOOKUP(JK$2,职业列表!$B$1:$G$370,6,0))),"★","")</f>
        <v/>
      </c>
      <c r="JL56" s="929" t="s">
        <v>74</v>
      </c>
      <c r="JM56" s="929" t="str">
        <f>IF(ISNUMBER(SEARCH($A56,VLOOKUP(JM$2,职业列表!$B$1:$G$370,6,0))),"★","")</f>
        <v>★</v>
      </c>
      <c r="JN56" s="929" t="str">
        <f>IF(ISNUMBER(SEARCH($A56,VLOOKUP(JN$2,职业列表!$B$1:$G$370,6,0))),"★","")</f>
        <v>★</v>
      </c>
      <c r="JO56" s="929" t="str">
        <f>IF(ISNUMBER(SEARCH($A56,VLOOKUP(JO$2,职业列表!$B$1:$G$370,6,0))),"★","")</f>
        <v>★</v>
      </c>
      <c r="JP56" s="929" t="str">
        <f>IF(ISNUMBER(SEARCH($A56,VLOOKUP(JP$2,职业列表!$B$1:$G$370,6,0))),"★","")</f>
        <v>★</v>
      </c>
      <c r="JQ56" s="929" t="str">
        <f>IF(ISNUMBER(SEARCH($A56,VLOOKUP(JQ$2,职业列表!$B$1:$G$370,6,0))),"★","")</f>
        <v/>
      </c>
      <c r="JR56" s="929" t="str">
        <f>IF(ISNUMBER(SEARCH($A56,VLOOKUP(JR$2,职业列表!$B$1:$G$370,6,0))),"★","")</f>
        <v/>
      </c>
      <c r="JS56" s="929" t="str">
        <f>IF(ISNUMBER(SEARCH($A56,VLOOKUP(JS$2,职业列表!$B$1:$G$370,6,0))),"★","")</f>
        <v>★</v>
      </c>
      <c r="JT56" s="929" t="str">
        <f>IF(ISNUMBER(SEARCH($A56,VLOOKUP(JT$2,职业列表!$B$1:$G$370,6,0))),"★","")</f>
        <v/>
      </c>
      <c r="JU56" s="929" t="str">
        <f>IF(ISNUMBER(SEARCH($A56,VLOOKUP(JU$2,职业列表!$B$1:$G$370,6,0))),"★","")</f>
        <v/>
      </c>
      <c r="JV56" s="929" t="str">
        <f>IF(ISNUMBER(SEARCH($A56,VLOOKUP(JV$2,职业列表!$B$1:$G$370,6,0))),"★","")</f>
        <v>★</v>
      </c>
      <c r="JW56" s="929" t="str">
        <f>IF(ISNUMBER(SEARCH($A56,VLOOKUP(JW$2,职业列表!$B$1:$G$370,6,0))),"★","")</f>
        <v>★</v>
      </c>
      <c r="JX56" s="929" t="s">
        <v>1177</v>
      </c>
      <c r="JY56" s="929" t="str">
        <f>IF(ISNUMBER(SEARCH($A56,VLOOKUP(JY$2,职业列表!$B$1:$G$370,6,0))),"★","")</f>
        <v/>
      </c>
      <c r="JZ56" s="929" t="s">
        <v>2745</v>
      </c>
      <c r="KA56" s="929" t="str">
        <f>IF(ISNUMBER(SEARCH($A56,VLOOKUP(KA$2,职业列表!$B$1:$G$370,6,0))),"★","")</f>
        <v>★</v>
      </c>
      <c r="KB56" s="929" t="str">
        <f>IF(ISNUMBER(SEARCH($A56,VLOOKUP(KB$2,职业列表!$B$1:$G$370,6,0))),"★","")</f>
        <v/>
      </c>
      <c r="KC56" s="929" t="str">
        <f>IF(ISNUMBER(SEARCH($A56,VLOOKUP(KC$2,职业列表!$B$1:$G$370,6,0))),"★","")</f>
        <v/>
      </c>
      <c r="KD56" s="929" t="str">
        <f>IF(ISNUMBER(SEARCH($A56,VLOOKUP(KD$2,职业列表!$B$1:$G$370,6,0))),"★","")</f>
        <v/>
      </c>
      <c r="KE56" s="929" t="str">
        <f>IF(ISNUMBER(SEARCH($A56,VLOOKUP(KE$2,职业列表!$B$1:$G$370,6,0))),"★","")</f>
        <v/>
      </c>
      <c r="KF56" s="929" t="str">
        <f>IF(ISNUMBER(SEARCH($A56,VLOOKUP(KF$2,职业列表!$B$1:$G$370,6,0))),"★","")</f>
        <v>★</v>
      </c>
      <c r="KG56" s="929" t="str">
        <f>IF(ISNUMBER(SEARCH($A56,VLOOKUP(KG$2,职业列表!$B$1:$G$370,6,0))),"★","")</f>
        <v/>
      </c>
      <c r="KH56" s="929" t="str">
        <f>IF(ISNUMBER(SEARCH($A56,VLOOKUP(KH$2,职业列表!$B$1:$G$370,6,0))),"★","")</f>
        <v/>
      </c>
      <c r="KI56" s="929" t="str">
        <f>IF(ISNUMBER(SEARCH($A56,VLOOKUP(KI$2,职业列表!$B$1:$G$370,6,0))),"★","")</f>
        <v>★</v>
      </c>
      <c r="KJ56" s="929" t="str">
        <f>IF(ISNUMBER(SEARCH($A56,VLOOKUP(KJ$2,职业列表!$B$1:$G$370,6,0))),"★","")</f>
        <v>★</v>
      </c>
      <c r="KK56" s="929" t="s">
        <v>1170</v>
      </c>
      <c r="KL56" s="929" t="s">
        <v>1177</v>
      </c>
      <c r="KM56" s="929" t="str">
        <f>IF(ISNUMBER(SEARCH($A56,VLOOKUP(KM$2,职业列表!$B$1:$G$370,6,0))),"★","")</f>
        <v>★</v>
      </c>
      <c r="KN56" s="929" t="str">
        <f>IF(ISNUMBER(SEARCH($A56,VLOOKUP(KN$2,职业列表!$B$1:$G$370,6,0))),"★","")</f>
        <v>★</v>
      </c>
      <c r="KO56" s="929" t="str">
        <f>IF(ISNUMBER(SEARCH($A56,VLOOKUP(KO$2,职业列表!$B$1:$G$370,6,0))),"★","")</f>
        <v/>
      </c>
      <c r="KP56" s="929" t="str">
        <f>IF(ISNUMBER(SEARCH($A56,VLOOKUP(KP$2,职业列表!$B$1:$G$370,6,0))),"★","")</f>
        <v>★</v>
      </c>
      <c r="KQ56" s="929" t="str">
        <f>IF(ISNUMBER(SEARCH($A56,VLOOKUP(KQ$2,职业列表!$B$1:$G$370,6,0))),"★","")</f>
        <v>★</v>
      </c>
      <c r="KR56" s="929" t="str">
        <f>IF(ISNUMBER(SEARCH($A56,VLOOKUP(KR$2,职业列表!$B$1:$G$370,6,0))),"★","")</f>
        <v>★</v>
      </c>
      <c r="KS56" s="929" t="str">
        <f>IF(ISNUMBER(SEARCH($A56,VLOOKUP(KS$2,职业列表!$B$1:$G$370,6,0))),"★","")</f>
        <v>★</v>
      </c>
      <c r="KT56" s="929" t="str">
        <f>IF(ISNUMBER(SEARCH($A56,VLOOKUP(KT$2,职业列表!$B$1:$G$370,6,0))),"★","")</f>
        <v/>
      </c>
      <c r="KU56" s="929" t="str">
        <f>IF(ISNUMBER(SEARCH($A56,VLOOKUP(KU$2,职业列表!$B$1:$G$370,6,0))),"★","")</f>
        <v/>
      </c>
      <c r="KV56" s="929" t="str">
        <f>IF(ISNUMBER(SEARCH($A56,VLOOKUP(KV$2,职业列表!$B$1:$G$370,6,0))),"★","")</f>
        <v/>
      </c>
      <c r="KW56" s="929" t="str">
        <f>IF(ISNUMBER(SEARCH($A56,VLOOKUP(KW$2,职业列表!$B$1:$G$370,6,0))),"★","")</f>
        <v>★</v>
      </c>
      <c r="KX56" s="929" t="str">
        <f>IF(ISNUMBER(SEARCH($A56,VLOOKUP(KX$2,职业列表!$B$1:$G$370,6,0))),"★","")</f>
        <v>★</v>
      </c>
      <c r="KY56" s="929" t="str">
        <f>IF(ISNUMBER(SEARCH($A56,VLOOKUP(KY$2,职业列表!$B$1:$G$370,6,0))),"★","")</f>
        <v>★</v>
      </c>
      <c r="KZ56" s="929" t="str">
        <f>IF(ISNUMBER(SEARCH($A56,VLOOKUP(KZ$2,职业列表!$B$1:$G$370,6,0))),"★","")</f>
        <v>★</v>
      </c>
      <c r="LA56" s="929" t="str">
        <f>IF(ISNUMBER(SEARCH($A56,VLOOKUP(LA$2,职业列表!$B$1:$G$370,6,0))),"★","")</f>
        <v/>
      </c>
      <c r="LB56" s="929" t="str">
        <f>IF(ISNUMBER(SEARCH($A56,VLOOKUP(LB$2,职业列表!$B$1:$G$370,6,0))),"★","")</f>
        <v/>
      </c>
      <c r="LC56" s="929" t="str">
        <f>IF(ISNUMBER(SEARCH($A56,VLOOKUP(LC$2,职业列表!$B$1:$G$370,6,0))),"★","")</f>
        <v/>
      </c>
      <c r="LD56" s="929" t="str">
        <f>IF(ISNUMBER(SEARCH($A56,VLOOKUP(LD$2,职业列表!$B$1:$G$370,6,0))),"★","")</f>
        <v/>
      </c>
      <c r="LE56" s="929" t="str">
        <f>IF(ISNUMBER(SEARCH($A56,VLOOKUP(LE$2,职业列表!$B$1:$G$370,6,0))),"★","")</f>
        <v/>
      </c>
      <c r="LF56" s="929" t="str">
        <f>IF(ISNUMBER(SEARCH($A56,VLOOKUP(LF$2,职业列表!$B$1:$G$370,6,0))),"★","")</f>
        <v/>
      </c>
      <c r="LG56" s="929" t="str">
        <f>IF(ISNUMBER(SEARCH($A56,VLOOKUP(LG$2,职业列表!$B$1:$G$370,6,0))),"★","")</f>
        <v/>
      </c>
      <c r="LH56" s="929" t="str">
        <f>IF(ISNUMBER(SEARCH($A56,VLOOKUP(LH$2,职业列表!$B$1:$G$370,6,0))),"★","")</f>
        <v/>
      </c>
      <c r="LI56" s="929" t="str">
        <f>IF(ISNUMBER(SEARCH($A56,VLOOKUP(LI$2,职业列表!$B$1:$G$370,6,0))),"★","")</f>
        <v/>
      </c>
      <c r="LJ56" s="929" t="str">
        <f>IF(ISNUMBER(SEARCH($A56,VLOOKUP(LJ$2,职业列表!$B$1:$G$370,6,0))),"★","")</f>
        <v>★</v>
      </c>
      <c r="LK56" s="929" t="str">
        <f>IF(ISNUMBER(SEARCH($A56,VLOOKUP(LK$2,职业列表!$B$1:$G$370,6,0))),"★","")</f>
        <v/>
      </c>
      <c r="LL56" s="929" t="str">
        <f>IF(ISNUMBER(SEARCH($A56,VLOOKUP(LL$2,职业列表!$B$1:$G$370,6,0))),"★","")</f>
        <v/>
      </c>
      <c r="LM56" s="929" t="str">
        <f>IF(ISNUMBER(SEARCH($A56,VLOOKUP(LM$2,职业列表!$B$1:$G$370,6,0))),"★","")</f>
        <v/>
      </c>
      <c r="LN56" s="929" t="str">
        <f>IF(ISNUMBER(SEARCH($A56,VLOOKUP(LN$2,职业列表!$B$1:$G$370,6,0))),"★","")</f>
        <v/>
      </c>
      <c r="LO56" s="929" t="str">
        <f>IF(ISNUMBER(SEARCH($A56,VLOOKUP(LO$2,职业列表!$B$1:$G$370,6,0))),"★","")</f>
        <v>★</v>
      </c>
      <c r="LP56" s="929" t="str">
        <f>IF(ISNUMBER(SEARCH($A56,VLOOKUP(LP$2,职业列表!$B$1:$G$370,6,0))),"★","")</f>
        <v/>
      </c>
      <c r="LQ56" s="929" t="str">
        <f>IF(ISNUMBER(SEARCH($A56,VLOOKUP(LQ$2,职业列表!$B$1:$G$370,6,0))),"★","")</f>
        <v>★</v>
      </c>
      <c r="LR56" s="929" t="str">
        <f>IF(ISNUMBER(SEARCH($A56,VLOOKUP(LR$2,职业列表!$B$1:$G$370,6,0))),"★","")</f>
        <v/>
      </c>
      <c r="LS56" s="929" t="str">
        <f>IF(ISNUMBER(SEARCH($A56,VLOOKUP(LS$2,职业列表!$B$1:$G$370,6,0))),"★","")</f>
        <v>★</v>
      </c>
      <c r="LT56" s="929" t="str">
        <f>IF(ISNUMBER(SEARCH($A56,VLOOKUP(LT$2,职业列表!$B$1:$G$370,6,0))),"★","")</f>
        <v>★</v>
      </c>
      <c r="LU56" s="929" t="str">
        <f>IF(ISNUMBER(SEARCH($A56,VLOOKUP(LU$2,职业列表!$B$1:$G$370,6,0))),"★","")</f>
        <v>★</v>
      </c>
      <c r="LV56" s="929" t="str">
        <f>IF(ISNUMBER(SEARCH($A56,VLOOKUP(LV$2,职业列表!$B$1:$G$370,6,0))),"★","")</f>
        <v/>
      </c>
      <c r="LW56" s="929" t="str">
        <f>IF(ISNUMBER(SEARCH($A56,VLOOKUP(LW$2,职业列表!$B$1:$G$370,6,0))),"★","")</f>
        <v>★</v>
      </c>
      <c r="LX56" s="929" t="str">
        <f>IF(ISNUMBER(SEARCH($A56,VLOOKUP(LX$2,职业列表!$B$1:$G$370,6,0))),"★","")</f>
        <v/>
      </c>
      <c r="LY56" s="929" t="str">
        <f>IF(ISNUMBER(SEARCH($A56,VLOOKUP(LY$2,职业列表!$B$1:$G$370,6,0))),"★","")</f>
        <v/>
      </c>
      <c r="LZ56" s="929" t="str">
        <f>IF(ISNUMBER(SEARCH($A56,VLOOKUP(LZ$2,职业列表!$B$1:$G$370,6,0))),"★","")</f>
        <v/>
      </c>
      <c r="MA56" s="929" t="str">
        <f>IF(ISNUMBER(SEARCH($A56,VLOOKUP(MA$2,职业列表!$B$1:$G$370,6,0))),"★","")</f>
        <v/>
      </c>
      <c r="MB56" s="929" t="str">
        <f>IF(ISNUMBER(SEARCH($A56,VLOOKUP(MB$2,职业列表!$B$1:$G$370,6,0))),"★","")</f>
        <v/>
      </c>
      <c r="MC56" s="929" t="str">
        <f>IF(ISNUMBER(SEARCH($A56,VLOOKUP(MC$2,职业列表!$B$1:$G$370,6,0))),"★","")</f>
        <v/>
      </c>
      <c r="MD56" s="929" t="str">
        <f>IF(ISNUMBER(SEARCH($A56,VLOOKUP(MD$2,职业列表!$B$1:$G$370,6,0))),"★","")</f>
        <v/>
      </c>
      <c r="ME56" s="929" t="str">
        <f>IF(ISNUMBER(SEARCH($A56,VLOOKUP(ME$2,职业列表!$B$1:$G$370,6,0))),"★","")</f>
        <v/>
      </c>
      <c r="MF56" s="929" t="str">
        <f>IF(ISNUMBER(SEARCH($A56,VLOOKUP(MF$2,职业列表!$B$1:$G$370,6,0))),"★","")</f>
        <v/>
      </c>
      <c r="MG56" s="929" t="str">
        <f>IF(ISNUMBER(SEARCH($A56,VLOOKUP(MG$2,职业列表!$B$1:$G$370,6,0))),"★","")</f>
        <v/>
      </c>
      <c r="MH56" s="929" t="str">
        <f>IF(ISNUMBER(SEARCH($A56,VLOOKUP(MH$2,职业列表!$B$1:$G$370,6,0))),"★","")</f>
        <v/>
      </c>
      <c r="MI56" s="929" t="str">
        <f>IF(ISNUMBER(SEARCH($A56,VLOOKUP(MI$2,职业列表!$B$1:$G$370,6,0))),"★","")</f>
        <v/>
      </c>
      <c r="MJ56" s="929" t="str">
        <f>IF(ISNUMBER(SEARCH($A56,VLOOKUP(MJ$2,职业列表!$B$1:$G$370,6,0))),"★","")</f>
        <v/>
      </c>
      <c r="MK56" s="929" t="str">
        <f>IF(ISNUMBER(SEARCH($A56,VLOOKUP(MK$2,职业列表!$B$1:$G$370,6,0))),"★","")</f>
        <v/>
      </c>
      <c r="ML56" s="929" t="str">
        <f>IF(ISNUMBER(SEARCH($A56,VLOOKUP(ML$2,职业列表!$B$1:$G$370,6,0))),"★","")</f>
        <v/>
      </c>
      <c r="MM56" s="929" t="str">
        <f>IF(ISNUMBER(SEARCH($A56,VLOOKUP(MM$2,职业列表!$B$1:$G$370,6,0))),"★","")</f>
        <v/>
      </c>
      <c r="MN56" s="929" t="str">
        <f>IF(ISNUMBER(SEARCH($A56,VLOOKUP(MN$2,职业列表!$B$1:$G$370,6,0))),"★","")</f>
        <v/>
      </c>
      <c r="MO56" s="929" t="str">
        <f>IF(ISNUMBER(SEARCH($A56,VLOOKUP(MO$2,职业列表!$B$1:$G$370,6,0))),"★","")</f>
        <v>★</v>
      </c>
      <c r="MP56" s="929" t="s">
        <v>1170</v>
      </c>
      <c r="MQ56" s="929" t="str">
        <f>IF(ISNUMBER(SEARCH($A56,VLOOKUP(MQ$2,职业列表!$B$1:$G$370,6,0))),"★","")</f>
        <v/>
      </c>
      <c r="MR56" s="929" t="str">
        <f>IF(ISNUMBER(SEARCH($A56,VLOOKUP(MR$2,职业列表!$B$1:$G$370,6,0))),"★","")</f>
        <v/>
      </c>
      <c r="MS56" s="929" t="str">
        <f>IF(ISNUMBER(SEARCH($A56,VLOOKUP(MS$2,职业列表!$B$1:$G$370,6,0))),"★","")</f>
        <v>★</v>
      </c>
      <c r="MT56" s="929" t="str">
        <f>IF(ISNUMBER(SEARCH($A56,VLOOKUP(MT$2,职业列表!$B$1:$G$370,6,0))),"★","")</f>
        <v/>
      </c>
      <c r="MU56" s="929" t="str">
        <f>IF(ISNUMBER(SEARCH($A56,VLOOKUP(MU$2,职业列表!$B$1:$G$370,6,0))),"★","")</f>
        <v>★</v>
      </c>
      <c r="MV56" s="929" t="str">
        <f>IF(ISNUMBER(SEARCH($A56,VLOOKUP(MV$2,职业列表!$B$1:$G$370,6,0))),"★","")</f>
        <v/>
      </c>
      <c r="MW56" s="929" t="str">
        <f>IF(ISNUMBER(SEARCH($A56,VLOOKUP(MW$2,职业列表!$B$1:$G$370,6,0))),"★","")</f>
        <v/>
      </c>
      <c r="MX56" s="929" t="str">
        <f>IF(ISNUMBER(SEARCH($A56,VLOOKUP(MX$2,职业列表!$B$1:$G$370,6,0))),"★","")</f>
        <v/>
      </c>
      <c r="MY56" s="929" t="str">
        <f>IF(ISNUMBER(SEARCH($A56,VLOOKUP(MY$2,职业列表!$B$1:$G$370,6,0))),"★","")</f>
        <v/>
      </c>
      <c r="MZ56" s="929" t="str">
        <f>IF(ISNUMBER(SEARCH($A56,VLOOKUP(MZ$2,职业列表!$B$1:$G$370,6,0))),"★","")</f>
        <v/>
      </c>
      <c r="NA56" s="929" t="str">
        <f>IF(ISNUMBER(SEARCH($A56,VLOOKUP(NA$2,职业列表!$B$1:$G$370,6,0))),"★","")</f>
        <v>★</v>
      </c>
      <c r="NB56" s="929" t="str">
        <f>IF(ISNUMBER(SEARCH($A56,VLOOKUP(NB$2,职业列表!$B$1:$G$370,6,0))),"★","")</f>
        <v/>
      </c>
      <c r="NC56" s="929" t="s">
        <v>1177</v>
      </c>
      <c r="ND56" s="929" t="s">
        <v>1177</v>
      </c>
      <c r="NE56" s="929" t="str">
        <f>IF(ISNUMBER(SEARCH($A56,VLOOKUP(NE$2,职业列表!$B$1:$G$370,6,0))),"★","")</f>
        <v/>
      </c>
    </row>
    <row r="57" customFormat="1" spans="1:369">
      <c r="A57" s="932" t="s">
        <v>115</v>
      </c>
      <c r="B57" s="939" t="str">
        <f>IF(OR(A57="说服",A57="话术",A57="取悦",A57="恐吓"),"☯",IF(ISNUMBER(SEARCH(A57,VLOOKUP(IX$2,职业列表!$B$1:$G$370,6,0))),"★",""))</f>
        <v/>
      </c>
      <c r="C57" s="939" t="str">
        <f>IF(ISTEXT(IFERROR(VLOOKUP(A57,职业列表!I3:J10,1,FALSE),0)),"★","")</f>
        <v/>
      </c>
      <c r="D57" s="954"/>
      <c r="E57" s="954"/>
      <c r="F57" s="954"/>
      <c r="G57" s="954"/>
      <c r="H57" s="954"/>
      <c r="I57" s="954" t="s">
        <v>1170</v>
      </c>
      <c r="J57" s="954"/>
      <c r="K57" s="954"/>
      <c r="L57" s="954"/>
      <c r="M57" s="954"/>
      <c r="N57" s="954"/>
      <c r="O57" s="954"/>
      <c r="P57" s="954"/>
      <c r="Q57" s="954"/>
      <c r="R57" s="954"/>
      <c r="S57" s="954"/>
      <c r="T57" s="954" t="s">
        <v>2752</v>
      </c>
      <c r="U57" s="954"/>
      <c r="V57" s="954"/>
      <c r="W57" s="954"/>
      <c r="X57" s="954"/>
      <c r="Y57" s="954"/>
      <c r="Z57" s="954"/>
      <c r="AA57" s="954"/>
      <c r="AB57" s="954"/>
      <c r="AC57" s="954"/>
      <c r="AD57" s="954"/>
      <c r="AE57" s="954"/>
      <c r="AF57" s="954"/>
      <c r="AG57" s="954"/>
      <c r="AH57" s="954"/>
      <c r="AI57" s="954"/>
      <c r="AJ57" s="954"/>
      <c r="AK57" s="954"/>
      <c r="AL57" s="954"/>
      <c r="AM57" s="954"/>
      <c r="AN57" s="954"/>
      <c r="AO57" s="954"/>
      <c r="AP57" s="954"/>
      <c r="AQ57" s="954"/>
      <c r="AR57" s="954"/>
      <c r="AS57" s="954"/>
      <c r="AT57" s="954" t="s">
        <v>1187</v>
      </c>
      <c r="AU57" s="954"/>
      <c r="AV57" s="954"/>
      <c r="AW57" s="954"/>
      <c r="AX57" s="954"/>
      <c r="AY57" s="954"/>
      <c r="AZ57" s="954"/>
      <c r="BA57" s="954" t="s">
        <v>2751</v>
      </c>
      <c r="BB57" s="954"/>
      <c r="BC57" s="954"/>
      <c r="BD57" s="954"/>
      <c r="BE57" s="954"/>
      <c r="BF57" s="954"/>
      <c r="BG57" s="954"/>
      <c r="BH57" s="954" t="s">
        <v>2753</v>
      </c>
      <c r="BI57" s="954"/>
      <c r="BJ57" s="954"/>
      <c r="BK57" s="954"/>
      <c r="BL57" s="954"/>
      <c r="BM57" s="954"/>
      <c r="BN57" s="954"/>
      <c r="BO57" s="954"/>
      <c r="BP57" s="954"/>
      <c r="BQ57" s="954"/>
      <c r="BR57" s="939" t="s">
        <v>74</v>
      </c>
      <c r="BS57" s="954"/>
      <c r="BT57" s="962" t="s">
        <v>2754</v>
      </c>
      <c r="BU57" s="954"/>
      <c r="BV57" s="954"/>
      <c r="BW57" s="954"/>
      <c r="BX57" s="954"/>
      <c r="BY57" s="954"/>
      <c r="BZ57" s="954"/>
      <c r="CA57" s="954"/>
      <c r="CB57" s="954"/>
      <c r="CC57" s="954"/>
      <c r="CD57" s="954" t="s">
        <v>1170</v>
      </c>
      <c r="CE57" s="954"/>
      <c r="CF57" s="954"/>
      <c r="CG57" s="954"/>
      <c r="CH57" s="954" t="s">
        <v>2755</v>
      </c>
      <c r="CI57" s="954"/>
      <c r="CJ57" s="954"/>
      <c r="CK57" s="954"/>
      <c r="CL57" s="954"/>
      <c r="CM57" s="954"/>
      <c r="CN57" s="954"/>
      <c r="CO57" s="954"/>
      <c r="CP57" s="954"/>
      <c r="CQ57" s="954"/>
      <c r="CR57" s="954"/>
      <c r="CS57" s="954" t="s">
        <v>1170</v>
      </c>
      <c r="CT57" s="954"/>
      <c r="CU57" s="954"/>
      <c r="CV57" s="954"/>
      <c r="CW57" s="954"/>
      <c r="CX57" s="954"/>
      <c r="CY57" s="939" t="s">
        <v>74</v>
      </c>
      <c r="CZ57" s="954"/>
      <c r="DA57" s="954"/>
      <c r="DB57" s="954"/>
      <c r="DC57" s="954"/>
      <c r="DD57" s="954"/>
      <c r="DE57" s="954"/>
      <c r="DF57" s="954"/>
      <c r="DG57" s="954" t="s">
        <v>1170</v>
      </c>
      <c r="DH57" s="954"/>
      <c r="DI57" s="954"/>
      <c r="DJ57" s="954"/>
      <c r="DK57" s="954"/>
      <c r="DL57" s="954"/>
      <c r="DM57" s="954" t="s">
        <v>2746</v>
      </c>
      <c r="DN57" s="939"/>
      <c r="DO57" s="939"/>
      <c r="DP57" s="939"/>
      <c r="DQ57" s="939"/>
      <c r="DR57" s="939"/>
      <c r="DS57" s="939"/>
      <c r="DT57" s="939"/>
      <c r="DU57" s="939"/>
      <c r="DV57" s="939"/>
      <c r="DW57" s="939"/>
      <c r="DX57" s="939"/>
      <c r="DY57" s="939"/>
      <c r="DZ57" s="939"/>
      <c r="EA57" s="939"/>
      <c r="EB57" s="939"/>
      <c r="EC57" s="939"/>
      <c r="ED57" s="939"/>
      <c r="EE57" s="939"/>
      <c r="EF57" s="939" t="s">
        <v>1187</v>
      </c>
      <c r="EG57" s="939" t="s">
        <v>1187</v>
      </c>
      <c r="EH57" s="939" t="s">
        <v>1187</v>
      </c>
      <c r="EI57" s="939"/>
      <c r="EJ57" s="939"/>
      <c r="EK57" s="939"/>
      <c r="EL57" s="939" t="s">
        <v>2753</v>
      </c>
      <c r="EM57" s="939"/>
      <c r="EN57" s="939"/>
      <c r="EO57" s="939"/>
      <c r="EP57" s="939"/>
      <c r="EQ57" s="939"/>
      <c r="ER57" s="939"/>
      <c r="ES57" s="939"/>
      <c r="ET57" s="939"/>
      <c r="EU57" s="939"/>
      <c r="EV57" s="939"/>
      <c r="EW57" s="939"/>
      <c r="EX57" s="939"/>
      <c r="EY57" s="939"/>
      <c r="EZ57" s="939" t="s">
        <v>1170</v>
      </c>
      <c r="FA57" s="939"/>
      <c r="FB57" s="939"/>
      <c r="FC57" s="939"/>
      <c r="FD57" s="939"/>
      <c r="FE57" s="939"/>
      <c r="FF57" s="939"/>
      <c r="FG57" s="939" t="s">
        <v>2749</v>
      </c>
      <c r="FH57" s="939"/>
      <c r="FI57" s="939"/>
      <c r="FJ57" s="939"/>
      <c r="FK57" s="939"/>
      <c r="FL57" s="939"/>
      <c r="FM57" s="939"/>
      <c r="FN57" s="939"/>
      <c r="FO57" s="939"/>
      <c r="FP57" s="939"/>
      <c r="FQ57" s="939"/>
      <c r="FR57" s="939"/>
      <c r="FS57" s="939"/>
      <c r="FT57" s="939"/>
      <c r="FU57" s="939"/>
      <c r="FV57" s="939"/>
      <c r="FW57" s="939" t="s">
        <v>2753</v>
      </c>
      <c r="FX57" s="939"/>
      <c r="FY57" s="939"/>
      <c r="FZ57" s="939"/>
      <c r="GA57" s="939"/>
      <c r="GB57" s="939"/>
      <c r="GC57" s="939"/>
      <c r="GD57" s="939"/>
      <c r="GE57" s="939"/>
      <c r="GF57" s="939"/>
      <c r="GG57" s="939"/>
      <c r="GH57" s="939"/>
      <c r="GI57" s="939"/>
      <c r="GJ57" s="939"/>
      <c r="GK57" s="939"/>
      <c r="GL57" s="939"/>
      <c r="GM57" s="939"/>
      <c r="GN57" s="939"/>
      <c r="GO57" s="939"/>
      <c r="GP57" s="939" t="s">
        <v>1170</v>
      </c>
      <c r="GQ57" s="939"/>
      <c r="GR57" s="939"/>
      <c r="GS57" s="939" t="s">
        <v>1170</v>
      </c>
      <c r="GT57" s="939"/>
      <c r="GU57" s="939"/>
      <c r="GV57" s="939"/>
      <c r="GW57" s="939"/>
      <c r="GX57" s="939"/>
      <c r="GY57" s="954"/>
      <c r="GZ57" s="954"/>
      <c r="HA57" s="954"/>
      <c r="HB57" s="954"/>
      <c r="HC57" s="954"/>
      <c r="HD57" s="954"/>
      <c r="HE57" s="954"/>
      <c r="HF57" s="954"/>
      <c r="HG57" s="954"/>
      <c r="HH57" s="954"/>
      <c r="HI57" s="954"/>
      <c r="HJ57" s="954"/>
      <c r="HK57" s="954"/>
      <c r="HL57" s="954"/>
      <c r="HM57" s="954"/>
      <c r="HN57" s="954"/>
      <c r="HO57" s="954"/>
      <c r="HP57" s="954"/>
      <c r="HQ57" s="962" t="s">
        <v>1187</v>
      </c>
      <c r="HR57" s="954"/>
      <c r="HS57" s="954"/>
      <c r="HT57" s="954"/>
      <c r="HU57" s="954"/>
      <c r="HV57" s="954"/>
      <c r="HW57" s="954"/>
      <c r="HX57" s="999"/>
      <c r="HY57" s="1012"/>
      <c r="HZ57" s="1012"/>
      <c r="IA57" s="1012"/>
      <c r="IB57" s="939"/>
      <c r="IC57" s="1013"/>
      <c r="ID57" s="1013"/>
      <c r="IE57" s="1012"/>
      <c r="IF57" s="1012"/>
      <c r="IG57" s="1012"/>
      <c r="IH57" s="1031" t="s">
        <v>2751</v>
      </c>
      <c r="II57" s="1031" t="s">
        <v>1170</v>
      </c>
      <c r="IJ57" s="1012"/>
      <c r="IK57" s="1012"/>
      <c r="IL57" s="1012"/>
      <c r="IM57" s="1031" t="s">
        <v>2752</v>
      </c>
      <c r="IN57" s="1012"/>
      <c r="IO57" s="1012"/>
      <c r="IP57" s="1013"/>
      <c r="IQ57" s="1044" t="s">
        <v>2756</v>
      </c>
      <c r="IR57" s="1012"/>
      <c r="IS57" s="1012"/>
      <c r="IT57" s="1012"/>
      <c r="IU57" s="1012"/>
      <c r="IV57" s="1012"/>
      <c r="IW57" s="929"/>
      <c r="IX57" s="929" t="str">
        <f>IF(ISNUMBER(SEARCH($A57,VLOOKUP(IX$2,职业列表!$B$1:$G$370,6,0))),"★","")</f>
        <v/>
      </c>
      <c r="IY57" s="929" t="str">
        <f>IF(ISNUMBER(SEARCH($A57,VLOOKUP(IY$2,职业列表!$B$1:$G$370,6,0))),"★","")</f>
        <v/>
      </c>
      <c r="IZ57" s="929" t="str">
        <f>IF(ISNUMBER(SEARCH($A57,VLOOKUP(IZ$2,职业列表!$B$1:$G$370,6,0))),"★","")</f>
        <v/>
      </c>
      <c r="JA57" s="929" t="str">
        <f>IF(ISNUMBER(SEARCH($A57,VLOOKUP(JA$2,职业列表!$B$1:$G$370,6,0))),"★","")</f>
        <v>★</v>
      </c>
      <c r="JB57" s="929" t="str">
        <f>IF(ISNUMBER(SEARCH($A57,VLOOKUP(JB$2,职业列表!$B$1:$G$370,6,0))),"★","")</f>
        <v/>
      </c>
      <c r="JC57" s="929" t="str">
        <f>IF(ISNUMBER(SEARCH($A57,VLOOKUP(JC$2,职业列表!$B$1:$G$370,6,0))),"★","")</f>
        <v/>
      </c>
      <c r="JD57" s="929" t="str">
        <f>IF(ISNUMBER(SEARCH($A57,VLOOKUP(JD$2,职业列表!$B$1:$G$370,6,0))),"★","")</f>
        <v/>
      </c>
      <c r="JE57" s="929" t="str">
        <f>IF(ISNUMBER(SEARCH($A57,VLOOKUP(JE$2,职业列表!$B$1:$G$370,6,0))),"★","")</f>
        <v>★</v>
      </c>
      <c r="JF57" s="929" t="str">
        <f>IF(ISNUMBER(SEARCH($A57,VLOOKUP(JF$2,职业列表!$B$1:$G$370,6,0))),"★","")</f>
        <v/>
      </c>
      <c r="JG57" s="929" t="str">
        <f>IF(ISNUMBER(SEARCH($A57,VLOOKUP(JG$2,职业列表!$B$1:$G$370,6,0))),"★","")</f>
        <v/>
      </c>
      <c r="JH57" s="929" t="str">
        <f>IF(ISNUMBER(SEARCH($A57,VLOOKUP(JH$2,职业列表!$B$1:$G$370,6,0))),"★","")</f>
        <v/>
      </c>
      <c r="JI57" s="929" t="str">
        <f>IF(ISNUMBER(SEARCH($A57,VLOOKUP(JI$2,职业列表!$B$1:$G$370,6,0))),"★","")</f>
        <v>★</v>
      </c>
      <c r="JJ57" s="929" t="str">
        <f>IF(ISNUMBER(SEARCH($A57,VLOOKUP(JJ$2,职业列表!$B$1:$G$370,6,0))),"★","")</f>
        <v/>
      </c>
      <c r="JK57" s="929" t="str">
        <f>IF(ISNUMBER(SEARCH($A57,VLOOKUP(JK$2,职业列表!$B$1:$G$370,6,0))),"★","")</f>
        <v/>
      </c>
      <c r="JL57" s="929" t="str">
        <f>IF(ISNUMBER(SEARCH($A57,VLOOKUP(JL$2,职业列表!$B$1:$G$370,6,0))),"★","")</f>
        <v/>
      </c>
      <c r="JM57" s="929" t="str">
        <f>IF(ISNUMBER(SEARCH($A57,VLOOKUP(JM$2,职业列表!$B$1:$G$370,6,0))),"★","")</f>
        <v>★</v>
      </c>
      <c r="JN57" s="929" t="str">
        <f>IF(ISNUMBER(SEARCH($A57,VLOOKUP(JN$2,职业列表!$B$1:$G$370,6,0))),"★","")</f>
        <v>★</v>
      </c>
      <c r="JO57" s="929" t="str">
        <f>IF(ISNUMBER(SEARCH($A57,VLOOKUP(JO$2,职业列表!$B$1:$G$370,6,0))),"★","")</f>
        <v>★</v>
      </c>
      <c r="JP57" s="929" t="str">
        <f>IF(ISNUMBER(SEARCH($A57,VLOOKUP(JP$2,职业列表!$B$1:$G$370,6,0))),"★","")</f>
        <v/>
      </c>
      <c r="JQ57" s="929" t="str">
        <f>IF(ISNUMBER(SEARCH($A57,VLOOKUP(JQ$2,职业列表!$B$1:$G$370,6,0))),"★","")</f>
        <v/>
      </c>
      <c r="JR57" s="929" t="str">
        <f>IF(ISNUMBER(SEARCH($A57,VLOOKUP(JR$2,职业列表!$B$1:$G$370,6,0))),"★","")</f>
        <v/>
      </c>
      <c r="JS57" s="929" t="str">
        <f>IF(ISNUMBER(SEARCH($A57,VLOOKUP(JS$2,职业列表!$B$1:$G$370,6,0))),"★","")</f>
        <v>★</v>
      </c>
      <c r="JT57" s="929" t="str">
        <f>IF(ISNUMBER(SEARCH($A57,VLOOKUP(JT$2,职业列表!$B$1:$G$370,6,0))),"★","")</f>
        <v/>
      </c>
      <c r="JU57" s="929" t="str">
        <f>IF(ISNUMBER(SEARCH($A57,VLOOKUP(JU$2,职业列表!$B$1:$G$370,6,0))),"★","")</f>
        <v/>
      </c>
      <c r="JV57" s="929" t="str">
        <f>IF(ISNUMBER(SEARCH($A57,VLOOKUP(JV$2,职业列表!$B$1:$G$370,6,0))),"★","")</f>
        <v>★</v>
      </c>
      <c r="JW57" s="929" t="str">
        <f>IF(ISNUMBER(SEARCH($A57,VLOOKUP(JW$2,职业列表!$B$1:$G$370,6,0))),"★","")</f>
        <v>★</v>
      </c>
      <c r="JX57" s="929" t="s">
        <v>2751</v>
      </c>
      <c r="JY57" s="929" t="str">
        <f>IF(ISNUMBER(SEARCH($A57,VLOOKUP(JY$2,职业列表!$B$1:$G$370,6,0))),"★","")</f>
        <v/>
      </c>
      <c r="JZ57" s="929" t="str">
        <f>IF(ISNUMBER(SEARCH($A57,VLOOKUP(JZ$2,职业列表!$B$1:$G$370,6,0))),"★","")</f>
        <v/>
      </c>
      <c r="KA57" s="929" t="str">
        <f>IF(ISNUMBER(SEARCH($A57,VLOOKUP(KA$2,职业列表!$B$1:$G$370,6,0))),"★","")</f>
        <v/>
      </c>
      <c r="KB57" s="929" t="str">
        <f>IF(ISNUMBER(SEARCH($A57,VLOOKUP(KB$2,职业列表!$B$1:$G$370,6,0))),"★","")</f>
        <v/>
      </c>
      <c r="KC57" s="929" t="str">
        <f>IF(ISNUMBER(SEARCH($A57,VLOOKUP(KC$2,职业列表!$B$1:$G$370,6,0))),"★","")</f>
        <v/>
      </c>
      <c r="KD57" s="929" t="str">
        <f>IF(ISNUMBER(SEARCH($A57,VLOOKUP(KD$2,职业列表!$B$1:$G$370,6,0))),"★","")</f>
        <v/>
      </c>
      <c r="KE57" s="929" t="str">
        <f>IF(ISNUMBER(SEARCH($A57,VLOOKUP(KE$2,职业列表!$B$1:$G$370,6,0))),"★","")</f>
        <v/>
      </c>
      <c r="KF57" s="929" t="str">
        <f>IF(ISNUMBER(SEARCH($A57,VLOOKUP(KF$2,职业列表!$B$1:$G$370,6,0))),"★","")</f>
        <v>★</v>
      </c>
      <c r="KG57" s="929" t="str">
        <f>IF(ISNUMBER(SEARCH($A57,VLOOKUP(KG$2,职业列表!$B$1:$G$370,6,0))),"★","")</f>
        <v/>
      </c>
      <c r="KH57" s="929" t="str">
        <f>IF(ISNUMBER(SEARCH($A57,VLOOKUP(KH$2,职业列表!$B$1:$G$370,6,0))),"★","")</f>
        <v/>
      </c>
      <c r="KI57" s="929" t="str">
        <f>IF(ISNUMBER(SEARCH($A57,VLOOKUP(KI$2,职业列表!$B$1:$G$370,6,0))),"★","")</f>
        <v>★</v>
      </c>
      <c r="KJ57" s="929" t="str">
        <f>IF(ISNUMBER(SEARCH($A57,VLOOKUP(KJ$2,职业列表!$B$1:$G$370,6,0))),"★","")</f>
        <v>★</v>
      </c>
      <c r="KK57" s="929" t="str">
        <f>IF(ISNUMBER(SEARCH($A57,VLOOKUP(KK$2,职业列表!$B$1:$G$370,6,0))),"★","")</f>
        <v/>
      </c>
      <c r="KL57" s="929" t="str">
        <f>IF(ISNUMBER(SEARCH($A57,VLOOKUP(KL$2,职业列表!$B$1:$G$370,6,0))),"★","")</f>
        <v>★</v>
      </c>
      <c r="KM57" s="929" t="str">
        <f>IF(ISNUMBER(SEARCH($A57,VLOOKUP(KM$2,职业列表!$B$1:$G$370,6,0))),"★","")</f>
        <v/>
      </c>
      <c r="KN57" s="929" t="str">
        <f>IF(ISNUMBER(SEARCH($A57,VLOOKUP(KN$2,职业列表!$B$1:$G$370,6,0))),"★","")</f>
        <v>★</v>
      </c>
      <c r="KO57" s="929" t="str">
        <f>IF(ISNUMBER(SEARCH($A57,VLOOKUP(KO$2,职业列表!$B$1:$G$370,6,0))),"★","")</f>
        <v/>
      </c>
      <c r="KP57" s="929" t="str">
        <f>IF(ISNUMBER(SEARCH($A57,VLOOKUP(KP$2,职业列表!$B$1:$G$370,6,0))),"★","")</f>
        <v>★</v>
      </c>
      <c r="KQ57" s="929" t="str">
        <f>IF(ISNUMBER(SEARCH($A57,VLOOKUP(KQ$2,职业列表!$B$1:$G$370,6,0))),"★","")</f>
        <v/>
      </c>
      <c r="KR57" s="929" t="str">
        <f>IF(ISNUMBER(SEARCH($A57,VLOOKUP(KR$2,职业列表!$B$1:$G$370,6,0))),"★","")</f>
        <v/>
      </c>
      <c r="KS57" s="929" t="str">
        <f>IF(ISNUMBER(SEARCH($A57,VLOOKUP(KS$2,职业列表!$B$1:$G$370,6,0))),"★","")</f>
        <v>★</v>
      </c>
      <c r="KT57" s="929" t="str">
        <f>IF(ISNUMBER(SEARCH($A57,VLOOKUP(KT$2,职业列表!$B$1:$G$370,6,0))),"★","")</f>
        <v/>
      </c>
      <c r="KU57" s="929" t="str">
        <f>IF(ISNUMBER(SEARCH($A57,VLOOKUP(KU$2,职业列表!$B$1:$G$370,6,0))),"★","")</f>
        <v/>
      </c>
      <c r="KV57" s="929" t="str">
        <f>IF(ISNUMBER(SEARCH($A57,VLOOKUP(KV$2,职业列表!$B$1:$G$370,6,0))),"★","")</f>
        <v/>
      </c>
      <c r="KW57" s="929" t="str">
        <f>IF(ISNUMBER(SEARCH($A57,VLOOKUP(KW$2,职业列表!$B$1:$G$370,6,0))),"★","")</f>
        <v>★</v>
      </c>
      <c r="KX57" s="929" t="str">
        <f>IF(ISNUMBER(SEARCH($A57,VLOOKUP(KX$2,职业列表!$B$1:$G$370,6,0))),"★","")</f>
        <v>★</v>
      </c>
      <c r="KY57" s="929" t="str">
        <f>IF(ISNUMBER(SEARCH($A57,VLOOKUP(KY$2,职业列表!$B$1:$G$370,6,0))),"★","")</f>
        <v>★</v>
      </c>
      <c r="KZ57" s="929" t="str">
        <f>IF(ISNUMBER(SEARCH($A57,VLOOKUP(KZ$2,职业列表!$B$1:$G$370,6,0))),"★","")</f>
        <v>★</v>
      </c>
      <c r="LA57" s="929" t="str">
        <f>IF(ISNUMBER(SEARCH($A57,VLOOKUP(LA$2,职业列表!$B$1:$G$370,6,0))),"★","")</f>
        <v/>
      </c>
      <c r="LB57" s="929" t="str">
        <f>IF(ISNUMBER(SEARCH($A57,VLOOKUP(LB$2,职业列表!$B$1:$G$370,6,0))),"★","")</f>
        <v/>
      </c>
      <c r="LC57" s="929" t="str">
        <f>IF(ISNUMBER(SEARCH($A57,VLOOKUP(LC$2,职业列表!$B$1:$G$370,6,0))),"★","")</f>
        <v/>
      </c>
      <c r="LD57" s="929" t="str">
        <f>IF(ISNUMBER(SEARCH($A57,VLOOKUP(LD$2,职业列表!$B$1:$G$370,6,0))),"★","")</f>
        <v/>
      </c>
      <c r="LE57" s="929" t="str">
        <f>IF(ISNUMBER(SEARCH($A57,VLOOKUP(LE$2,职业列表!$B$1:$G$370,6,0))),"★","")</f>
        <v/>
      </c>
      <c r="LF57" s="929" t="str">
        <f>IF(ISNUMBER(SEARCH($A57,VLOOKUP(LF$2,职业列表!$B$1:$G$370,6,0))),"★","")</f>
        <v/>
      </c>
      <c r="LG57" s="929" t="str">
        <f>IF(ISNUMBER(SEARCH($A57,VLOOKUP(LG$2,职业列表!$B$1:$G$370,6,0))),"★","")</f>
        <v/>
      </c>
      <c r="LH57" s="929" t="str">
        <f>IF(ISNUMBER(SEARCH($A57,VLOOKUP(LH$2,职业列表!$B$1:$G$370,6,0))),"★","")</f>
        <v/>
      </c>
      <c r="LI57" s="929" t="str">
        <f>IF(ISNUMBER(SEARCH($A57,VLOOKUP(LI$2,职业列表!$B$1:$G$370,6,0))),"★","")</f>
        <v/>
      </c>
      <c r="LJ57" s="929" t="str">
        <f>IF(ISNUMBER(SEARCH($A57,VLOOKUP(LJ$2,职业列表!$B$1:$G$370,6,0))),"★","")</f>
        <v>★</v>
      </c>
      <c r="LK57" s="929" t="str">
        <f>IF(ISNUMBER(SEARCH($A57,VLOOKUP(LK$2,职业列表!$B$1:$G$370,6,0))),"★","")</f>
        <v/>
      </c>
      <c r="LL57" s="929" t="str">
        <f>IF(ISNUMBER(SEARCH($A57,VLOOKUP(LL$2,职业列表!$B$1:$G$370,6,0))),"★","")</f>
        <v/>
      </c>
      <c r="LM57" s="929" t="str">
        <f>IF(ISNUMBER(SEARCH($A57,VLOOKUP(LM$2,职业列表!$B$1:$G$370,6,0))),"★","")</f>
        <v/>
      </c>
      <c r="LN57" s="929" t="str">
        <f>IF(ISNUMBER(SEARCH($A57,VLOOKUP(LN$2,职业列表!$B$1:$G$370,6,0))),"★","")</f>
        <v/>
      </c>
      <c r="LO57" s="929" t="str">
        <f>IF(ISNUMBER(SEARCH($A57,VLOOKUP(LO$2,职业列表!$B$1:$G$370,6,0))),"★","")</f>
        <v>★</v>
      </c>
      <c r="LP57" s="929" t="str">
        <f>IF(ISNUMBER(SEARCH($A57,VLOOKUP(LP$2,职业列表!$B$1:$G$370,6,0))),"★","")</f>
        <v/>
      </c>
      <c r="LQ57" s="929" t="str">
        <f>IF(ISNUMBER(SEARCH($A57,VLOOKUP(LQ$2,职业列表!$B$1:$G$370,6,0))),"★","")</f>
        <v/>
      </c>
      <c r="LR57" s="929" t="str">
        <f>IF(ISNUMBER(SEARCH($A57,VLOOKUP(LR$2,职业列表!$B$1:$G$370,6,0))),"★","")</f>
        <v/>
      </c>
      <c r="LS57" s="929" t="str">
        <f>IF(ISNUMBER(SEARCH($A57,VLOOKUP(LS$2,职业列表!$B$1:$G$370,6,0))),"★","")</f>
        <v/>
      </c>
      <c r="LT57" s="929" t="str">
        <f>IF(ISNUMBER(SEARCH($A57,VLOOKUP(LT$2,职业列表!$B$1:$G$370,6,0))),"★","")</f>
        <v>★</v>
      </c>
      <c r="LU57" s="929" t="str">
        <f>IF(ISNUMBER(SEARCH($A57,VLOOKUP(LU$2,职业列表!$B$1:$G$370,6,0))),"★","")</f>
        <v>★</v>
      </c>
      <c r="LV57" s="929" t="str">
        <f>IF(ISNUMBER(SEARCH($A57,VLOOKUP(LV$2,职业列表!$B$1:$G$370,6,0))),"★","")</f>
        <v/>
      </c>
      <c r="LW57" s="929" t="str">
        <f>IF(ISNUMBER(SEARCH($A57,VLOOKUP(LW$2,职业列表!$B$1:$G$370,6,0))),"★","")</f>
        <v>★</v>
      </c>
      <c r="LX57" s="929" t="str">
        <f>IF(ISNUMBER(SEARCH($A57,VLOOKUP(LX$2,职业列表!$B$1:$G$370,6,0))),"★","")</f>
        <v/>
      </c>
      <c r="LY57" s="929" t="str">
        <f>IF(ISNUMBER(SEARCH($A57,VLOOKUP(LY$2,职业列表!$B$1:$G$370,6,0))),"★","")</f>
        <v/>
      </c>
      <c r="LZ57" s="929" t="str">
        <f>IF(ISNUMBER(SEARCH($A57,VLOOKUP(LZ$2,职业列表!$B$1:$G$370,6,0))),"★","")</f>
        <v/>
      </c>
      <c r="MA57" s="929" t="str">
        <f>IF(ISNUMBER(SEARCH($A57,VLOOKUP(MA$2,职业列表!$B$1:$G$370,6,0))),"★","")</f>
        <v/>
      </c>
      <c r="MB57" s="929" t="str">
        <f>IF(ISNUMBER(SEARCH($A57,VLOOKUP(MB$2,职业列表!$B$1:$G$370,6,0))),"★","")</f>
        <v/>
      </c>
      <c r="MC57" s="929" t="str">
        <f>IF(ISNUMBER(SEARCH($A57,VLOOKUP(MC$2,职业列表!$B$1:$G$370,6,0))),"★","")</f>
        <v/>
      </c>
      <c r="MD57" s="929" t="str">
        <f>IF(ISNUMBER(SEARCH($A57,VLOOKUP(MD$2,职业列表!$B$1:$G$370,6,0))),"★","")</f>
        <v/>
      </c>
      <c r="ME57" s="929" t="str">
        <f>IF(ISNUMBER(SEARCH($A57,VLOOKUP(ME$2,职业列表!$B$1:$G$370,6,0))),"★","")</f>
        <v/>
      </c>
      <c r="MF57" s="929" t="str">
        <f>IF(ISNUMBER(SEARCH($A57,VLOOKUP(MF$2,职业列表!$B$1:$G$370,6,0))),"★","")</f>
        <v/>
      </c>
      <c r="MG57" s="929" t="str">
        <f>IF(ISNUMBER(SEARCH($A57,VLOOKUP(MG$2,职业列表!$B$1:$G$370,6,0))),"★","")</f>
        <v/>
      </c>
      <c r="MH57" s="929" t="str">
        <f>IF(ISNUMBER(SEARCH($A57,VLOOKUP(MH$2,职业列表!$B$1:$G$370,6,0))),"★","")</f>
        <v/>
      </c>
      <c r="MI57" s="929" t="str">
        <f>IF(ISNUMBER(SEARCH($A57,VLOOKUP(MI$2,职业列表!$B$1:$G$370,6,0))),"★","")</f>
        <v/>
      </c>
      <c r="MJ57" s="929" t="str">
        <f>IF(ISNUMBER(SEARCH($A57,VLOOKUP(MJ$2,职业列表!$B$1:$G$370,6,0))),"★","")</f>
        <v/>
      </c>
      <c r="MK57" s="929" t="str">
        <f>IF(ISNUMBER(SEARCH($A57,VLOOKUP(MK$2,职业列表!$B$1:$G$370,6,0))),"★","")</f>
        <v/>
      </c>
      <c r="ML57" s="929" t="str">
        <f>IF(ISNUMBER(SEARCH($A57,VLOOKUP(ML$2,职业列表!$B$1:$G$370,6,0))),"★","")</f>
        <v/>
      </c>
      <c r="MM57" s="929" t="str">
        <f>IF(ISNUMBER(SEARCH($A57,VLOOKUP(MM$2,职业列表!$B$1:$G$370,6,0))),"★","")</f>
        <v/>
      </c>
      <c r="MN57" s="929" t="str">
        <f>IF(ISNUMBER(SEARCH($A57,VLOOKUP(MN$2,职业列表!$B$1:$G$370,6,0))),"★","")</f>
        <v/>
      </c>
      <c r="MO57" s="929" t="str">
        <f>IF(ISNUMBER(SEARCH($A57,VLOOKUP(MO$2,职业列表!$B$1:$G$370,6,0))),"★","")</f>
        <v>★</v>
      </c>
      <c r="MP57" s="929" t="str">
        <f>IF(ISNUMBER(SEARCH($A57,VLOOKUP(MP$2,职业列表!$B$1:$G$370,6,0))),"★","")</f>
        <v/>
      </c>
      <c r="MQ57" s="929" t="str">
        <f>IF(ISNUMBER(SEARCH($A57,VLOOKUP(MQ$2,职业列表!$B$1:$G$370,6,0))),"★","")</f>
        <v/>
      </c>
      <c r="MR57" s="929" t="str">
        <f>IF(ISNUMBER(SEARCH($A57,VLOOKUP(MR$2,职业列表!$B$1:$G$370,6,0))),"★","")</f>
        <v/>
      </c>
      <c r="MS57" s="929" t="str">
        <f>IF(ISNUMBER(SEARCH($A57,VLOOKUP(MS$2,职业列表!$B$1:$G$370,6,0))),"★","")</f>
        <v>★</v>
      </c>
      <c r="MT57" s="929" t="str">
        <f>IF(ISNUMBER(SEARCH($A57,VLOOKUP(MT$2,职业列表!$B$1:$G$370,6,0))),"★","")</f>
        <v/>
      </c>
      <c r="MU57" s="929" t="str">
        <f>IF(ISNUMBER(SEARCH($A57,VLOOKUP(MU$2,职业列表!$B$1:$G$370,6,0))),"★","")</f>
        <v>★</v>
      </c>
      <c r="MV57" s="929" t="str">
        <f>IF(ISNUMBER(SEARCH($A57,VLOOKUP(MV$2,职业列表!$B$1:$G$370,6,0))),"★","")</f>
        <v/>
      </c>
      <c r="MW57" s="929" t="str">
        <f>IF(ISNUMBER(SEARCH($A57,VLOOKUP(MW$2,职业列表!$B$1:$G$370,6,0))),"★","")</f>
        <v/>
      </c>
      <c r="MX57" s="929" t="str">
        <f>IF(ISNUMBER(SEARCH($A57,VLOOKUP(MX$2,职业列表!$B$1:$G$370,6,0))),"★","")</f>
        <v/>
      </c>
      <c r="MY57" s="929" t="str">
        <f>IF(ISNUMBER(SEARCH($A57,VLOOKUP(MY$2,职业列表!$B$1:$G$370,6,0))),"★","")</f>
        <v/>
      </c>
      <c r="MZ57" s="929" t="str">
        <f>IF(ISNUMBER(SEARCH($A57,VLOOKUP(MZ$2,职业列表!$B$1:$G$370,6,0))),"★","")</f>
        <v/>
      </c>
      <c r="NA57" s="929" t="str">
        <f>IF(ISNUMBER(SEARCH($A57,VLOOKUP(NA$2,职业列表!$B$1:$G$370,6,0))),"★","")</f>
        <v>★</v>
      </c>
      <c r="NB57" s="929" t="str">
        <f>IF(ISNUMBER(SEARCH($A57,VLOOKUP(NB$2,职业列表!$B$1:$G$370,6,0))),"★","")</f>
        <v/>
      </c>
      <c r="NC57" s="929" t="str">
        <f>IF(ISNUMBER(SEARCH($A57,VLOOKUP(NC$2,职业列表!$B$1:$G$370,6,0))),"★","")</f>
        <v/>
      </c>
      <c r="ND57" s="929" t="s">
        <v>2749</v>
      </c>
      <c r="NE57" s="929" t="str">
        <f>IF(ISNUMBER(SEARCH($A57,VLOOKUP(NE$2,职业列表!$B$1:$G$370,6,0))),"★","")</f>
        <v/>
      </c>
    </row>
    <row r="58" customFormat="1" spans="1:369">
      <c r="A58" s="932" t="s">
        <v>117</v>
      </c>
      <c r="B58" s="939" t="str">
        <f>IF(OR(A58="说服",A58="话术",A58="取悦",A58="恐吓"),"☯",IF(ISNUMBER(SEARCH(A58,VLOOKUP(IX$2,职业列表!$B$1:$G$370,6,0))),"★",""))</f>
        <v/>
      </c>
      <c r="C58" s="939" t="str">
        <f>IF(ISTEXT(IFERROR(VLOOKUP(A58,职业列表!I3:J10,1,FALSE),0)),"★","")</f>
        <v/>
      </c>
      <c r="D58" s="954"/>
      <c r="E58" s="954"/>
      <c r="F58" s="954"/>
      <c r="G58" s="954"/>
      <c r="H58" s="954"/>
      <c r="I58" s="954"/>
      <c r="J58" s="954"/>
      <c r="K58" s="954"/>
      <c r="L58" s="954"/>
      <c r="M58" s="954"/>
      <c r="N58" s="954"/>
      <c r="O58" s="954"/>
      <c r="P58" s="954"/>
      <c r="Q58" s="954"/>
      <c r="R58" s="954"/>
      <c r="S58" s="954"/>
      <c r="T58" s="954"/>
      <c r="U58" s="954"/>
      <c r="V58" s="954"/>
      <c r="W58" s="954"/>
      <c r="X58" s="954"/>
      <c r="Y58" s="954"/>
      <c r="Z58" s="954"/>
      <c r="AA58" s="954"/>
      <c r="AB58" s="954"/>
      <c r="AC58" s="954"/>
      <c r="AD58" s="954"/>
      <c r="AE58" s="954"/>
      <c r="AF58" s="954"/>
      <c r="AG58" s="954"/>
      <c r="AH58" s="954"/>
      <c r="AI58" s="954"/>
      <c r="AJ58" s="954"/>
      <c r="AK58" s="954"/>
      <c r="AL58" s="954"/>
      <c r="AM58" s="954"/>
      <c r="AN58" s="954"/>
      <c r="AO58" s="954"/>
      <c r="AP58" s="954"/>
      <c r="AQ58" s="954"/>
      <c r="AR58" s="954"/>
      <c r="AS58" s="954"/>
      <c r="AT58" s="954"/>
      <c r="AU58" s="954"/>
      <c r="AV58" s="954"/>
      <c r="AW58" s="954"/>
      <c r="AX58" s="954"/>
      <c r="AY58" s="954"/>
      <c r="AZ58" s="954"/>
      <c r="BA58" s="954"/>
      <c r="BB58" s="954"/>
      <c r="BC58" s="954"/>
      <c r="BD58" s="954"/>
      <c r="BE58" s="954"/>
      <c r="BF58" s="954"/>
      <c r="BG58" s="954"/>
      <c r="BH58" s="954" t="s">
        <v>1187</v>
      </c>
      <c r="BI58" s="954"/>
      <c r="BJ58" s="954"/>
      <c r="BK58" s="954"/>
      <c r="BL58" s="954"/>
      <c r="BM58" s="954"/>
      <c r="BN58" s="954"/>
      <c r="BO58" s="954"/>
      <c r="BP58" s="954"/>
      <c r="BQ58" s="954"/>
      <c r="BR58" s="939" t="s">
        <v>74</v>
      </c>
      <c r="BS58" s="954"/>
      <c r="BT58" s="954"/>
      <c r="BU58" s="954"/>
      <c r="BV58" s="954"/>
      <c r="BW58" s="954"/>
      <c r="BX58" s="954"/>
      <c r="BY58" s="954"/>
      <c r="BZ58" s="954"/>
      <c r="CA58" s="954"/>
      <c r="CB58" s="954"/>
      <c r="CC58" s="954"/>
      <c r="CD58" s="954"/>
      <c r="CE58" s="954"/>
      <c r="CF58" s="954"/>
      <c r="CG58" s="954"/>
      <c r="CH58" s="954"/>
      <c r="CI58" s="954"/>
      <c r="CJ58" s="954"/>
      <c r="CK58" s="954"/>
      <c r="CL58" s="954"/>
      <c r="CM58" s="954"/>
      <c r="CN58" s="954"/>
      <c r="CO58" s="954"/>
      <c r="CP58" s="954"/>
      <c r="CQ58" s="954"/>
      <c r="CR58" s="954"/>
      <c r="CS58" s="954"/>
      <c r="CT58" s="954"/>
      <c r="CU58" s="954"/>
      <c r="CV58" s="954"/>
      <c r="CW58" s="954"/>
      <c r="CX58" s="954"/>
      <c r="CY58" s="939" t="s">
        <v>74</v>
      </c>
      <c r="CZ58" s="954"/>
      <c r="DA58" s="954"/>
      <c r="DB58" s="954"/>
      <c r="DC58" s="954"/>
      <c r="DD58" s="954"/>
      <c r="DE58" s="954"/>
      <c r="DF58" s="954"/>
      <c r="DG58" s="954"/>
      <c r="DH58" s="954"/>
      <c r="DI58" s="954"/>
      <c r="DJ58" s="954"/>
      <c r="DK58" s="954"/>
      <c r="DL58" s="954"/>
      <c r="DM58" s="954"/>
      <c r="DN58" s="939"/>
      <c r="DO58" s="939"/>
      <c r="DP58" s="939"/>
      <c r="DQ58" s="939"/>
      <c r="DR58" s="939"/>
      <c r="DS58" s="939"/>
      <c r="DT58" s="939"/>
      <c r="DU58" s="939"/>
      <c r="DV58" s="939"/>
      <c r="DW58" s="939"/>
      <c r="DX58" s="939"/>
      <c r="DY58" s="939"/>
      <c r="DZ58" s="939"/>
      <c r="EA58" s="939"/>
      <c r="EB58" s="939"/>
      <c r="EC58" s="939"/>
      <c r="ED58" s="939"/>
      <c r="EE58" s="939"/>
      <c r="EF58" s="939"/>
      <c r="EG58" s="939"/>
      <c r="EH58" s="939"/>
      <c r="EI58" s="939"/>
      <c r="EJ58" s="939"/>
      <c r="EK58" s="939"/>
      <c r="EL58" s="939" t="s">
        <v>1187</v>
      </c>
      <c r="EM58" s="939"/>
      <c r="EN58" s="939"/>
      <c r="EO58" s="939"/>
      <c r="EP58" s="939"/>
      <c r="EQ58" s="939"/>
      <c r="ER58" s="939"/>
      <c r="ES58" s="939"/>
      <c r="ET58" s="939"/>
      <c r="EU58" s="939"/>
      <c r="EV58" s="939"/>
      <c r="EW58" s="939"/>
      <c r="EX58" s="939"/>
      <c r="EY58" s="939"/>
      <c r="EZ58" s="939" t="s">
        <v>1187</v>
      </c>
      <c r="FA58" s="939"/>
      <c r="FB58" s="939"/>
      <c r="FC58" s="939"/>
      <c r="FD58" s="939"/>
      <c r="FE58" s="939"/>
      <c r="FF58" s="939"/>
      <c r="FG58" s="939"/>
      <c r="FH58" s="939"/>
      <c r="FI58" s="939"/>
      <c r="FJ58" s="939"/>
      <c r="FK58" s="939"/>
      <c r="FL58" s="939"/>
      <c r="FM58" s="939"/>
      <c r="FN58" s="939"/>
      <c r="FO58" s="939"/>
      <c r="FP58" s="939"/>
      <c r="FQ58" s="939"/>
      <c r="FR58" s="939"/>
      <c r="FS58" s="939"/>
      <c r="FT58" s="939"/>
      <c r="FU58" s="939"/>
      <c r="FV58" s="939"/>
      <c r="FW58" s="939" t="s">
        <v>1187</v>
      </c>
      <c r="FX58" s="939"/>
      <c r="FY58" s="939"/>
      <c r="FZ58" s="939"/>
      <c r="GA58" s="939"/>
      <c r="GB58" s="939"/>
      <c r="GC58" s="939"/>
      <c r="GD58" s="939"/>
      <c r="GE58" s="939"/>
      <c r="GF58" s="939"/>
      <c r="GG58" s="939"/>
      <c r="GH58" s="939"/>
      <c r="GI58" s="939"/>
      <c r="GJ58" s="939"/>
      <c r="GK58" s="939"/>
      <c r="GL58" s="939"/>
      <c r="GM58" s="939"/>
      <c r="GN58" s="939"/>
      <c r="GO58" s="939"/>
      <c r="GP58" s="939" t="s">
        <v>2745</v>
      </c>
      <c r="GQ58" s="939"/>
      <c r="GR58" s="939"/>
      <c r="GS58" s="939"/>
      <c r="GT58" s="939"/>
      <c r="GU58" s="939"/>
      <c r="GV58" s="939"/>
      <c r="GW58" s="939"/>
      <c r="GX58" s="939"/>
      <c r="GY58" s="954"/>
      <c r="GZ58" s="954"/>
      <c r="HA58" s="954"/>
      <c r="HB58" s="954"/>
      <c r="HC58" s="954"/>
      <c r="HD58" s="954"/>
      <c r="HE58" s="954"/>
      <c r="HF58" s="954"/>
      <c r="HG58" s="954"/>
      <c r="HH58" s="954"/>
      <c r="HI58" s="954"/>
      <c r="HJ58" s="954"/>
      <c r="HK58" s="954"/>
      <c r="HL58" s="954"/>
      <c r="HM58" s="954"/>
      <c r="HN58" s="954"/>
      <c r="HO58" s="954"/>
      <c r="HP58" s="954"/>
      <c r="HQ58" s="954"/>
      <c r="HR58" s="954"/>
      <c r="HS58" s="954"/>
      <c r="HT58" s="954"/>
      <c r="HU58" s="954"/>
      <c r="HV58" s="954"/>
      <c r="HW58" s="954"/>
      <c r="HX58" s="999"/>
      <c r="HY58" s="1012"/>
      <c r="HZ58" s="1012"/>
      <c r="IA58" s="1012"/>
      <c r="IB58" s="939"/>
      <c r="IC58" s="1013"/>
      <c r="ID58" s="1013"/>
      <c r="IE58" s="1012"/>
      <c r="IF58" s="1012"/>
      <c r="IG58" s="1012"/>
      <c r="IH58" s="1012"/>
      <c r="II58" s="1012"/>
      <c r="IJ58" s="1012"/>
      <c r="IK58" s="1012"/>
      <c r="IL58" s="1012"/>
      <c r="IM58" s="1012"/>
      <c r="IN58" s="1012"/>
      <c r="IO58" s="1012"/>
      <c r="IP58" s="1013"/>
      <c r="IQ58" s="1013"/>
      <c r="IR58" s="1012"/>
      <c r="IS58" s="1012"/>
      <c r="IT58" s="1012"/>
      <c r="IU58" s="1012"/>
      <c r="IV58" s="1012"/>
      <c r="IW58" s="929"/>
      <c r="IX58" s="929" t="str">
        <f>IF(ISNUMBER(SEARCH($A58,VLOOKUP(IX$2,职业列表!$B$1:$G$370,6,0))),"★","")</f>
        <v/>
      </c>
      <c r="IY58" s="929" t="str">
        <f>IF(ISNUMBER(SEARCH($A58,VLOOKUP(IY$2,职业列表!$B$1:$G$370,6,0))),"★","")</f>
        <v/>
      </c>
      <c r="IZ58" s="929" t="str">
        <f>IF(ISNUMBER(SEARCH($A58,VLOOKUP(IZ$2,职业列表!$B$1:$G$370,6,0))),"★","")</f>
        <v/>
      </c>
      <c r="JA58" s="929" t="str">
        <f>IF(ISNUMBER(SEARCH($A58,VLOOKUP(JA$2,职业列表!$B$1:$G$370,6,0))),"★","")</f>
        <v/>
      </c>
      <c r="JB58" s="929" t="str">
        <f>IF(ISNUMBER(SEARCH($A58,VLOOKUP(JB$2,职业列表!$B$1:$G$370,6,0))),"★","")</f>
        <v/>
      </c>
      <c r="JC58" s="929" t="str">
        <f>IF(ISNUMBER(SEARCH($A58,VLOOKUP(JC$2,职业列表!$B$1:$G$370,6,0))),"★","")</f>
        <v/>
      </c>
      <c r="JD58" s="929" t="str">
        <f>IF(ISNUMBER(SEARCH($A58,VLOOKUP(JD$2,职业列表!$B$1:$G$370,6,0))),"★","")</f>
        <v/>
      </c>
      <c r="JE58" s="929" t="str">
        <f>IF(ISNUMBER(SEARCH($A58,VLOOKUP(JE$2,职业列表!$B$1:$G$370,6,0))),"★","")</f>
        <v/>
      </c>
      <c r="JF58" s="929" t="str">
        <f>IF(ISNUMBER(SEARCH($A58,VLOOKUP(JF$2,职业列表!$B$1:$G$370,6,0))),"★","")</f>
        <v/>
      </c>
      <c r="JG58" s="929" t="str">
        <f>IF(ISNUMBER(SEARCH($A58,VLOOKUP(JG$2,职业列表!$B$1:$G$370,6,0))),"★","")</f>
        <v/>
      </c>
      <c r="JH58" s="929" t="str">
        <f>IF(ISNUMBER(SEARCH($A58,VLOOKUP(JH$2,职业列表!$B$1:$G$370,6,0))),"★","")</f>
        <v/>
      </c>
      <c r="JI58" s="929" t="str">
        <f>IF(ISNUMBER(SEARCH($A58,VLOOKUP(JI$2,职业列表!$B$1:$G$370,6,0))),"★","")</f>
        <v>★</v>
      </c>
      <c r="JJ58" s="929" t="str">
        <f>IF(ISNUMBER(SEARCH($A58,VLOOKUP(JJ$2,职业列表!$B$1:$G$370,6,0))),"★","")</f>
        <v/>
      </c>
      <c r="JK58" s="929" t="str">
        <f>IF(ISNUMBER(SEARCH($A58,VLOOKUP(JK$2,职业列表!$B$1:$G$370,6,0))),"★","")</f>
        <v/>
      </c>
      <c r="JL58" s="929" t="str">
        <f>IF(ISNUMBER(SEARCH($A58,VLOOKUP(JL$2,职业列表!$B$1:$G$370,6,0))),"★","")</f>
        <v/>
      </c>
      <c r="JM58" s="929" t="str">
        <f>IF(ISNUMBER(SEARCH($A58,VLOOKUP(JM$2,职业列表!$B$1:$G$370,6,0))),"★","")</f>
        <v/>
      </c>
      <c r="JN58" s="929" t="str">
        <f>IF(ISNUMBER(SEARCH($A58,VLOOKUP(JN$2,职业列表!$B$1:$G$370,6,0))),"★","")</f>
        <v/>
      </c>
      <c r="JO58" s="929" t="str">
        <f>IF(ISNUMBER(SEARCH($A58,VLOOKUP(JO$2,职业列表!$B$1:$G$370,6,0))),"★","")</f>
        <v/>
      </c>
      <c r="JP58" s="929" t="str">
        <f>IF(ISNUMBER(SEARCH($A58,VLOOKUP(JP$2,职业列表!$B$1:$G$370,6,0))),"★","")</f>
        <v/>
      </c>
      <c r="JQ58" s="929" t="str">
        <f>IF(ISNUMBER(SEARCH($A58,VLOOKUP(JQ$2,职业列表!$B$1:$G$370,6,0))),"★","")</f>
        <v/>
      </c>
      <c r="JR58" s="929" t="str">
        <f>IF(ISNUMBER(SEARCH($A58,VLOOKUP(JR$2,职业列表!$B$1:$G$370,6,0))),"★","")</f>
        <v/>
      </c>
      <c r="JS58" s="929" t="str">
        <f>IF(ISNUMBER(SEARCH($A58,VLOOKUP(JS$2,职业列表!$B$1:$G$370,6,0))),"★","")</f>
        <v>★</v>
      </c>
      <c r="JT58" s="929" t="str">
        <f>IF(ISNUMBER(SEARCH($A58,VLOOKUP(JT$2,职业列表!$B$1:$G$370,6,0))),"★","")</f>
        <v/>
      </c>
      <c r="JU58" s="929" t="str">
        <f>IF(ISNUMBER(SEARCH($A58,VLOOKUP(JU$2,职业列表!$B$1:$G$370,6,0))),"★","")</f>
        <v/>
      </c>
      <c r="JV58" s="929" t="str">
        <f>IF(ISNUMBER(SEARCH($A58,VLOOKUP(JV$2,职业列表!$B$1:$G$370,6,0))),"★","")</f>
        <v>★</v>
      </c>
      <c r="JW58" s="929" t="str">
        <f>IF(ISNUMBER(SEARCH($A58,VLOOKUP(JW$2,职业列表!$B$1:$G$370,6,0))),"★","")</f>
        <v>★</v>
      </c>
      <c r="JX58" s="929" t="str">
        <f>IF(ISNUMBER(SEARCH($A58,VLOOKUP(JX$2,职业列表!$B$1:$G$370,6,0))),"★","")</f>
        <v/>
      </c>
      <c r="JY58" s="929" t="str">
        <f>IF(ISNUMBER(SEARCH($A58,VLOOKUP(JY$2,职业列表!$B$1:$G$370,6,0))),"★","")</f>
        <v/>
      </c>
      <c r="JZ58" s="929" t="str">
        <f>IF(ISNUMBER(SEARCH($A58,VLOOKUP(JZ$2,职业列表!$B$1:$G$370,6,0))),"★","")</f>
        <v/>
      </c>
      <c r="KA58" s="929" t="str">
        <f>IF(ISNUMBER(SEARCH($A58,VLOOKUP(KA$2,职业列表!$B$1:$G$370,6,0))),"★","")</f>
        <v/>
      </c>
      <c r="KB58" s="929" t="str">
        <f>IF(ISNUMBER(SEARCH($A58,VLOOKUP(KB$2,职业列表!$B$1:$G$370,6,0))),"★","")</f>
        <v/>
      </c>
      <c r="KC58" s="929" t="str">
        <f>IF(ISNUMBER(SEARCH($A58,VLOOKUP(KC$2,职业列表!$B$1:$G$370,6,0))),"★","")</f>
        <v/>
      </c>
      <c r="KD58" s="929" t="str">
        <f>IF(ISNUMBER(SEARCH($A58,VLOOKUP(KD$2,职业列表!$B$1:$G$370,6,0))),"★","")</f>
        <v/>
      </c>
      <c r="KE58" s="929" t="str">
        <f>IF(ISNUMBER(SEARCH($A58,VLOOKUP(KE$2,职业列表!$B$1:$G$370,6,0))),"★","")</f>
        <v/>
      </c>
      <c r="KF58" s="929" t="str">
        <f>IF(ISNUMBER(SEARCH($A58,VLOOKUP(KF$2,职业列表!$B$1:$G$370,6,0))),"★","")</f>
        <v/>
      </c>
      <c r="KG58" s="929" t="str">
        <f>IF(ISNUMBER(SEARCH($A58,VLOOKUP(KG$2,职业列表!$B$1:$G$370,6,0))),"★","")</f>
        <v/>
      </c>
      <c r="KH58" s="929" t="str">
        <f>IF(ISNUMBER(SEARCH($A58,VLOOKUP(KH$2,职业列表!$B$1:$G$370,6,0))),"★","")</f>
        <v/>
      </c>
      <c r="KI58" s="929" t="str">
        <f>IF(ISNUMBER(SEARCH($A58,VLOOKUP(KI$2,职业列表!$B$1:$G$370,6,0))),"★","")</f>
        <v>★</v>
      </c>
      <c r="KJ58" s="929" t="str">
        <f>IF(ISNUMBER(SEARCH($A58,VLOOKUP(KJ$2,职业列表!$B$1:$G$370,6,0))),"★","")</f>
        <v>★</v>
      </c>
      <c r="KK58" s="929" t="str">
        <f>IF(ISNUMBER(SEARCH($A58,VLOOKUP(KK$2,职业列表!$B$1:$G$370,6,0))),"★","")</f>
        <v/>
      </c>
      <c r="KL58" s="929" t="str">
        <f>IF(ISNUMBER(SEARCH($A58,VLOOKUP(KL$2,职业列表!$B$1:$G$370,6,0))),"★","")</f>
        <v/>
      </c>
      <c r="KM58" s="929" t="str">
        <f>IF(ISNUMBER(SEARCH($A58,VLOOKUP(KM$2,职业列表!$B$1:$G$370,6,0))),"★","")</f>
        <v/>
      </c>
      <c r="KN58" s="929" t="str">
        <f>IF(ISNUMBER(SEARCH($A58,VLOOKUP(KN$2,职业列表!$B$1:$G$370,6,0))),"★","")</f>
        <v>★</v>
      </c>
      <c r="KO58" s="929" t="str">
        <f>IF(ISNUMBER(SEARCH($A58,VLOOKUP(KO$2,职业列表!$B$1:$G$370,6,0))),"★","")</f>
        <v/>
      </c>
      <c r="KP58" s="929" t="str">
        <f>IF(ISNUMBER(SEARCH($A58,VLOOKUP(KP$2,职业列表!$B$1:$G$370,6,0))),"★","")</f>
        <v/>
      </c>
      <c r="KQ58" s="929" t="str">
        <f>IF(ISNUMBER(SEARCH($A58,VLOOKUP(KQ$2,职业列表!$B$1:$G$370,6,0))),"★","")</f>
        <v/>
      </c>
      <c r="KR58" s="929" t="str">
        <f>IF(ISNUMBER(SEARCH($A58,VLOOKUP(KR$2,职业列表!$B$1:$G$370,6,0))),"★","")</f>
        <v/>
      </c>
      <c r="KS58" s="929" t="str">
        <f>IF(ISNUMBER(SEARCH($A58,VLOOKUP(KS$2,职业列表!$B$1:$G$370,6,0))),"★","")</f>
        <v/>
      </c>
      <c r="KT58" s="929" t="str">
        <f>IF(ISNUMBER(SEARCH($A58,VLOOKUP(KT$2,职业列表!$B$1:$G$370,6,0))),"★","")</f>
        <v/>
      </c>
      <c r="KU58" s="929" t="str">
        <f>IF(ISNUMBER(SEARCH($A58,VLOOKUP(KU$2,职业列表!$B$1:$G$370,6,0))),"★","")</f>
        <v/>
      </c>
      <c r="KV58" s="929" t="str">
        <f>IF(ISNUMBER(SEARCH($A58,VLOOKUP(KV$2,职业列表!$B$1:$G$370,6,0))),"★","")</f>
        <v/>
      </c>
      <c r="KW58" s="929" t="str">
        <f>IF(ISNUMBER(SEARCH($A58,VLOOKUP(KW$2,职业列表!$B$1:$G$370,6,0))),"★","")</f>
        <v/>
      </c>
      <c r="KX58" s="929" t="str">
        <f>IF(ISNUMBER(SEARCH($A58,VLOOKUP(KX$2,职业列表!$B$1:$G$370,6,0))),"★","")</f>
        <v/>
      </c>
      <c r="KY58" s="929" t="str">
        <f>IF(ISNUMBER(SEARCH($A58,VLOOKUP(KY$2,职业列表!$B$1:$G$370,6,0))),"★","")</f>
        <v>★</v>
      </c>
      <c r="KZ58" s="929" t="str">
        <f>IF(ISNUMBER(SEARCH($A58,VLOOKUP(KZ$2,职业列表!$B$1:$G$370,6,0))),"★","")</f>
        <v/>
      </c>
      <c r="LA58" s="929" t="str">
        <f>IF(ISNUMBER(SEARCH($A58,VLOOKUP(LA$2,职业列表!$B$1:$G$370,6,0))),"★","")</f>
        <v/>
      </c>
      <c r="LB58" s="929" t="str">
        <f>IF(ISNUMBER(SEARCH($A58,VLOOKUP(LB$2,职业列表!$B$1:$G$370,6,0))),"★","")</f>
        <v/>
      </c>
      <c r="LC58" s="929" t="str">
        <f>IF(ISNUMBER(SEARCH($A58,VLOOKUP(LC$2,职业列表!$B$1:$G$370,6,0))),"★","")</f>
        <v/>
      </c>
      <c r="LD58" s="929" t="str">
        <f>IF(ISNUMBER(SEARCH($A58,VLOOKUP(LD$2,职业列表!$B$1:$G$370,6,0))),"★","")</f>
        <v/>
      </c>
      <c r="LE58" s="929" t="str">
        <f>IF(ISNUMBER(SEARCH($A58,VLOOKUP(LE$2,职业列表!$B$1:$G$370,6,0))),"★","")</f>
        <v/>
      </c>
      <c r="LF58" s="929" t="str">
        <f>IF(ISNUMBER(SEARCH($A58,VLOOKUP(LF$2,职业列表!$B$1:$G$370,6,0))),"★","")</f>
        <v/>
      </c>
      <c r="LG58" s="929" t="str">
        <f>IF(ISNUMBER(SEARCH($A58,VLOOKUP(LG$2,职业列表!$B$1:$G$370,6,0))),"★","")</f>
        <v/>
      </c>
      <c r="LH58" s="929" t="str">
        <f>IF(ISNUMBER(SEARCH($A58,VLOOKUP(LH$2,职业列表!$B$1:$G$370,6,0))),"★","")</f>
        <v/>
      </c>
      <c r="LI58" s="929" t="str">
        <f>IF(ISNUMBER(SEARCH($A58,VLOOKUP(LI$2,职业列表!$B$1:$G$370,6,0))),"★","")</f>
        <v/>
      </c>
      <c r="LJ58" s="929" t="str">
        <f>IF(ISNUMBER(SEARCH($A58,VLOOKUP(LJ$2,职业列表!$B$1:$G$370,6,0))),"★","")</f>
        <v/>
      </c>
      <c r="LK58" s="929" t="str">
        <f>IF(ISNUMBER(SEARCH($A58,VLOOKUP(LK$2,职业列表!$B$1:$G$370,6,0))),"★","")</f>
        <v/>
      </c>
      <c r="LL58" s="929" t="str">
        <f>IF(ISNUMBER(SEARCH($A58,VLOOKUP(LL$2,职业列表!$B$1:$G$370,6,0))),"★","")</f>
        <v/>
      </c>
      <c r="LM58" s="929" t="str">
        <f>IF(ISNUMBER(SEARCH($A58,VLOOKUP(LM$2,职业列表!$B$1:$G$370,6,0))),"★","")</f>
        <v/>
      </c>
      <c r="LN58" s="929" t="str">
        <f>IF(ISNUMBER(SEARCH($A58,VLOOKUP(LN$2,职业列表!$B$1:$G$370,6,0))),"★","")</f>
        <v/>
      </c>
      <c r="LO58" s="929" t="str">
        <f>IF(ISNUMBER(SEARCH($A58,VLOOKUP(LO$2,职业列表!$B$1:$G$370,6,0))),"★","")</f>
        <v/>
      </c>
      <c r="LP58" s="929" t="str">
        <f>IF(ISNUMBER(SEARCH($A58,VLOOKUP(LP$2,职业列表!$B$1:$G$370,6,0))),"★","")</f>
        <v/>
      </c>
      <c r="LQ58" s="929" t="str">
        <f>IF(ISNUMBER(SEARCH($A58,VLOOKUP(LQ$2,职业列表!$B$1:$G$370,6,0))),"★","")</f>
        <v/>
      </c>
      <c r="LR58" s="929" t="str">
        <f>IF(ISNUMBER(SEARCH($A58,VLOOKUP(LR$2,职业列表!$B$1:$G$370,6,0))),"★","")</f>
        <v/>
      </c>
      <c r="LS58" s="929" t="str">
        <f>IF(ISNUMBER(SEARCH($A58,VLOOKUP(LS$2,职业列表!$B$1:$G$370,6,0))),"★","")</f>
        <v/>
      </c>
      <c r="LT58" s="929" t="str">
        <f>IF(ISNUMBER(SEARCH($A58,VLOOKUP(LT$2,职业列表!$B$1:$G$370,6,0))),"★","")</f>
        <v>★</v>
      </c>
      <c r="LU58" s="929" t="str">
        <f>IF(ISNUMBER(SEARCH($A58,VLOOKUP(LU$2,职业列表!$B$1:$G$370,6,0))),"★","")</f>
        <v/>
      </c>
      <c r="LV58" s="929" t="str">
        <f>IF(ISNUMBER(SEARCH($A58,VLOOKUP(LV$2,职业列表!$B$1:$G$370,6,0))),"★","")</f>
        <v/>
      </c>
      <c r="LW58" s="929" t="str">
        <f>IF(ISNUMBER(SEARCH($A58,VLOOKUP(LW$2,职业列表!$B$1:$G$370,6,0))),"★","")</f>
        <v>★</v>
      </c>
      <c r="LX58" s="929" t="str">
        <f>IF(ISNUMBER(SEARCH($A58,VLOOKUP(LX$2,职业列表!$B$1:$G$370,6,0))),"★","")</f>
        <v/>
      </c>
      <c r="LY58" s="929" t="str">
        <f>IF(ISNUMBER(SEARCH($A58,VLOOKUP(LY$2,职业列表!$B$1:$G$370,6,0))),"★","")</f>
        <v/>
      </c>
      <c r="LZ58" s="929" t="str">
        <f>IF(ISNUMBER(SEARCH($A58,VLOOKUP(LZ$2,职业列表!$B$1:$G$370,6,0))),"★","")</f>
        <v/>
      </c>
      <c r="MA58" s="929" t="str">
        <f>IF(ISNUMBER(SEARCH($A58,VLOOKUP(MA$2,职业列表!$B$1:$G$370,6,0))),"★","")</f>
        <v/>
      </c>
      <c r="MB58" s="929" t="str">
        <f>IF(ISNUMBER(SEARCH($A58,VLOOKUP(MB$2,职业列表!$B$1:$G$370,6,0))),"★","")</f>
        <v/>
      </c>
      <c r="MC58" s="929" t="str">
        <f>IF(ISNUMBER(SEARCH($A58,VLOOKUP(MC$2,职业列表!$B$1:$G$370,6,0))),"★","")</f>
        <v/>
      </c>
      <c r="MD58" s="929" t="str">
        <f>IF(ISNUMBER(SEARCH($A58,VLOOKUP(MD$2,职业列表!$B$1:$G$370,6,0))),"★","")</f>
        <v/>
      </c>
      <c r="ME58" s="929" t="str">
        <f>IF(ISNUMBER(SEARCH($A58,VLOOKUP(ME$2,职业列表!$B$1:$G$370,6,0))),"★","")</f>
        <v/>
      </c>
      <c r="MF58" s="929" t="str">
        <f>IF(ISNUMBER(SEARCH($A58,VLOOKUP(MF$2,职业列表!$B$1:$G$370,6,0))),"★","")</f>
        <v/>
      </c>
      <c r="MG58" s="929" t="str">
        <f>IF(ISNUMBER(SEARCH($A58,VLOOKUP(MG$2,职业列表!$B$1:$G$370,6,0))),"★","")</f>
        <v/>
      </c>
      <c r="MH58" s="929" t="str">
        <f>IF(ISNUMBER(SEARCH($A58,VLOOKUP(MH$2,职业列表!$B$1:$G$370,6,0))),"★","")</f>
        <v/>
      </c>
      <c r="MI58" s="929" t="str">
        <f>IF(ISNUMBER(SEARCH($A58,VLOOKUP(MI$2,职业列表!$B$1:$G$370,6,0))),"★","")</f>
        <v/>
      </c>
      <c r="MJ58" s="929" t="str">
        <f>IF(ISNUMBER(SEARCH($A58,VLOOKUP(MJ$2,职业列表!$B$1:$G$370,6,0))),"★","")</f>
        <v/>
      </c>
      <c r="MK58" s="929" t="str">
        <f>IF(ISNUMBER(SEARCH($A58,VLOOKUP(MK$2,职业列表!$B$1:$G$370,6,0))),"★","")</f>
        <v/>
      </c>
      <c r="ML58" s="929" t="str">
        <f>IF(ISNUMBER(SEARCH($A58,VLOOKUP(ML$2,职业列表!$B$1:$G$370,6,0))),"★","")</f>
        <v/>
      </c>
      <c r="MM58" s="929" t="str">
        <f>IF(ISNUMBER(SEARCH($A58,VLOOKUP(MM$2,职业列表!$B$1:$G$370,6,0))),"★","")</f>
        <v/>
      </c>
      <c r="MN58" s="929" t="str">
        <f>IF(ISNUMBER(SEARCH($A58,VLOOKUP(MN$2,职业列表!$B$1:$G$370,6,0))),"★","")</f>
        <v/>
      </c>
      <c r="MO58" s="929" t="str">
        <f>IF(ISNUMBER(SEARCH($A58,VLOOKUP(MO$2,职业列表!$B$1:$G$370,6,0))),"★","")</f>
        <v/>
      </c>
      <c r="MP58" s="929" t="str">
        <f>IF(ISNUMBER(SEARCH($A58,VLOOKUP(MP$2,职业列表!$B$1:$G$370,6,0))),"★","")</f>
        <v/>
      </c>
      <c r="MQ58" s="929" t="str">
        <f>IF(ISNUMBER(SEARCH($A58,VLOOKUP(MQ$2,职业列表!$B$1:$G$370,6,0))),"★","")</f>
        <v/>
      </c>
      <c r="MR58" s="929" t="str">
        <f>IF(ISNUMBER(SEARCH($A58,VLOOKUP(MR$2,职业列表!$B$1:$G$370,6,0))),"★","")</f>
        <v/>
      </c>
      <c r="MS58" s="929" t="str">
        <f>IF(ISNUMBER(SEARCH($A58,VLOOKUP(MS$2,职业列表!$B$1:$G$370,6,0))),"★","")</f>
        <v>★</v>
      </c>
      <c r="MT58" s="929" t="str">
        <f>IF(ISNUMBER(SEARCH($A58,VLOOKUP(MT$2,职业列表!$B$1:$G$370,6,0))),"★","")</f>
        <v/>
      </c>
      <c r="MU58" s="929" t="str">
        <f>IF(ISNUMBER(SEARCH($A58,VLOOKUP(MU$2,职业列表!$B$1:$G$370,6,0))),"★","")</f>
        <v/>
      </c>
      <c r="MV58" s="929" t="str">
        <f>IF(ISNUMBER(SEARCH($A58,VLOOKUP(MV$2,职业列表!$B$1:$G$370,6,0))),"★","")</f>
        <v/>
      </c>
      <c r="MW58" s="929" t="str">
        <f>IF(ISNUMBER(SEARCH($A58,VLOOKUP(MW$2,职业列表!$B$1:$G$370,6,0))),"★","")</f>
        <v/>
      </c>
      <c r="MX58" s="929" t="str">
        <f>IF(ISNUMBER(SEARCH($A58,VLOOKUP(MX$2,职业列表!$B$1:$G$370,6,0))),"★","")</f>
        <v/>
      </c>
      <c r="MY58" s="929" t="str">
        <f>IF(ISNUMBER(SEARCH($A58,VLOOKUP(MY$2,职业列表!$B$1:$G$370,6,0))),"★","")</f>
        <v/>
      </c>
      <c r="MZ58" s="929" t="str">
        <f>IF(ISNUMBER(SEARCH($A58,VLOOKUP(MZ$2,职业列表!$B$1:$G$370,6,0))),"★","")</f>
        <v/>
      </c>
      <c r="NA58" s="929" t="str">
        <f>IF(ISNUMBER(SEARCH($A58,VLOOKUP(NA$2,职业列表!$B$1:$G$370,6,0))),"★","")</f>
        <v/>
      </c>
      <c r="NB58" s="929" t="str">
        <f>IF(ISNUMBER(SEARCH($A58,VLOOKUP(NB$2,职业列表!$B$1:$G$370,6,0))),"★","")</f>
        <v/>
      </c>
      <c r="NC58" s="929" t="str">
        <f>IF(ISNUMBER(SEARCH($A58,VLOOKUP(NC$2,职业列表!$B$1:$G$370,6,0))),"★","")</f>
        <v/>
      </c>
      <c r="ND58" s="929" t="str">
        <f>IF(ISNUMBER(SEARCH($A58,VLOOKUP(ND$2,职业列表!$B$1:$G$370,6,0))),"★","")</f>
        <v/>
      </c>
      <c r="NE58" s="929" t="str">
        <f>IF(ISNUMBER(SEARCH($A58,VLOOKUP(NE$2,职业列表!$B$1:$G$370,6,0))),"★","")</f>
        <v/>
      </c>
    </row>
    <row r="59" customFormat="1" spans="1:369">
      <c r="A59" s="932" t="s">
        <v>121</v>
      </c>
      <c r="B59" s="939" t="str">
        <f>IF(OR(A59="说服",A59="话术",A59="取悦",A59="恐吓"),"☯",IF(ISNUMBER(SEARCH(A59,VLOOKUP(IX$2,职业列表!$B$1:$G$370,6,0))),"★",""))</f>
        <v/>
      </c>
      <c r="C59" s="939" t="str">
        <f>IF(ISTEXT(IFERROR(VLOOKUP(A59,职业列表!I3:J10,1,FALSE),0)),"★","")</f>
        <v/>
      </c>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t="s">
        <v>74</v>
      </c>
      <c r="AH59" s="939" t="s">
        <v>74</v>
      </c>
      <c r="AI59" s="939"/>
      <c r="AJ59" s="939"/>
      <c r="AK59" s="939"/>
      <c r="AL59" s="939" t="s">
        <v>74</v>
      </c>
      <c r="AM59" s="939" t="s">
        <v>74</v>
      </c>
      <c r="AN59" s="939" t="s">
        <v>74</v>
      </c>
      <c r="AO59" s="939"/>
      <c r="AP59" s="939"/>
      <c r="AQ59" s="939"/>
      <c r="AR59" s="939"/>
      <c r="AS59" s="939"/>
      <c r="AT59" s="939"/>
      <c r="AU59" s="939"/>
      <c r="AV59" s="939"/>
      <c r="AW59" s="939"/>
      <c r="AX59" s="939"/>
      <c r="AY59" s="939"/>
      <c r="AZ59" s="939"/>
      <c r="BA59" s="939"/>
      <c r="BB59" s="939"/>
      <c r="BC59" s="939"/>
      <c r="BD59" s="939"/>
      <c r="BE59" s="939"/>
      <c r="BF59" s="939"/>
      <c r="BG59" s="939"/>
      <c r="BH59" s="939"/>
      <c r="BI59" s="939" t="s">
        <v>74</v>
      </c>
      <c r="BJ59" s="939"/>
      <c r="BK59" s="939"/>
      <c r="BL59" s="939"/>
      <c r="BM59" s="940" t="s">
        <v>2716</v>
      </c>
      <c r="BN59" s="939"/>
      <c r="BO59" s="939"/>
      <c r="BP59" s="939"/>
      <c r="BQ59" s="939"/>
      <c r="BR59" s="939"/>
      <c r="BS59" s="939"/>
      <c r="BT59" s="939"/>
      <c r="BU59" s="939"/>
      <c r="BV59" s="939"/>
      <c r="BW59" s="939"/>
      <c r="BX59" s="939"/>
      <c r="BY59" s="939"/>
      <c r="BZ59" s="939"/>
      <c r="CA59" s="939"/>
      <c r="CB59" s="939"/>
      <c r="CC59" s="939"/>
      <c r="CD59" s="939"/>
      <c r="CE59" s="939"/>
      <c r="CF59" s="939"/>
      <c r="CG59" s="939"/>
      <c r="CH59" s="939"/>
      <c r="CI59" s="939"/>
      <c r="CJ59" s="939"/>
      <c r="CK59" s="939"/>
      <c r="CL59" s="939"/>
      <c r="CM59" s="939"/>
      <c r="CN59" s="939"/>
      <c r="CO59" s="939"/>
      <c r="CP59" s="939"/>
      <c r="CQ59" s="939"/>
      <c r="CR59" s="939" t="s">
        <v>74</v>
      </c>
      <c r="CS59" s="939"/>
      <c r="CT59" s="939"/>
      <c r="CU59" s="939"/>
      <c r="CV59" s="939"/>
      <c r="CW59" s="939"/>
      <c r="CX59" s="939" t="s">
        <v>2716</v>
      </c>
      <c r="CY59" s="939"/>
      <c r="CZ59" s="939"/>
      <c r="DA59" s="939"/>
      <c r="DB59" s="939"/>
      <c r="DC59" s="939" t="s">
        <v>74</v>
      </c>
      <c r="DD59" s="939"/>
      <c r="DE59" s="939"/>
      <c r="DF59" s="939"/>
      <c r="DG59" s="939"/>
      <c r="DH59" s="939"/>
      <c r="DI59" s="939"/>
      <c r="DJ59" s="939"/>
      <c r="DK59" s="939"/>
      <c r="DL59" s="939"/>
      <c r="DM59" s="939"/>
      <c r="DN59" s="939"/>
      <c r="DO59" s="939"/>
      <c r="DP59" s="939"/>
      <c r="DQ59" s="939"/>
      <c r="DR59" s="939"/>
      <c r="DS59" s="939"/>
      <c r="DT59" s="939"/>
      <c r="DU59" s="939"/>
      <c r="DV59" s="939"/>
      <c r="DW59" s="939"/>
      <c r="DX59" s="939"/>
      <c r="DY59" s="939"/>
      <c r="DZ59" s="939"/>
      <c r="EA59" s="939" t="s">
        <v>74</v>
      </c>
      <c r="EB59" s="939"/>
      <c r="EC59" s="939" t="s">
        <v>74</v>
      </c>
      <c r="ED59" s="939"/>
      <c r="EE59" s="939"/>
      <c r="EF59" s="939"/>
      <c r="EG59" s="939"/>
      <c r="EH59" s="939"/>
      <c r="EI59" s="939"/>
      <c r="EJ59" s="939"/>
      <c r="EK59" s="939"/>
      <c r="EL59" s="939"/>
      <c r="EM59" s="939"/>
      <c r="EN59" s="939"/>
      <c r="EO59" s="939"/>
      <c r="EP59" s="939"/>
      <c r="EQ59" s="939"/>
      <c r="ER59" s="939" t="s">
        <v>2716</v>
      </c>
      <c r="ES59" s="939"/>
      <c r="ET59" s="939"/>
      <c r="EU59" s="939"/>
      <c r="EV59" s="939"/>
      <c r="EW59" s="939"/>
      <c r="EX59" s="939"/>
      <c r="EY59" s="939"/>
      <c r="EZ59" s="939"/>
      <c r="FA59" s="939"/>
      <c r="FB59" s="939"/>
      <c r="FC59" s="939"/>
      <c r="FD59" s="939"/>
      <c r="FE59" s="939"/>
      <c r="FF59" s="939"/>
      <c r="FG59" s="939"/>
      <c r="FH59" s="939"/>
      <c r="FI59" s="939"/>
      <c r="FJ59" s="940"/>
      <c r="FK59" s="939"/>
      <c r="FL59" s="939"/>
      <c r="FM59" s="939"/>
      <c r="FN59" s="939" t="s">
        <v>74</v>
      </c>
      <c r="FO59" s="939"/>
      <c r="FP59" s="939"/>
      <c r="FQ59" s="939"/>
      <c r="FR59" s="939"/>
      <c r="FS59" s="939"/>
      <c r="FT59" s="939"/>
      <c r="FU59" s="939"/>
      <c r="FV59" s="939"/>
      <c r="FW59" s="939"/>
      <c r="FX59" s="939"/>
      <c r="FY59" s="939"/>
      <c r="FZ59" s="939"/>
      <c r="GA59" s="939"/>
      <c r="GB59" s="939"/>
      <c r="GC59" s="939"/>
      <c r="GD59" s="939"/>
      <c r="GE59" s="939"/>
      <c r="GF59" s="939"/>
      <c r="GG59" s="939"/>
      <c r="GH59" s="939"/>
      <c r="GI59" s="939"/>
      <c r="GJ59" s="939"/>
      <c r="GK59" s="939"/>
      <c r="GL59" s="939"/>
      <c r="GM59" s="939"/>
      <c r="GN59" s="939"/>
      <c r="GO59" s="939"/>
      <c r="GP59" s="939"/>
      <c r="GQ59" s="939"/>
      <c r="GR59" s="939"/>
      <c r="GS59" s="939"/>
      <c r="GT59" s="939"/>
      <c r="GU59" s="939"/>
      <c r="GV59" s="939"/>
      <c r="GW59" s="939"/>
      <c r="GX59" s="939"/>
      <c r="GY59" s="939"/>
      <c r="GZ59" s="939"/>
      <c r="HA59" s="939"/>
      <c r="HB59" s="939"/>
      <c r="HC59" s="939"/>
      <c r="HD59" s="939"/>
      <c r="HE59" s="939"/>
      <c r="HF59" s="939"/>
      <c r="HG59" s="939"/>
      <c r="HH59" s="939"/>
      <c r="HI59" s="939"/>
      <c r="HJ59" s="939"/>
      <c r="HK59" s="939"/>
      <c r="HL59" s="939"/>
      <c r="HM59" s="939"/>
      <c r="HN59" s="939"/>
      <c r="HO59" s="939"/>
      <c r="HP59" s="939"/>
      <c r="HQ59" s="939"/>
      <c r="HR59" s="939"/>
      <c r="HS59" s="939"/>
      <c r="HT59" s="939"/>
      <c r="HU59" s="939"/>
      <c r="HV59" s="939"/>
      <c r="HW59" s="939"/>
      <c r="HX59" s="990"/>
      <c r="HY59" s="1012"/>
      <c r="HZ59" s="1012"/>
      <c r="IA59" s="1012"/>
      <c r="IB59" s="939"/>
      <c r="IC59" s="1013"/>
      <c r="ID59" s="1013"/>
      <c r="IE59" s="1012"/>
      <c r="IF59" s="1012"/>
      <c r="IG59" s="1012"/>
      <c r="IH59" s="1012"/>
      <c r="II59" s="1012"/>
      <c r="IJ59" s="1012"/>
      <c r="IK59" s="1012"/>
      <c r="IL59" s="1012"/>
      <c r="IM59" s="1012"/>
      <c r="IN59" s="1012"/>
      <c r="IO59" s="1012"/>
      <c r="IP59" s="1013"/>
      <c r="IQ59" s="1013"/>
      <c r="IR59" s="1012"/>
      <c r="IS59" s="1012"/>
      <c r="IT59" s="1012"/>
      <c r="IU59" s="1012"/>
      <c r="IV59" s="1012"/>
      <c r="IW59" s="929"/>
      <c r="IX59" s="929" t="str">
        <f>IF(ISNUMBER(SEARCH($A59,VLOOKUP(IX$2,职业列表!$B$1:$G$370,6,0))),"★","")</f>
        <v/>
      </c>
      <c r="IY59" s="929" t="str">
        <f>IF(ISNUMBER(SEARCH($A59,VLOOKUP(IY$2,职业列表!$B$1:$G$370,6,0))),"★","")</f>
        <v/>
      </c>
      <c r="IZ59" s="929" t="str">
        <f>IF(ISNUMBER(SEARCH($A59,VLOOKUP(IZ$2,职业列表!$B$1:$G$370,6,0))),"★","")</f>
        <v/>
      </c>
      <c r="JA59" s="929" t="str">
        <f>IF(ISNUMBER(SEARCH($A59,VLOOKUP(JA$2,职业列表!$B$1:$G$370,6,0))),"★","")</f>
        <v>★</v>
      </c>
      <c r="JB59" s="929" t="str">
        <f>IF(ISNUMBER(SEARCH($A59,VLOOKUP(JB$2,职业列表!$B$1:$G$370,6,0))),"★","")</f>
        <v/>
      </c>
      <c r="JC59" s="929" t="str">
        <f>IF(ISNUMBER(SEARCH($A59,VLOOKUP(JC$2,职业列表!$B$1:$G$370,6,0))),"★","")</f>
        <v/>
      </c>
      <c r="JD59" s="929" t="str">
        <f>IF(ISNUMBER(SEARCH($A59,VLOOKUP(JD$2,职业列表!$B$1:$G$370,6,0))),"★","")</f>
        <v/>
      </c>
      <c r="JE59" s="929" t="str">
        <f>IF(ISNUMBER(SEARCH($A59,VLOOKUP(JE$2,职业列表!$B$1:$G$370,6,0))),"★","")</f>
        <v/>
      </c>
      <c r="JF59" s="929" t="str">
        <f>IF(ISNUMBER(SEARCH($A59,VLOOKUP(JF$2,职业列表!$B$1:$G$370,6,0))),"★","")</f>
        <v/>
      </c>
      <c r="JG59" s="929" t="str">
        <f>IF(ISNUMBER(SEARCH($A59,VLOOKUP(JG$2,职业列表!$B$1:$G$370,6,0))),"★","")</f>
        <v/>
      </c>
      <c r="JH59" s="929" t="str">
        <f>IF(ISNUMBER(SEARCH($A59,VLOOKUP(JH$2,职业列表!$B$1:$G$370,6,0))),"★","")</f>
        <v/>
      </c>
      <c r="JI59" s="929" t="str">
        <f>IF(ISNUMBER(SEARCH($A59,VLOOKUP(JI$2,职业列表!$B$1:$G$370,6,0))),"★","")</f>
        <v/>
      </c>
      <c r="JJ59" s="929" t="str">
        <f>IF(ISNUMBER(SEARCH($A59,VLOOKUP(JJ$2,职业列表!$B$1:$G$370,6,0))),"★","")</f>
        <v/>
      </c>
      <c r="JK59" s="929" t="str">
        <f>IF(ISNUMBER(SEARCH($A59,VLOOKUP(JK$2,职业列表!$B$1:$G$370,6,0))),"★","")</f>
        <v/>
      </c>
      <c r="JL59" s="929" t="str">
        <f>IF(ISNUMBER(SEARCH($A59,VLOOKUP(JL$2,职业列表!$B$1:$G$370,6,0))),"★","")</f>
        <v/>
      </c>
      <c r="JM59" s="929" t="str">
        <f>IF(ISNUMBER(SEARCH($A59,VLOOKUP(JM$2,职业列表!$B$1:$G$370,6,0))),"★","")</f>
        <v/>
      </c>
      <c r="JN59" s="929" t="str">
        <f>IF(ISNUMBER(SEARCH($A59,VLOOKUP(JN$2,职业列表!$B$1:$G$370,6,0))),"★","")</f>
        <v/>
      </c>
      <c r="JO59" s="929" t="str">
        <f>IF(ISNUMBER(SEARCH($A59,VLOOKUP(JO$2,职业列表!$B$1:$G$370,6,0))),"★","")</f>
        <v/>
      </c>
      <c r="JP59" s="929" t="str">
        <f>IF(ISNUMBER(SEARCH($A59,VLOOKUP(JP$2,职业列表!$B$1:$G$370,6,0))),"★","")</f>
        <v/>
      </c>
      <c r="JQ59" s="929" t="str">
        <f>IF(ISNUMBER(SEARCH($A59,VLOOKUP(JQ$2,职业列表!$B$1:$G$370,6,0))),"★","")</f>
        <v/>
      </c>
      <c r="JR59" s="929" t="str">
        <f>IF(ISNUMBER(SEARCH($A59,VLOOKUP(JR$2,职业列表!$B$1:$G$370,6,0))),"★","")</f>
        <v/>
      </c>
      <c r="JS59" s="929" t="str">
        <f>IF(ISNUMBER(SEARCH($A59,VLOOKUP(JS$2,职业列表!$B$1:$G$370,6,0))),"★","")</f>
        <v/>
      </c>
      <c r="JT59" s="929" t="str">
        <f>IF(ISNUMBER(SEARCH($A59,VLOOKUP(JT$2,职业列表!$B$1:$G$370,6,0))),"★","")</f>
        <v/>
      </c>
      <c r="JU59" s="929" t="str">
        <f>IF(ISNUMBER(SEARCH($A59,VLOOKUP(JU$2,职业列表!$B$1:$G$370,6,0))),"★","")</f>
        <v/>
      </c>
      <c r="JV59" s="929" t="str">
        <f>IF(ISNUMBER(SEARCH($A59,VLOOKUP(JV$2,职业列表!$B$1:$G$370,6,0))),"★","")</f>
        <v/>
      </c>
      <c r="JW59" s="929" t="str">
        <f>IF(ISNUMBER(SEARCH($A59,VLOOKUP(JW$2,职业列表!$B$1:$G$370,6,0))),"★","")</f>
        <v/>
      </c>
      <c r="JX59" s="929" t="str">
        <f>IF(ISNUMBER(SEARCH($A59,VLOOKUP(JX$2,职业列表!$B$1:$G$370,6,0))),"★","")</f>
        <v/>
      </c>
      <c r="JY59" s="929" t="str">
        <f>IF(ISNUMBER(SEARCH($A59,VLOOKUP(JY$2,职业列表!$B$1:$G$370,6,0))),"★","")</f>
        <v/>
      </c>
      <c r="JZ59" s="929" t="str">
        <f>IF(ISNUMBER(SEARCH($A59,VLOOKUP(JZ$2,职业列表!$B$1:$G$370,6,0))),"★","")</f>
        <v/>
      </c>
      <c r="KA59" s="929" t="str">
        <f>IF(ISNUMBER(SEARCH($A59,VLOOKUP(KA$2,职业列表!$B$1:$G$370,6,0))),"★","")</f>
        <v/>
      </c>
      <c r="KB59" s="929" t="str">
        <f>IF(ISNUMBER(SEARCH($A59,VLOOKUP(KB$2,职业列表!$B$1:$G$370,6,0))),"★","")</f>
        <v/>
      </c>
      <c r="KC59" s="929" t="str">
        <f>IF(ISNUMBER(SEARCH($A59,VLOOKUP(KC$2,职业列表!$B$1:$G$370,6,0))),"★","")</f>
        <v/>
      </c>
      <c r="KD59" s="929" t="str">
        <f>IF(ISNUMBER(SEARCH($A59,VLOOKUP(KD$2,职业列表!$B$1:$G$370,6,0))),"★","")</f>
        <v/>
      </c>
      <c r="KE59" s="929" t="str">
        <f>IF(ISNUMBER(SEARCH($A59,VLOOKUP(KE$2,职业列表!$B$1:$G$370,6,0))),"★","")</f>
        <v/>
      </c>
      <c r="KF59" s="929" t="str">
        <f>IF(ISNUMBER(SEARCH($A59,VLOOKUP(KF$2,职业列表!$B$1:$G$370,6,0))),"★","")</f>
        <v/>
      </c>
      <c r="KG59" s="929" t="str">
        <f>IF(ISNUMBER(SEARCH($A59,VLOOKUP(KG$2,职业列表!$B$1:$G$370,6,0))),"★","")</f>
        <v/>
      </c>
      <c r="KH59" s="929" t="str">
        <f>IF(ISNUMBER(SEARCH($A59,VLOOKUP(KH$2,职业列表!$B$1:$G$370,6,0))),"★","")</f>
        <v>★</v>
      </c>
      <c r="KI59" s="929" t="str">
        <f>IF(ISNUMBER(SEARCH($A59,VLOOKUP(KI$2,职业列表!$B$1:$G$370,6,0))),"★","")</f>
        <v/>
      </c>
      <c r="KJ59" s="929" t="str">
        <f>IF(ISNUMBER(SEARCH($A59,VLOOKUP(KJ$2,职业列表!$B$1:$G$370,6,0))),"★","")</f>
        <v/>
      </c>
      <c r="KK59" s="929" t="str">
        <f>IF(ISNUMBER(SEARCH($A59,VLOOKUP(KK$2,职业列表!$B$1:$G$370,6,0))),"★","")</f>
        <v/>
      </c>
      <c r="KL59" s="929" t="str">
        <f>IF(ISNUMBER(SEARCH($A59,VLOOKUP(KL$2,职业列表!$B$1:$G$370,6,0))),"★","")</f>
        <v/>
      </c>
      <c r="KM59" s="929" t="str">
        <f>IF(ISNUMBER(SEARCH($A59,VLOOKUP(KM$2,职业列表!$B$1:$G$370,6,0))),"★","")</f>
        <v/>
      </c>
      <c r="KN59" s="929" t="str">
        <f>IF(ISNUMBER(SEARCH($A59,VLOOKUP(KN$2,职业列表!$B$1:$G$370,6,0))),"★","")</f>
        <v/>
      </c>
      <c r="KO59" s="929" t="str">
        <f>IF(ISNUMBER(SEARCH($A59,VLOOKUP(KO$2,职业列表!$B$1:$G$370,6,0))),"★","")</f>
        <v/>
      </c>
      <c r="KP59" s="929" t="str">
        <f>IF(ISNUMBER(SEARCH($A59,VLOOKUP(KP$2,职业列表!$B$1:$G$370,6,0))),"★","")</f>
        <v/>
      </c>
      <c r="KQ59" s="929" t="str">
        <f>IF(ISNUMBER(SEARCH($A59,VLOOKUP(KQ$2,职业列表!$B$1:$G$370,6,0))),"★","")</f>
        <v/>
      </c>
      <c r="KR59" s="929" t="str">
        <f>IF(ISNUMBER(SEARCH($A59,VLOOKUP(KR$2,职业列表!$B$1:$G$370,6,0))),"★","")</f>
        <v/>
      </c>
      <c r="KS59" s="929" t="str">
        <f>IF(ISNUMBER(SEARCH($A59,VLOOKUP(KS$2,职业列表!$B$1:$G$370,6,0))),"★","")</f>
        <v/>
      </c>
      <c r="KT59" s="929" t="str">
        <f>IF(ISNUMBER(SEARCH($A59,VLOOKUP(KT$2,职业列表!$B$1:$G$370,6,0))),"★","")</f>
        <v/>
      </c>
      <c r="KU59" s="929" t="str">
        <f>IF(ISNUMBER(SEARCH($A59,VLOOKUP(KU$2,职业列表!$B$1:$G$370,6,0))),"★","")</f>
        <v/>
      </c>
      <c r="KV59" s="929" t="str">
        <f>IF(ISNUMBER(SEARCH($A59,VLOOKUP(KV$2,职业列表!$B$1:$G$370,6,0))),"★","")</f>
        <v/>
      </c>
      <c r="KW59" s="929" t="str">
        <f>IF(ISNUMBER(SEARCH($A59,VLOOKUP(KW$2,职业列表!$B$1:$G$370,6,0))),"★","")</f>
        <v/>
      </c>
      <c r="KX59" s="929" t="str">
        <f>IF(ISNUMBER(SEARCH($A59,VLOOKUP(KX$2,职业列表!$B$1:$G$370,6,0))),"★","")</f>
        <v/>
      </c>
      <c r="KY59" s="929" t="str">
        <f>IF(ISNUMBER(SEARCH($A59,VLOOKUP(KY$2,职业列表!$B$1:$G$370,6,0))),"★","")</f>
        <v/>
      </c>
      <c r="KZ59" s="929" t="str">
        <f>IF(ISNUMBER(SEARCH($A59,VLOOKUP(KZ$2,职业列表!$B$1:$G$370,6,0))),"★","")</f>
        <v/>
      </c>
      <c r="LA59" s="929" t="str">
        <f>IF(ISNUMBER(SEARCH($A59,VLOOKUP(LA$2,职业列表!$B$1:$G$370,6,0))),"★","")</f>
        <v/>
      </c>
      <c r="LB59" s="929" t="str">
        <f>IF(ISNUMBER(SEARCH($A59,VLOOKUP(LB$2,职业列表!$B$1:$G$370,6,0))),"★","")</f>
        <v/>
      </c>
      <c r="LC59" s="929" t="str">
        <f>IF(ISNUMBER(SEARCH($A59,VLOOKUP(LC$2,职业列表!$B$1:$G$370,6,0))),"★","")</f>
        <v/>
      </c>
      <c r="LD59" s="929" t="str">
        <f>IF(ISNUMBER(SEARCH($A59,VLOOKUP(LD$2,职业列表!$B$1:$G$370,6,0))),"★","")</f>
        <v/>
      </c>
      <c r="LE59" s="929" t="str">
        <f>IF(ISNUMBER(SEARCH($A59,VLOOKUP(LE$2,职业列表!$B$1:$G$370,6,0))),"★","")</f>
        <v/>
      </c>
      <c r="LF59" s="929" t="str">
        <f>IF(ISNUMBER(SEARCH($A59,VLOOKUP(LF$2,职业列表!$B$1:$G$370,6,0))),"★","")</f>
        <v/>
      </c>
      <c r="LG59" s="929" t="str">
        <f>IF(ISNUMBER(SEARCH($A59,VLOOKUP(LG$2,职业列表!$B$1:$G$370,6,0))),"★","")</f>
        <v/>
      </c>
      <c r="LH59" s="929" t="str">
        <f>IF(ISNUMBER(SEARCH($A59,VLOOKUP(LH$2,职业列表!$B$1:$G$370,6,0))),"★","")</f>
        <v/>
      </c>
      <c r="LI59" s="929" t="str">
        <f>IF(ISNUMBER(SEARCH($A59,VLOOKUP(LI$2,职业列表!$B$1:$G$370,6,0))),"★","")</f>
        <v/>
      </c>
      <c r="LJ59" s="929" t="str">
        <f>IF(ISNUMBER(SEARCH($A59,VLOOKUP(LJ$2,职业列表!$B$1:$G$370,6,0))),"★","")</f>
        <v/>
      </c>
      <c r="LK59" s="929" t="str">
        <f>IF(ISNUMBER(SEARCH($A59,VLOOKUP(LK$2,职业列表!$B$1:$G$370,6,0))),"★","")</f>
        <v/>
      </c>
      <c r="LL59" s="929" t="str">
        <f>IF(ISNUMBER(SEARCH($A59,VLOOKUP(LL$2,职业列表!$B$1:$G$370,6,0))),"★","")</f>
        <v/>
      </c>
      <c r="LM59" s="929" t="str">
        <f>IF(ISNUMBER(SEARCH($A59,VLOOKUP(LM$2,职业列表!$B$1:$G$370,6,0))),"★","")</f>
        <v/>
      </c>
      <c r="LN59" s="929" t="str">
        <f>IF(ISNUMBER(SEARCH($A59,VLOOKUP(LN$2,职业列表!$B$1:$G$370,6,0))),"★","")</f>
        <v/>
      </c>
      <c r="LO59" s="929" t="str">
        <f>IF(ISNUMBER(SEARCH($A59,VLOOKUP(LO$2,职业列表!$B$1:$G$370,6,0))),"★","")</f>
        <v/>
      </c>
      <c r="LP59" s="929" t="str">
        <f>IF(ISNUMBER(SEARCH($A59,VLOOKUP(LP$2,职业列表!$B$1:$G$370,6,0))),"★","")</f>
        <v/>
      </c>
      <c r="LQ59" s="929" t="str">
        <f>IF(ISNUMBER(SEARCH($A59,VLOOKUP(LQ$2,职业列表!$B$1:$G$370,6,0))),"★","")</f>
        <v/>
      </c>
      <c r="LR59" s="929" t="str">
        <f>IF(ISNUMBER(SEARCH($A59,VLOOKUP(LR$2,职业列表!$B$1:$G$370,6,0))),"★","")</f>
        <v/>
      </c>
      <c r="LS59" s="929" t="str">
        <f>IF(ISNUMBER(SEARCH($A59,VLOOKUP(LS$2,职业列表!$B$1:$G$370,6,0))),"★","")</f>
        <v/>
      </c>
      <c r="LT59" s="929" t="str">
        <f>IF(ISNUMBER(SEARCH($A59,VLOOKUP(LT$2,职业列表!$B$1:$G$370,6,0))),"★","")</f>
        <v/>
      </c>
      <c r="LU59" s="929" t="str">
        <f>IF(ISNUMBER(SEARCH($A59,VLOOKUP(LU$2,职业列表!$B$1:$G$370,6,0))),"★","")</f>
        <v/>
      </c>
      <c r="LV59" s="929" t="str">
        <f>IF(ISNUMBER(SEARCH($A59,VLOOKUP(LV$2,职业列表!$B$1:$G$370,6,0))),"★","")</f>
        <v/>
      </c>
      <c r="LW59" s="929" t="str">
        <f>IF(ISNUMBER(SEARCH($A59,VLOOKUP(LW$2,职业列表!$B$1:$G$370,6,0))),"★","")</f>
        <v/>
      </c>
      <c r="LX59" s="929" t="str">
        <f>IF(ISNUMBER(SEARCH($A59,VLOOKUP(LX$2,职业列表!$B$1:$G$370,6,0))),"★","")</f>
        <v/>
      </c>
      <c r="LY59" s="929" t="str">
        <f>IF(ISNUMBER(SEARCH($A59,VLOOKUP(LY$2,职业列表!$B$1:$G$370,6,0))),"★","")</f>
        <v/>
      </c>
      <c r="LZ59" s="929" t="str">
        <f>IF(ISNUMBER(SEARCH($A59,VLOOKUP(LZ$2,职业列表!$B$1:$G$370,6,0))),"★","")</f>
        <v/>
      </c>
      <c r="MA59" s="929" t="str">
        <f>IF(ISNUMBER(SEARCH($A59,VLOOKUP(MA$2,职业列表!$B$1:$G$370,6,0))),"★","")</f>
        <v/>
      </c>
      <c r="MB59" s="929" t="str">
        <f>IF(ISNUMBER(SEARCH($A59,VLOOKUP(MB$2,职业列表!$B$1:$G$370,6,0))),"★","")</f>
        <v/>
      </c>
      <c r="MC59" s="929" t="str">
        <f>IF(ISNUMBER(SEARCH($A59,VLOOKUP(MC$2,职业列表!$B$1:$G$370,6,0))),"★","")</f>
        <v/>
      </c>
      <c r="MD59" s="929" t="str">
        <f>IF(ISNUMBER(SEARCH($A59,VLOOKUP(MD$2,职业列表!$B$1:$G$370,6,0))),"★","")</f>
        <v/>
      </c>
      <c r="ME59" s="929" t="str">
        <f>IF(ISNUMBER(SEARCH($A59,VLOOKUP(ME$2,职业列表!$B$1:$G$370,6,0))),"★","")</f>
        <v/>
      </c>
      <c r="MF59" s="929" t="str">
        <f>IF(ISNUMBER(SEARCH($A59,VLOOKUP(MF$2,职业列表!$B$1:$G$370,6,0))),"★","")</f>
        <v/>
      </c>
      <c r="MG59" s="929" t="str">
        <f>IF(ISNUMBER(SEARCH($A59,VLOOKUP(MG$2,职业列表!$B$1:$G$370,6,0))),"★","")</f>
        <v/>
      </c>
      <c r="MH59" s="929" t="str">
        <f>IF(ISNUMBER(SEARCH($A59,VLOOKUP(MH$2,职业列表!$B$1:$G$370,6,0))),"★","")</f>
        <v/>
      </c>
      <c r="MI59" s="929" t="str">
        <f>IF(ISNUMBER(SEARCH($A59,VLOOKUP(MI$2,职业列表!$B$1:$G$370,6,0))),"★","")</f>
        <v/>
      </c>
      <c r="MJ59" s="929" t="str">
        <f>IF(ISNUMBER(SEARCH($A59,VLOOKUP(MJ$2,职业列表!$B$1:$G$370,6,0))),"★","")</f>
        <v/>
      </c>
      <c r="MK59" s="929" t="str">
        <f>IF(ISNUMBER(SEARCH($A59,VLOOKUP(MK$2,职业列表!$B$1:$G$370,6,0))),"★","")</f>
        <v/>
      </c>
      <c r="ML59" s="929" t="str">
        <f>IF(ISNUMBER(SEARCH($A59,VLOOKUP(ML$2,职业列表!$B$1:$G$370,6,0))),"★","")</f>
        <v/>
      </c>
      <c r="MM59" s="929" t="str">
        <f>IF(ISNUMBER(SEARCH($A59,VLOOKUP(MM$2,职业列表!$B$1:$G$370,6,0))),"★","")</f>
        <v/>
      </c>
      <c r="MN59" s="929" t="str">
        <f>IF(ISNUMBER(SEARCH($A59,VLOOKUP(MN$2,职业列表!$B$1:$G$370,6,0))),"★","")</f>
        <v/>
      </c>
      <c r="MO59" s="929" t="str">
        <f>IF(ISNUMBER(SEARCH($A59,VLOOKUP(MO$2,职业列表!$B$1:$G$370,6,0))),"★","")</f>
        <v/>
      </c>
      <c r="MP59" s="929" t="str">
        <f>IF(ISNUMBER(SEARCH($A59,VLOOKUP(MP$2,职业列表!$B$1:$G$370,6,0))),"★","")</f>
        <v/>
      </c>
      <c r="MQ59" s="929" t="str">
        <f>IF(ISNUMBER(SEARCH($A59,VLOOKUP(MQ$2,职业列表!$B$1:$G$370,6,0))),"★","")</f>
        <v/>
      </c>
      <c r="MR59" s="929" t="str">
        <f>IF(ISNUMBER(SEARCH($A59,VLOOKUP(MR$2,职业列表!$B$1:$G$370,6,0))),"★","")</f>
        <v/>
      </c>
      <c r="MS59" s="929" t="str">
        <f>IF(ISNUMBER(SEARCH($A59,VLOOKUP(MS$2,职业列表!$B$1:$G$370,6,0))),"★","")</f>
        <v/>
      </c>
      <c r="MT59" s="929" t="str">
        <f>IF(ISNUMBER(SEARCH($A59,VLOOKUP(MT$2,职业列表!$B$1:$G$370,6,0))),"★","")</f>
        <v/>
      </c>
      <c r="MU59" s="929" t="str">
        <f>IF(ISNUMBER(SEARCH($A59,VLOOKUP(MU$2,职业列表!$B$1:$G$370,6,0))),"★","")</f>
        <v/>
      </c>
      <c r="MV59" s="929" t="str">
        <f>IF(ISNUMBER(SEARCH($A59,VLOOKUP(MV$2,职业列表!$B$1:$G$370,6,0))),"★","")</f>
        <v/>
      </c>
      <c r="MW59" s="929" t="str">
        <f>IF(ISNUMBER(SEARCH($A59,VLOOKUP(MW$2,职业列表!$B$1:$G$370,6,0))),"★","")</f>
        <v/>
      </c>
      <c r="MX59" s="929" t="str">
        <f>IF(ISNUMBER(SEARCH($A59,VLOOKUP(MX$2,职业列表!$B$1:$G$370,6,0))),"★","")</f>
        <v/>
      </c>
      <c r="MY59" s="929" t="str">
        <f>IF(ISNUMBER(SEARCH($A59,VLOOKUP(MY$2,职业列表!$B$1:$G$370,6,0))),"★","")</f>
        <v/>
      </c>
      <c r="MZ59" s="929" t="str">
        <f>IF(ISNUMBER(SEARCH($A59,VLOOKUP(MZ$2,职业列表!$B$1:$G$370,6,0))),"★","")</f>
        <v/>
      </c>
      <c r="NA59" s="929" t="str">
        <f>IF(ISNUMBER(SEARCH($A59,VLOOKUP(NA$2,职业列表!$B$1:$G$370,6,0))),"★","")</f>
        <v/>
      </c>
      <c r="NB59" s="929" t="str">
        <f>IF(ISNUMBER(SEARCH($A59,VLOOKUP(NB$2,职业列表!$B$1:$G$370,6,0))),"★","")</f>
        <v/>
      </c>
      <c r="NC59" s="929" t="str">
        <f>IF(ISNUMBER(SEARCH($A59,VLOOKUP(NC$2,职业列表!$B$1:$G$370,6,0))),"★","")</f>
        <v/>
      </c>
      <c r="ND59" s="929" t="str">
        <f>IF(ISNUMBER(SEARCH($A59,VLOOKUP(ND$2,职业列表!$B$1:$G$370,6,0))),"★","")</f>
        <v/>
      </c>
      <c r="NE59" s="929" t="str">
        <f>IF(ISNUMBER(SEARCH($A59,VLOOKUP(NE$2,职业列表!$B$1:$G$370,6,0))),"★","")</f>
        <v/>
      </c>
    </row>
    <row r="60" customFormat="1" spans="1:369">
      <c r="A60" s="932" t="s">
        <v>123</v>
      </c>
      <c r="B60" s="957" t="str">
        <f>IF(OR(A60="说服",A60="话术",A60="取悦",A60="恐吓"),"☯",IF(ISNUMBER(SEARCH(A60,VLOOKUP(IX$2,职业列表!$B$1:$G$370,6,0))),"★",""))</f>
        <v>★</v>
      </c>
      <c r="C60" s="939" t="str">
        <f>IF(ISTEXT(IFERROR(VLOOKUP(A60,职业列表!I3:J10,1,FALSE),0)),"★","")</f>
        <v/>
      </c>
      <c r="D60" s="957" t="s">
        <v>74</v>
      </c>
      <c r="E60" s="957" t="s">
        <v>74</v>
      </c>
      <c r="F60" s="957"/>
      <c r="G60" s="957"/>
      <c r="H60" s="957"/>
      <c r="I60" s="957"/>
      <c r="J60" s="957"/>
      <c r="K60" s="957" t="s">
        <v>74</v>
      </c>
      <c r="L60" s="957"/>
      <c r="M60" s="957" t="s">
        <v>74</v>
      </c>
      <c r="N60" s="957"/>
      <c r="O60" s="957" t="s">
        <v>74</v>
      </c>
      <c r="P60" s="957"/>
      <c r="Q60" s="957"/>
      <c r="R60" s="957"/>
      <c r="S60" s="957" t="s">
        <v>74</v>
      </c>
      <c r="T60" s="957" t="s">
        <v>2716</v>
      </c>
      <c r="U60" s="957"/>
      <c r="V60" s="957"/>
      <c r="W60" s="957" t="s">
        <v>74</v>
      </c>
      <c r="X60" s="957" t="s">
        <v>74</v>
      </c>
      <c r="Y60" s="957"/>
      <c r="Z60" s="957" t="s">
        <v>74</v>
      </c>
      <c r="AA60" s="957" t="s">
        <v>74</v>
      </c>
      <c r="AB60" s="957"/>
      <c r="AC60" s="963" t="s">
        <v>74</v>
      </c>
      <c r="AD60" s="957"/>
      <c r="AE60" s="957"/>
      <c r="AF60" s="957" t="s">
        <v>74</v>
      </c>
      <c r="AG60" s="957" t="s">
        <v>74</v>
      </c>
      <c r="AH60" s="957"/>
      <c r="AI60" s="957" t="s">
        <v>74</v>
      </c>
      <c r="AJ60" s="957"/>
      <c r="AK60" s="957" t="s">
        <v>74</v>
      </c>
      <c r="AL60" s="957" t="s">
        <v>74</v>
      </c>
      <c r="AM60" s="957" t="s">
        <v>74</v>
      </c>
      <c r="AN60" s="957"/>
      <c r="AO60" s="957" t="s">
        <v>74</v>
      </c>
      <c r="AP60" s="957"/>
      <c r="AQ60" s="957" t="s">
        <v>74</v>
      </c>
      <c r="AR60" s="957"/>
      <c r="AS60" s="957" t="s">
        <v>74</v>
      </c>
      <c r="AT60" s="957"/>
      <c r="AU60" s="957"/>
      <c r="AV60" s="957" t="s">
        <v>74</v>
      </c>
      <c r="AW60" s="957"/>
      <c r="AX60" s="957" t="s">
        <v>74</v>
      </c>
      <c r="AY60" s="957" t="s">
        <v>74</v>
      </c>
      <c r="AZ60" s="957"/>
      <c r="BA60" s="957"/>
      <c r="BB60" s="957"/>
      <c r="BC60" s="957"/>
      <c r="BD60" s="957"/>
      <c r="BE60" s="957" t="s">
        <v>74</v>
      </c>
      <c r="BF60" s="957"/>
      <c r="BG60" s="957"/>
      <c r="BH60" s="957" t="s">
        <v>74</v>
      </c>
      <c r="BI60" s="957" t="s">
        <v>74</v>
      </c>
      <c r="BJ60" s="957" t="s">
        <v>74</v>
      </c>
      <c r="BK60" s="957"/>
      <c r="BL60" s="957"/>
      <c r="BM60" s="957"/>
      <c r="BN60" s="957"/>
      <c r="BO60" s="970"/>
      <c r="BP60" s="957" t="s">
        <v>74</v>
      </c>
      <c r="BQ60" s="957"/>
      <c r="BR60" s="957" t="s">
        <v>74</v>
      </c>
      <c r="BS60" s="957"/>
      <c r="BT60" s="957"/>
      <c r="BU60" s="957" t="s">
        <v>74</v>
      </c>
      <c r="BV60" s="957"/>
      <c r="BW60" s="957"/>
      <c r="BX60" s="957"/>
      <c r="BY60" s="957"/>
      <c r="BZ60" s="957"/>
      <c r="CA60" s="957"/>
      <c r="CB60" s="957" t="s">
        <v>74</v>
      </c>
      <c r="CC60" s="957"/>
      <c r="CD60" s="957" t="s">
        <v>74</v>
      </c>
      <c r="CE60" s="957"/>
      <c r="CF60" s="957" t="s">
        <v>74</v>
      </c>
      <c r="CG60" s="957"/>
      <c r="CH60" s="957"/>
      <c r="CI60" s="957" t="s">
        <v>74</v>
      </c>
      <c r="CJ60" s="957"/>
      <c r="CK60" s="957"/>
      <c r="CL60" s="957" t="s">
        <v>74</v>
      </c>
      <c r="CM60" s="957" t="s">
        <v>74</v>
      </c>
      <c r="CN60" s="957" t="s">
        <v>74</v>
      </c>
      <c r="CO60" s="957" t="s">
        <v>74</v>
      </c>
      <c r="CP60" s="957"/>
      <c r="CQ60" s="957" t="s">
        <v>74</v>
      </c>
      <c r="CR60" s="957"/>
      <c r="CS60" s="957"/>
      <c r="CT60" s="957"/>
      <c r="CU60" s="957" t="s">
        <v>74</v>
      </c>
      <c r="CV60" s="957"/>
      <c r="CW60" s="957" t="s">
        <v>74</v>
      </c>
      <c r="CX60" s="957"/>
      <c r="CY60" s="957" t="s">
        <v>74</v>
      </c>
      <c r="CZ60" s="957"/>
      <c r="DA60" s="957" t="s">
        <v>74</v>
      </c>
      <c r="DB60" s="957"/>
      <c r="DC60" s="957"/>
      <c r="DD60" s="957"/>
      <c r="DE60" s="957"/>
      <c r="DF60" s="957" t="s">
        <v>74</v>
      </c>
      <c r="DG60" s="957"/>
      <c r="DH60" s="957"/>
      <c r="DI60" s="957"/>
      <c r="DJ60" s="957"/>
      <c r="DK60" s="957"/>
      <c r="DL60" s="957"/>
      <c r="DM60" s="957"/>
      <c r="DN60" s="957"/>
      <c r="DO60" s="957"/>
      <c r="DP60" s="957"/>
      <c r="DQ60" s="957" t="s">
        <v>74</v>
      </c>
      <c r="DR60" s="957"/>
      <c r="DS60" s="957"/>
      <c r="DT60" s="957"/>
      <c r="DU60" s="957"/>
      <c r="DV60" s="957"/>
      <c r="DW60" s="957"/>
      <c r="DX60" s="957"/>
      <c r="DY60" s="957"/>
      <c r="DZ60" s="957"/>
      <c r="EA60" s="957" t="s">
        <v>74</v>
      </c>
      <c r="EB60" s="957" t="s">
        <v>74</v>
      </c>
      <c r="EC60" s="957" t="s">
        <v>74</v>
      </c>
      <c r="ED60" s="957" t="s">
        <v>74</v>
      </c>
      <c r="EE60" s="957"/>
      <c r="EF60" s="957"/>
      <c r="EG60" s="957"/>
      <c r="EH60" s="957"/>
      <c r="EI60" s="957"/>
      <c r="EJ60" s="957"/>
      <c r="EK60" s="957"/>
      <c r="EL60" s="957" t="s">
        <v>74</v>
      </c>
      <c r="EM60" s="957"/>
      <c r="EN60" s="957"/>
      <c r="EO60" s="957"/>
      <c r="EP60" s="957" t="s">
        <v>74</v>
      </c>
      <c r="EQ60" s="957"/>
      <c r="ER60" s="957"/>
      <c r="ES60" s="957"/>
      <c r="ET60" s="957"/>
      <c r="EU60" s="957"/>
      <c r="EV60" s="957"/>
      <c r="EW60" s="957" t="s">
        <v>74</v>
      </c>
      <c r="EX60" s="957"/>
      <c r="EY60" s="957" t="s">
        <v>74</v>
      </c>
      <c r="EZ60" s="957"/>
      <c r="FA60" s="957" t="s">
        <v>74</v>
      </c>
      <c r="FB60" s="957" t="s">
        <v>74</v>
      </c>
      <c r="FC60" s="957"/>
      <c r="FD60" s="957"/>
      <c r="FE60" s="957"/>
      <c r="FF60" s="957"/>
      <c r="FG60" s="957"/>
      <c r="FH60" s="957"/>
      <c r="FI60" s="957"/>
      <c r="FJ60" s="957"/>
      <c r="FK60" s="957"/>
      <c r="FL60" s="957"/>
      <c r="FM60" s="957"/>
      <c r="FN60" s="957" t="s">
        <v>74</v>
      </c>
      <c r="FO60" s="957" t="s">
        <v>74</v>
      </c>
      <c r="FP60" s="957" t="s">
        <v>74</v>
      </c>
      <c r="FQ60" s="957"/>
      <c r="FR60" s="957"/>
      <c r="FS60" s="957"/>
      <c r="FT60" s="957"/>
      <c r="FU60" s="957"/>
      <c r="FV60" s="957"/>
      <c r="FW60" s="957" t="s">
        <v>74</v>
      </c>
      <c r="FX60" s="957"/>
      <c r="FY60" s="957"/>
      <c r="FZ60" s="957" t="s">
        <v>74</v>
      </c>
      <c r="GA60" s="957"/>
      <c r="GB60" s="957" t="s">
        <v>74</v>
      </c>
      <c r="GC60" s="957"/>
      <c r="GD60" s="957"/>
      <c r="GE60" s="957"/>
      <c r="GF60" s="957"/>
      <c r="GG60" s="957"/>
      <c r="GH60" s="957"/>
      <c r="GI60" s="957"/>
      <c r="GJ60" s="957" t="s">
        <v>74</v>
      </c>
      <c r="GK60" s="957"/>
      <c r="GL60" s="957"/>
      <c r="GM60" s="957"/>
      <c r="GN60" s="957"/>
      <c r="GO60" s="957"/>
      <c r="GP60" s="957"/>
      <c r="GQ60" s="957"/>
      <c r="GR60" s="957"/>
      <c r="GS60" s="957" t="s">
        <v>74</v>
      </c>
      <c r="GT60" s="957" t="s">
        <v>74</v>
      </c>
      <c r="GU60" s="957"/>
      <c r="GV60" s="957"/>
      <c r="GW60" s="957" t="s">
        <v>74</v>
      </c>
      <c r="GX60" s="957"/>
      <c r="GY60" s="957"/>
      <c r="GZ60" s="957" t="s">
        <v>74</v>
      </c>
      <c r="HA60" s="957"/>
      <c r="HB60" s="957" t="s">
        <v>74</v>
      </c>
      <c r="HC60" s="957"/>
      <c r="HD60" s="957"/>
      <c r="HE60" s="957"/>
      <c r="HF60" s="957" t="s">
        <v>74</v>
      </c>
      <c r="HG60" s="957" t="s">
        <v>74</v>
      </c>
      <c r="HH60" s="957"/>
      <c r="HI60" s="957"/>
      <c r="HJ60" s="957"/>
      <c r="HK60" s="957" t="s">
        <v>74</v>
      </c>
      <c r="HL60" s="957" t="s">
        <v>74</v>
      </c>
      <c r="HM60" s="957" t="s">
        <v>74</v>
      </c>
      <c r="HN60" s="957" t="s">
        <v>74</v>
      </c>
      <c r="HO60" s="957"/>
      <c r="HP60" s="957"/>
      <c r="HQ60" s="957"/>
      <c r="HR60" s="957" t="s">
        <v>74</v>
      </c>
      <c r="HS60" s="957"/>
      <c r="HT60" s="957" t="s">
        <v>74</v>
      </c>
      <c r="HU60" s="957"/>
      <c r="HV60" s="957" t="s">
        <v>74</v>
      </c>
      <c r="HW60" s="957" t="s">
        <v>74</v>
      </c>
      <c r="HX60" s="1001" t="s">
        <v>74</v>
      </c>
      <c r="HY60" s="1029"/>
      <c r="HZ60" s="1029"/>
      <c r="IA60" s="957" t="s">
        <v>74</v>
      </c>
      <c r="IB60" s="939" t="s">
        <v>74</v>
      </c>
      <c r="IC60" s="1030"/>
      <c r="ID60" s="1030"/>
      <c r="IE60" s="939" t="s">
        <v>74</v>
      </c>
      <c r="IF60" s="939" t="s">
        <v>74</v>
      </c>
      <c r="IG60" s="939" t="s">
        <v>74</v>
      </c>
      <c r="IH60" s="939" t="s">
        <v>74</v>
      </c>
      <c r="II60" s="939" t="s">
        <v>74</v>
      </c>
      <c r="IJ60" s="1029"/>
      <c r="IK60" s="1029"/>
      <c r="IL60" s="939" t="s">
        <v>74</v>
      </c>
      <c r="IM60" s="939" t="s">
        <v>74</v>
      </c>
      <c r="IN60" s="939" t="s">
        <v>74</v>
      </c>
      <c r="IO60" s="1029"/>
      <c r="IP60" s="990" t="s">
        <v>74</v>
      </c>
      <c r="IQ60" s="1030"/>
      <c r="IR60" s="939" t="s">
        <v>74</v>
      </c>
      <c r="IS60" s="1029"/>
      <c r="IT60" s="972" t="s">
        <v>74</v>
      </c>
      <c r="IU60" s="1029"/>
      <c r="IV60" s="1029"/>
      <c r="IW60" s="972" t="s">
        <v>74</v>
      </c>
      <c r="IX60" s="929" t="str">
        <f>IF(ISNUMBER(SEARCH($A60,VLOOKUP(IX$2,职业列表!$B$1:$G$370,6,0))),"★","")</f>
        <v>★</v>
      </c>
      <c r="IY60" s="929" t="str">
        <f>IF(ISNUMBER(SEARCH($A60,VLOOKUP(IY$2,职业列表!$B$1:$G$370,6,0))),"★","")</f>
        <v>★</v>
      </c>
      <c r="IZ60" s="929" t="str">
        <f>IF(ISNUMBER(SEARCH($A60,VLOOKUP(IZ$2,职业列表!$B$1:$G$370,6,0))),"★","")</f>
        <v/>
      </c>
      <c r="JA60" s="929" t="str">
        <f>IF(ISNUMBER(SEARCH($A60,VLOOKUP(JA$2,职业列表!$B$1:$G$370,6,0))),"★","")</f>
        <v>★</v>
      </c>
      <c r="JB60" s="929" t="str">
        <f>IF(ISNUMBER(SEARCH($A60,VLOOKUP(JB$2,职业列表!$B$1:$G$370,6,0))),"★","")</f>
        <v>★</v>
      </c>
      <c r="JC60" s="929" t="str">
        <f>IF(ISNUMBER(SEARCH($A60,VLOOKUP(JC$2,职业列表!$B$1:$G$370,6,0))),"★","")</f>
        <v>★</v>
      </c>
      <c r="JD60" s="929" t="str">
        <f>IF(ISNUMBER(SEARCH($A60,VLOOKUP(JD$2,职业列表!$B$1:$G$370,6,0))),"★","")</f>
        <v/>
      </c>
      <c r="JE60" s="929" t="str">
        <f>IF(ISNUMBER(SEARCH($A60,VLOOKUP(JE$2,职业列表!$B$1:$G$370,6,0))),"★","")</f>
        <v>★</v>
      </c>
      <c r="JF60" s="929" t="str">
        <f>IF(ISNUMBER(SEARCH($A60,VLOOKUP(JF$2,职业列表!$B$1:$G$370,6,0))),"★","")</f>
        <v>★</v>
      </c>
      <c r="JG60" s="929" t="str">
        <f>IF(ISNUMBER(SEARCH($A60,VLOOKUP(JG$2,职业列表!$B$1:$G$370,6,0))),"★","")</f>
        <v>★</v>
      </c>
      <c r="JH60" s="929" t="str">
        <f>IF(ISNUMBER(SEARCH($A60,VLOOKUP(JH$2,职业列表!$B$1:$G$370,6,0))),"★","")</f>
        <v>★</v>
      </c>
      <c r="JI60" s="929" t="str">
        <f>IF(ISNUMBER(SEARCH($A60,VLOOKUP(JI$2,职业列表!$B$1:$G$370,6,0))),"★","")</f>
        <v>★</v>
      </c>
      <c r="JJ60" s="929" t="str">
        <f>IF(ISNUMBER(SEARCH($A60,VLOOKUP(JJ$2,职业列表!$B$1:$G$370,6,0))),"★","")</f>
        <v>★</v>
      </c>
      <c r="JK60" s="929" t="str">
        <f>IF(ISNUMBER(SEARCH($A60,VLOOKUP(JK$2,职业列表!$B$1:$G$370,6,0))),"★","")</f>
        <v/>
      </c>
      <c r="JL60" s="929" t="str">
        <f>IF(ISNUMBER(SEARCH($A60,VLOOKUP(JL$2,职业列表!$B$1:$G$370,6,0))),"★","")</f>
        <v>★</v>
      </c>
      <c r="JM60" s="929" t="str">
        <f>IF(ISNUMBER(SEARCH($A60,VLOOKUP(JM$2,职业列表!$B$1:$G$370,6,0))),"★","")</f>
        <v/>
      </c>
      <c r="JN60" s="929" t="str">
        <f>IF(ISNUMBER(SEARCH($A60,VLOOKUP(JN$2,职业列表!$B$1:$G$370,6,0))),"★","")</f>
        <v/>
      </c>
      <c r="JO60" s="929" t="str">
        <f>IF(ISNUMBER(SEARCH($A60,VLOOKUP(JO$2,职业列表!$B$1:$G$370,6,0))),"★","")</f>
        <v>★</v>
      </c>
      <c r="JP60" s="929" t="str">
        <f>IF(ISNUMBER(SEARCH($A60,VLOOKUP(JP$2,职业列表!$B$1:$G$370,6,0))),"★","")</f>
        <v>★</v>
      </c>
      <c r="JQ60" s="929" t="str">
        <f>IF(ISNUMBER(SEARCH($A60,VLOOKUP(JQ$2,职业列表!$B$1:$G$370,6,0))),"★","")</f>
        <v>★</v>
      </c>
      <c r="JR60" s="929" t="str">
        <f>IF(ISNUMBER(SEARCH($A60,VLOOKUP(JR$2,职业列表!$B$1:$G$370,6,0))),"★","")</f>
        <v>★</v>
      </c>
      <c r="JS60" s="929" t="str">
        <f>IF(ISNUMBER(SEARCH($A60,VLOOKUP(JS$2,职业列表!$B$1:$G$370,6,0))),"★","")</f>
        <v/>
      </c>
      <c r="JT60" s="929" t="str">
        <f>IF(ISNUMBER(SEARCH($A60,VLOOKUP(JT$2,职业列表!$B$1:$G$370,6,0))),"★","")</f>
        <v>★</v>
      </c>
      <c r="JU60" s="929" t="str">
        <f>IF(ISNUMBER(SEARCH($A60,VLOOKUP(JU$2,职业列表!$B$1:$G$370,6,0))),"★","")</f>
        <v>★</v>
      </c>
      <c r="JV60" s="929" t="str">
        <f>IF(ISNUMBER(SEARCH($A60,VLOOKUP(JV$2,职业列表!$B$1:$G$370,6,0))),"★","")</f>
        <v>★</v>
      </c>
      <c r="JW60" s="929" t="str">
        <f>IF(ISNUMBER(SEARCH($A60,VLOOKUP(JW$2,职业列表!$B$1:$G$370,6,0))),"★","")</f>
        <v>★</v>
      </c>
      <c r="JX60" s="929" t="str">
        <f>IF(ISNUMBER(SEARCH($A60,VLOOKUP(JX$2,职业列表!$B$1:$G$370,6,0))),"★","")</f>
        <v/>
      </c>
      <c r="JY60" s="929" t="str">
        <f>IF(ISNUMBER(SEARCH($A60,VLOOKUP(JY$2,职业列表!$B$1:$G$370,6,0))),"★","")</f>
        <v/>
      </c>
      <c r="JZ60" s="929" t="str">
        <f>IF(ISNUMBER(SEARCH($A60,VLOOKUP(JZ$2,职业列表!$B$1:$G$370,6,0))),"★","")</f>
        <v/>
      </c>
      <c r="KA60" s="929" t="str">
        <f>IF(ISNUMBER(SEARCH($A60,VLOOKUP(KA$2,职业列表!$B$1:$G$370,6,0))),"★","")</f>
        <v>★</v>
      </c>
      <c r="KB60" s="929" t="str">
        <f>IF(ISNUMBER(SEARCH($A60,VLOOKUP(KB$2,职业列表!$B$1:$G$370,6,0))),"★","")</f>
        <v/>
      </c>
      <c r="KC60" s="929" t="str">
        <f>IF(ISNUMBER(SEARCH($A60,VLOOKUP(KC$2,职业列表!$B$1:$G$370,6,0))),"★","")</f>
        <v/>
      </c>
      <c r="KD60" s="929" t="str">
        <f>IF(ISNUMBER(SEARCH($A60,VLOOKUP(KD$2,职业列表!$B$1:$G$370,6,0))),"★","")</f>
        <v/>
      </c>
      <c r="KE60" s="929" t="str">
        <f>IF(ISNUMBER(SEARCH($A60,VLOOKUP(KE$2,职业列表!$B$1:$G$370,6,0))),"★","")</f>
        <v>★</v>
      </c>
      <c r="KF60" s="929" t="str">
        <f>IF(ISNUMBER(SEARCH($A60,VLOOKUP(KF$2,职业列表!$B$1:$G$370,6,0))),"★","")</f>
        <v>★</v>
      </c>
      <c r="KG60" s="929" t="str">
        <f>IF(ISNUMBER(SEARCH($A60,VLOOKUP(KG$2,职业列表!$B$1:$G$370,6,0))),"★","")</f>
        <v>★</v>
      </c>
      <c r="KH60" s="929" t="str">
        <f>IF(ISNUMBER(SEARCH($A60,VLOOKUP(KH$2,职业列表!$B$1:$G$370,6,0))),"★","")</f>
        <v>★</v>
      </c>
      <c r="KI60" s="929" t="str">
        <f>IF(ISNUMBER(SEARCH($A60,VLOOKUP(KI$2,职业列表!$B$1:$G$370,6,0))),"★","")</f>
        <v/>
      </c>
      <c r="KJ60" s="929" t="str">
        <f>IF(ISNUMBER(SEARCH($A60,VLOOKUP(KJ$2,职业列表!$B$1:$G$370,6,0))),"★","")</f>
        <v>★</v>
      </c>
      <c r="KK60" s="929" t="str">
        <f>IF(ISNUMBER(SEARCH($A60,VLOOKUP(KK$2,职业列表!$B$1:$G$370,6,0))),"★","")</f>
        <v>★</v>
      </c>
      <c r="KL60" s="929" t="str">
        <f>IF(ISNUMBER(SEARCH($A60,VLOOKUP(KL$2,职业列表!$B$1:$G$370,6,0))),"★","")</f>
        <v>★</v>
      </c>
      <c r="KM60" s="929" t="str">
        <f>IF(ISNUMBER(SEARCH($A60,VLOOKUP(KM$2,职业列表!$B$1:$G$370,6,0))),"★","")</f>
        <v/>
      </c>
      <c r="KN60" s="929" t="str">
        <f>IF(ISNUMBER(SEARCH($A60,VLOOKUP(KN$2,职业列表!$B$1:$G$370,6,0))),"★","")</f>
        <v>★</v>
      </c>
      <c r="KO60" s="929" t="str">
        <f>IF(ISNUMBER(SEARCH($A60,VLOOKUP(KO$2,职业列表!$B$1:$G$370,6,0))),"★","")</f>
        <v/>
      </c>
      <c r="KP60" s="929" t="str">
        <f>IF(ISNUMBER(SEARCH($A60,VLOOKUP(KP$2,职业列表!$B$1:$G$370,6,0))),"★","")</f>
        <v>★</v>
      </c>
      <c r="KQ60" s="929" t="str">
        <f>IF(ISNUMBER(SEARCH($A60,VLOOKUP(KQ$2,职业列表!$B$1:$G$370,6,0))),"★","")</f>
        <v>★</v>
      </c>
      <c r="KR60" s="929" t="str">
        <f>IF(ISNUMBER(SEARCH($A60,VLOOKUP(KR$2,职业列表!$B$1:$G$370,6,0))),"★","")</f>
        <v>★</v>
      </c>
      <c r="KS60" s="929" t="str">
        <f>IF(ISNUMBER(SEARCH($A60,VLOOKUP(KS$2,职业列表!$B$1:$G$370,6,0))),"★","")</f>
        <v>★</v>
      </c>
      <c r="KT60" s="929" t="str">
        <f>IF(ISNUMBER(SEARCH($A60,VLOOKUP(KT$2,职业列表!$B$1:$G$370,6,0))),"★","")</f>
        <v/>
      </c>
      <c r="KU60" s="929" t="str">
        <f>IF(ISNUMBER(SEARCH($A60,VLOOKUP(KU$2,职业列表!$B$1:$G$370,6,0))),"★","")</f>
        <v>★</v>
      </c>
      <c r="KV60" s="929" t="str">
        <f>IF(ISNUMBER(SEARCH($A60,VLOOKUP(KV$2,职业列表!$B$1:$G$370,6,0))),"★","")</f>
        <v/>
      </c>
      <c r="KW60" s="929" t="str">
        <f>IF(ISNUMBER(SEARCH($A60,VLOOKUP(KW$2,职业列表!$B$1:$G$370,6,0))),"★","")</f>
        <v/>
      </c>
      <c r="KX60" s="929" t="str">
        <f>IF(ISNUMBER(SEARCH($A60,VLOOKUP(KX$2,职业列表!$B$1:$G$370,6,0))),"★","")</f>
        <v/>
      </c>
      <c r="KY60" s="929" t="str">
        <f>IF(ISNUMBER(SEARCH($A60,VLOOKUP(KY$2,职业列表!$B$1:$G$370,6,0))),"★","")</f>
        <v/>
      </c>
      <c r="KZ60" s="929" t="str">
        <f>IF(ISNUMBER(SEARCH($A60,VLOOKUP(KZ$2,职业列表!$B$1:$G$370,6,0))),"★","")</f>
        <v/>
      </c>
      <c r="LA60" s="929" t="str">
        <f>IF(ISNUMBER(SEARCH($A60,VLOOKUP(LA$2,职业列表!$B$1:$G$370,6,0))),"★","")</f>
        <v/>
      </c>
      <c r="LB60" s="929" t="str">
        <f>IF(ISNUMBER(SEARCH($A60,VLOOKUP(LB$2,职业列表!$B$1:$G$370,6,0))),"★","")</f>
        <v>★</v>
      </c>
      <c r="LC60" s="929" t="str">
        <f>IF(ISNUMBER(SEARCH($A60,VLOOKUP(LC$2,职业列表!$B$1:$G$370,6,0))),"★","")</f>
        <v>★</v>
      </c>
      <c r="LD60" s="929" t="str">
        <f>IF(ISNUMBER(SEARCH($A60,VLOOKUP(LD$2,职业列表!$B$1:$G$370,6,0))),"★","")</f>
        <v/>
      </c>
      <c r="LE60" s="929" t="str">
        <f>IF(ISNUMBER(SEARCH($A60,VLOOKUP(LE$2,职业列表!$B$1:$G$370,6,0))),"★","")</f>
        <v/>
      </c>
      <c r="LF60" s="929" t="str">
        <f>IF(ISNUMBER(SEARCH($A60,VLOOKUP(LF$2,职业列表!$B$1:$G$370,6,0))),"★","")</f>
        <v/>
      </c>
      <c r="LG60" s="929" t="str">
        <f>IF(ISNUMBER(SEARCH($A60,VLOOKUP(LG$2,职业列表!$B$1:$G$370,6,0))),"★","")</f>
        <v>★</v>
      </c>
      <c r="LH60" s="929" t="str">
        <f>IF(ISNUMBER(SEARCH($A60,VLOOKUP(LH$2,职业列表!$B$1:$G$370,6,0))),"★","")</f>
        <v/>
      </c>
      <c r="LI60" s="929" t="str">
        <f>IF(ISNUMBER(SEARCH($A60,VLOOKUP(LI$2,职业列表!$B$1:$G$370,6,0))),"★","")</f>
        <v>★</v>
      </c>
      <c r="LJ60" s="929" t="str">
        <f>IF(ISNUMBER(SEARCH($A60,VLOOKUP(LJ$2,职业列表!$B$1:$G$370,6,0))),"★","")</f>
        <v/>
      </c>
      <c r="LK60" s="929" t="str">
        <f>IF(ISNUMBER(SEARCH($A60,VLOOKUP(LK$2,职业列表!$B$1:$G$370,6,0))),"★","")</f>
        <v/>
      </c>
      <c r="LL60" s="929" t="str">
        <f>IF(ISNUMBER(SEARCH($A60,VLOOKUP(LL$2,职业列表!$B$1:$G$370,6,0))),"★","")</f>
        <v/>
      </c>
      <c r="LM60" s="929" t="str">
        <f>IF(ISNUMBER(SEARCH($A60,VLOOKUP(LM$2,职业列表!$B$1:$G$370,6,0))),"★","")</f>
        <v/>
      </c>
      <c r="LN60" s="929" t="str">
        <f>IF(ISNUMBER(SEARCH($A60,VLOOKUP(LN$2,职业列表!$B$1:$G$370,6,0))),"★","")</f>
        <v/>
      </c>
      <c r="LO60" s="929" t="str">
        <f>IF(ISNUMBER(SEARCH($A60,VLOOKUP(LO$2,职业列表!$B$1:$G$370,6,0))),"★","")</f>
        <v>★</v>
      </c>
      <c r="LP60" s="929" t="str">
        <f>IF(ISNUMBER(SEARCH($A60,VLOOKUP(LP$2,职业列表!$B$1:$G$370,6,0))),"★","")</f>
        <v>★</v>
      </c>
      <c r="LQ60" s="929" t="str">
        <f>IF(ISNUMBER(SEARCH($A60,VLOOKUP(LQ$2,职业列表!$B$1:$G$370,6,0))),"★","")</f>
        <v>★</v>
      </c>
      <c r="LR60" s="929" t="str">
        <f>IF(ISNUMBER(SEARCH($A60,VLOOKUP(LR$2,职业列表!$B$1:$G$370,6,0))),"★","")</f>
        <v>★</v>
      </c>
      <c r="LS60" s="929" t="str">
        <f>IF(ISNUMBER(SEARCH($A60,VLOOKUP(LS$2,职业列表!$B$1:$G$370,6,0))),"★","")</f>
        <v/>
      </c>
      <c r="LT60" s="929" t="str">
        <f>IF(ISNUMBER(SEARCH($A60,VLOOKUP(LT$2,职业列表!$B$1:$G$370,6,0))),"★","")</f>
        <v>★</v>
      </c>
      <c r="LU60" s="929" t="str">
        <f>IF(ISNUMBER(SEARCH($A60,VLOOKUP(LU$2,职业列表!$B$1:$G$370,6,0))),"★","")</f>
        <v>★</v>
      </c>
      <c r="LV60" s="929" t="str">
        <f>IF(ISNUMBER(SEARCH($A60,VLOOKUP(LV$2,职业列表!$B$1:$G$370,6,0))),"★","")</f>
        <v/>
      </c>
      <c r="LW60" s="929" t="str">
        <f>IF(ISNUMBER(SEARCH($A60,VLOOKUP(LW$2,职业列表!$B$1:$G$370,6,0))),"★","")</f>
        <v/>
      </c>
      <c r="LX60" s="929" t="str">
        <f>IF(ISNUMBER(SEARCH($A60,VLOOKUP(LX$2,职业列表!$B$1:$G$370,6,0))),"★","")</f>
        <v>★</v>
      </c>
      <c r="LY60" s="929" t="str">
        <f>IF(ISNUMBER(SEARCH($A60,VLOOKUP(LY$2,职业列表!$B$1:$G$370,6,0))),"★","")</f>
        <v>★</v>
      </c>
      <c r="LZ60" s="929" t="str">
        <f>IF(ISNUMBER(SEARCH($A60,VLOOKUP(LZ$2,职业列表!$B$1:$G$370,6,0))),"★","")</f>
        <v>★</v>
      </c>
      <c r="MA60" s="929" t="str">
        <f>IF(ISNUMBER(SEARCH($A60,VLOOKUP(MA$2,职业列表!$B$1:$G$370,6,0))),"★","")</f>
        <v>★</v>
      </c>
      <c r="MB60" s="929" t="str">
        <f>IF(ISNUMBER(SEARCH($A60,VLOOKUP(MB$2,职业列表!$B$1:$G$370,6,0))),"★","")</f>
        <v>★</v>
      </c>
      <c r="MC60" s="929" t="str">
        <f>IF(ISNUMBER(SEARCH($A60,VLOOKUP(MC$2,职业列表!$B$1:$G$370,6,0))),"★","")</f>
        <v/>
      </c>
      <c r="MD60" s="929" t="str">
        <f>IF(ISNUMBER(SEARCH($A60,VLOOKUP(MD$2,职业列表!$B$1:$G$370,6,0))),"★","")</f>
        <v/>
      </c>
      <c r="ME60" s="929" t="str">
        <f>IF(ISNUMBER(SEARCH($A60,VLOOKUP(ME$2,职业列表!$B$1:$G$370,6,0))),"★","")</f>
        <v>★</v>
      </c>
      <c r="MF60" s="929" t="str">
        <f>IF(ISNUMBER(SEARCH($A60,VLOOKUP(MF$2,职业列表!$B$1:$G$370,6,0))),"★","")</f>
        <v>★</v>
      </c>
      <c r="MG60" s="929" t="str">
        <f>IF(ISNUMBER(SEARCH($A60,VLOOKUP(MG$2,职业列表!$B$1:$G$370,6,0))),"★","")</f>
        <v>★</v>
      </c>
      <c r="MH60" s="929" t="str">
        <f>IF(ISNUMBER(SEARCH($A60,VLOOKUP(MH$2,职业列表!$B$1:$G$370,6,0))),"★","")</f>
        <v>★</v>
      </c>
      <c r="MI60" s="929" t="str">
        <f>IF(ISNUMBER(SEARCH($A60,VLOOKUP(MI$2,职业列表!$B$1:$G$370,6,0))),"★","")</f>
        <v/>
      </c>
      <c r="MJ60" s="929" t="str">
        <f>IF(ISNUMBER(SEARCH($A60,VLOOKUP(MJ$2,职业列表!$B$1:$G$370,6,0))),"★","")</f>
        <v>★</v>
      </c>
      <c r="MK60" s="929" t="str">
        <f>IF(ISNUMBER(SEARCH($A60,VLOOKUP(MK$2,职业列表!$B$1:$G$370,6,0))),"★","")</f>
        <v>★</v>
      </c>
      <c r="ML60" s="929" t="str">
        <f>IF(ISNUMBER(SEARCH($A60,VLOOKUP(ML$2,职业列表!$B$1:$G$370,6,0))),"★","")</f>
        <v/>
      </c>
      <c r="MM60" s="929" t="str">
        <f>IF(ISNUMBER(SEARCH($A60,VLOOKUP(MM$2,职业列表!$B$1:$G$370,6,0))),"★","")</f>
        <v/>
      </c>
      <c r="MN60" s="929" t="str">
        <f>IF(ISNUMBER(SEARCH($A60,VLOOKUP(MN$2,职业列表!$B$1:$G$370,6,0))),"★","")</f>
        <v/>
      </c>
      <c r="MO60" s="929" t="str">
        <f>IF(ISNUMBER(SEARCH($A60,VLOOKUP(MO$2,职业列表!$B$1:$G$370,6,0))),"★","")</f>
        <v/>
      </c>
      <c r="MP60" s="929" t="str">
        <f>IF(ISNUMBER(SEARCH($A60,VLOOKUP(MP$2,职业列表!$B$1:$G$370,6,0))),"★","")</f>
        <v>★</v>
      </c>
      <c r="MQ60" s="929" t="str">
        <f>IF(ISNUMBER(SEARCH($A60,VLOOKUP(MQ$2,职业列表!$B$1:$G$370,6,0))),"★","")</f>
        <v/>
      </c>
      <c r="MR60" s="929" t="str">
        <f>IF(ISNUMBER(SEARCH($A60,VLOOKUP(MR$2,职业列表!$B$1:$G$370,6,0))),"★","")</f>
        <v>★</v>
      </c>
      <c r="MS60" s="929" t="str">
        <f>IF(ISNUMBER(SEARCH($A60,VLOOKUP(MS$2,职业列表!$B$1:$G$370,6,0))),"★","")</f>
        <v>★</v>
      </c>
      <c r="MT60" s="929" t="str">
        <f>IF(ISNUMBER(SEARCH($A60,VLOOKUP(MT$2,职业列表!$B$1:$G$370,6,0))),"★","")</f>
        <v>★</v>
      </c>
      <c r="MU60" s="929" t="str">
        <f>IF(ISNUMBER(SEARCH($A60,VLOOKUP(MU$2,职业列表!$B$1:$G$370,6,0))),"★","")</f>
        <v>★</v>
      </c>
      <c r="MV60" s="929" t="str">
        <f>IF(ISNUMBER(SEARCH($A60,VLOOKUP(MV$2,职业列表!$B$1:$G$370,6,0))),"★","")</f>
        <v/>
      </c>
      <c r="MW60" s="929" t="str">
        <f>IF(ISNUMBER(SEARCH($A60,VLOOKUP(MW$2,职业列表!$B$1:$G$370,6,0))),"★","")</f>
        <v>★</v>
      </c>
      <c r="MX60" s="929" t="str">
        <f>IF(ISNUMBER(SEARCH($A60,VLOOKUP(MX$2,职业列表!$B$1:$G$370,6,0))),"★","")</f>
        <v/>
      </c>
      <c r="MY60" s="929" t="str">
        <f>IF(ISNUMBER(SEARCH($A60,VLOOKUP(MY$2,职业列表!$B$1:$G$370,6,0))),"★","")</f>
        <v>★</v>
      </c>
      <c r="MZ60" s="929" t="str">
        <f>IF(ISNUMBER(SEARCH($A60,VLOOKUP(MZ$2,职业列表!$B$1:$G$370,6,0))),"★","")</f>
        <v>★</v>
      </c>
      <c r="NA60" s="929" t="str">
        <f>IF(ISNUMBER(SEARCH($A60,VLOOKUP(NA$2,职业列表!$B$1:$G$370,6,0))),"★","")</f>
        <v>★</v>
      </c>
      <c r="NB60" s="929" t="str">
        <f>IF(ISNUMBER(SEARCH($A60,VLOOKUP(NB$2,职业列表!$B$1:$G$370,6,0))),"★","")</f>
        <v>★</v>
      </c>
      <c r="NC60" s="929" t="str">
        <f>IF(ISNUMBER(SEARCH($A60,VLOOKUP(NC$2,职业列表!$B$1:$G$370,6,0))),"★","")</f>
        <v>★</v>
      </c>
      <c r="ND60" s="929" t="str">
        <f>IF(ISNUMBER(SEARCH($A60,VLOOKUP(ND$2,职业列表!$B$1:$G$370,6,0))),"★","")</f>
        <v>★</v>
      </c>
      <c r="NE60" s="929" t="str">
        <f>IF(ISNUMBER(SEARCH($A60,VLOOKUP(NE$2,职业列表!$B$1:$G$370,6,0))),"★","")</f>
        <v>★</v>
      </c>
    </row>
    <row r="61" customFormat="1" spans="1:369">
      <c r="A61" s="932" t="s">
        <v>127</v>
      </c>
      <c r="B61" s="939" t="str">
        <f>IF(OR(A61="说服",A61="话术",A61="取悦",A61="恐吓"),"☯",IF(ISNUMBER(SEARCH(A61,VLOOKUP(IX$2,职业列表!$B$1:$G$370,6,0))),"★",""))</f>
        <v>★</v>
      </c>
      <c r="C61" s="939" t="str">
        <f>IF(ISTEXT(IFERROR(VLOOKUP(A61,职业列表!I3:J10,1,FALSE),0)),"★","")</f>
        <v/>
      </c>
      <c r="D61" s="939"/>
      <c r="E61" s="939"/>
      <c r="F61" s="939"/>
      <c r="G61" s="939"/>
      <c r="H61" s="939" t="s">
        <v>74</v>
      </c>
      <c r="I61" s="939"/>
      <c r="J61" s="939" t="s">
        <v>74</v>
      </c>
      <c r="K61" s="939"/>
      <c r="L61" s="939"/>
      <c r="M61" s="939"/>
      <c r="N61" s="939"/>
      <c r="O61" s="939"/>
      <c r="P61" s="939" t="s">
        <v>74</v>
      </c>
      <c r="Q61" s="939"/>
      <c r="R61" s="939"/>
      <c r="S61" s="939"/>
      <c r="T61" s="939" t="s">
        <v>74</v>
      </c>
      <c r="U61" s="939"/>
      <c r="V61" s="939" t="s">
        <v>74</v>
      </c>
      <c r="W61" s="939"/>
      <c r="X61" s="939"/>
      <c r="Y61" s="939"/>
      <c r="Z61" s="939"/>
      <c r="AA61" s="939"/>
      <c r="AB61" s="939"/>
      <c r="AC61" s="939"/>
      <c r="AD61" s="939" t="s">
        <v>74</v>
      </c>
      <c r="AE61" s="939"/>
      <c r="AF61" s="939" t="s">
        <v>74</v>
      </c>
      <c r="AG61" s="939" t="s">
        <v>74</v>
      </c>
      <c r="AH61" s="939"/>
      <c r="AI61" s="939" t="s">
        <v>74</v>
      </c>
      <c r="AJ61" s="939" t="s">
        <v>74</v>
      </c>
      <c r="AK61" s="939"/>
      <c r="AL61" s="939"/>
      <c r="AM61" s="939"/>
      <c r="AN61" s="939" t="s">
        <v>74</v>
      </c>
      <c r="AO61" s="939"/>
      <c r="AP61" s="939" t="s">
        <v>74</v>
      </c>
      <c r="AQ61" s="939"/>
      <c r="AR61" s="939"/>
      <c r="AS61" s="939"/>
      <c r="AT61" s="939"/>
      <c r="AU61" s="939" t="s">
        <v>74</v>
      </c>
      <c r="AV61" s="939"/>
      <c r="AW61" s="939"/>
      <c r="AX61" s="939"/>
      <c r="AY61" s="939"/>
      <c r="AZ61" s="939"/>
      <c r="BA61" s="939"/>
      <c r="BB61" s="939"/>
      <c r="BC61" s="939"/>
      <c r="BD61" s="939"/>
      <c r="BE61" s="939" t="s">
        <v>74</v>
      </c>
      <c r="BF61" s="939"/>
      <c r="BG61" s="939"/>
      <c r="BH61" s="939"/>
      <c r="BI61" s="939"/>
      <c r="BJ61" s="939"/>
      <c r="BK61" s="939"/>
      <c r="BL61" s="939"/>
      <c r="BM61" s="939" t="s">
        <v>74</v>
      </c>
      <c r="BN61" s="939" t="s">
        <v>74</v>
      </c>
      <c r="BO61" s="954"/>
      <c r="BP61" s="939" t="s">
        <v>74</v>
      </c>
      <c r="BQ61" s="939"/>
      <c r="BR61" s="939"/>
      <c r="BS61" s="939"/>
      <c r="BT61" s="939"/>
      <c r="BU61" s="939" t="s">
        <v>74</v>
      </c>
      <c r="BV61" s="939"/>
      <c r="BW61" s="939"/>
      <c r="BX61" s="939"/>
      <c r="BY61" s="939"/>
      <c r="BZ61" s="939"/>
      <c r="CA61" s="939"/>
      <c r="CB61" s="939"/>
      <c r="CC61" s="939"/>
      <c r="CD61" s="939"/>
      <c r="CE61" s="939"/>
      <c r="CF61" s="939"/>
      <c r="CG61" s="939"/>
      <c r="CH61" s="939"/>
      <c r="CI61" s="939" t="s">
        <v>74</v>
      </c>
      <c r="CJ61" s="939"/>
      <c r="CK61" s="939"/>
      <c r="CL61" s="939"/>
      <c r="CM61" s="939"/>
      <c r="CN61" s="939"/>
      <c r="CO61" s="939"/>
      <c r="CP61" s="939"/>
      <c r="CQ61" s="939"/>
      <c r="CR61" s="939" t="s">
        <v>74</v>
      </c>
      <c r="CS61" s="939"/>
      <c r="CT61" s="939"/>
      <c r="CU61" s="939"/>
      <c r="CV61" s="939"/>
      <c r="CW61" s="939"/>
      <c r="CX61" s="939" t="s">
        <v>2716</v>
      </c>
      <c r="CY61" s="939"/>
      <c r="CZ61" s="939"/>
      <c r="DA61" s="939"/>
      <c r="DB61" s="939" t="s">
        <v>74</v>
      </c>
      <c r="DC61" s="939" t="s">
        <v>74</v>
      </c>
      <c r="DD61" s="939"/>
      <c r="DE61" s="939"/>
      <c r="DF61" s="939"/>
      <c r="DG61" s="939"/>
      <c r="DH61" s="939"/>
      <c r="DI61" s="939"/>
      <c r="DJ61" s="939"/>
      <c r="DK61" s="939"/>
      <c r="DL61" s="939" t="s">
        <v>74</v>
      </c>
      <c r="DM61" s="939"/>
      <c r="DN61" s="939"/>
      <c r="DO61" s="939"/>
      <c r="DP61" s="939"/>
      <c r="DQ61" s="939"/>
      <c r="DR61" s="939"/>
      <c r="DS61" s="939"/>
      <c r="DT61" s="939"/>
      <c r="DU61" s="939"/>
      <c r="DV61" s="939"/>
      <c r="DW61" s="939"/>
      <c r="DX61" s="939" t="s">
        <v>74</v>
      </c>
      <c r="DY61" s="939"/>
      <c r="DZ61" s="939"/>
      <c r="EA61" s="939"/>
      <c r="EB61" s="939"/>
      <c r="EC61" s="939" t="s">
        <v>74</v>
      </c>
      <c r="ED61" s="939"/>
      <c r="EE61" s="939"/>
      <c r="EF61" s="939"/>
      <c r="EG61" s="939"/>
      <c r="EH61" s="939"/>
      <c r="EI61" s="939"/>
      <c r="EJ61" s="939"/>
      <c r="EK61" s="939"/>
      <c r="EL61" s="939"/>
      <c r="EM61" s="939"/>
      <c r="EN61" s="939"/>
      <c r="EO61" s="939"/>
      <c r="EP61" s="939"/>
      <c r="EQ61" s="939"/>
      <c r="ER61" s="939" t="s">
        <v>2716</v>
      </c>
      <c r="ES61" s="939"/>
      <c r="ET61" s="939"/>
      <c r="EU61" s="939"/>
      <c r="EV61" s="939"/>
      <c r="EW61" s="939"/>
      <c r="EX61" s="939"/>
      <c r="EY61" s="939"/>
      <c r="EZ61" s="939"/>
      <c r="FA61" s="939"/>
      <c r="FB61" s="939"/>
      <c r="FC61" s="939"/>
      <c r="FD61" s="939"/>
      <c r="FE61" s="939"/>
      <c r="FF61" s="939"/>
      <c r="FG61" s="939"/>
      <c r="FH61" s="939" t="s">
        <v>74</v>
      </c>
      <c r="FI61" s="939" t="s">
        <v>74</v>
      </c>
      <c r="FJ61" s="939"/>
      <c r="FK61" s="939"/>
      <c r="FL61" s="939"/>
      <c r="FM61" s="939"/>
      <c r="FN61" s="939" t="s">
        <v>74</v>
      </c>
      <c r="FO61" s="939"/>
      <c r="FP61" s="939"/>
      <c r="FQ61" s="939"/>
      <c r="FR61" s="939"/>
      <c r="FS61" s="939"/>
      <c r="FT61" s="939"/>
      <c r="FU61" s="939"/>
      <c r="FV61" s="939"/>
      <c r="FW61" s="939"/>
      <c r="FX61" s="939"/>
      <c r="FY61" s="939"/>
      <c r="FZ61" s="939"/>
      <c r="GA61" s="939"/>
      <c r="GB61" s="939"/>
      <c r="GC61" s="939" t="s">
        <v>74</v>
      </c>
      <c r="GD61" s="939" t="s">
        <v>74</v>
      </c>
      <c r="GE61" s="939"/>
      <c r="GF61" s="939" t="s">
        <v>74</v>
      </c>
      <c r="GG61" s="939"/>
      <c r="GH61" s="939"/>
      <c r="GI61" s="939"/>
      <c r="GJ61" s="939"/>
      <c r="GK61" s="939"/>
      <c r="GL61" s="939"/>
      <c r="GM61" s="939"/>
      <c r="GN61" s="939"/>
      <c r="GO61" s="939" t="s">
        <v>74</v>
      </c>
      <c r="GP61" s="939"/>
      <c r="GQ61" s="939"/>
      <c r="GR61" s="939"/>
      <c r="GS61" s="939"/>
      <c r="GT61" s="939"/>
      <c r="GU61" s="939" t="s">
        <v>74</v>
      </c>
      <c r="GV61" s="939" t="s">
        <v>74</v>
      </c>
      <c r="GW61" s="939"/>
      <c r="GX61" s="939"/>
      <c r="GY61" s="939" t="s">
        <v>74</v>
      </c>
      <c r="GZ61" s="939"/>
      <c r="HA61" s="939"/>
      <c r="HB61" s="939"/>
      <c r="HC61" s="939"/>
      <c r="HD61" s="939"/>
      <c r="HE61" s="939"/>
      <c r="HF61" s="939"/>
      <c r="HG61" s="939"/>
      <c r="HH61" s="939" t="s">
        <v>74</v>
      </c>
      <c r="HI61" s="939"/>
      <c r="HJ61" s="939"/>
      <c r="HK61" s="939" t="s">
        <v>74</v>
      </c>
      <c r="HL61" s="939" t="s">
        <v>74</v>
      </c>
      <c r="HM61" s="939"/>
      <c r="HN61" s="939"/>
      <c r="HO61" s="939"/>
      <c r="HP61" s="939"/>
      <c r="HQ61" s="939"/>
      <c r="HR61" s="939" t="s">
        <v>74</v>
      </c>
      <c r="HS61" s="939"/>
      <c r="HT61" s="939"/>
      <c r="HU61" s="939" t="s">
        <v>74</v>
      </c>
      <c r="HV61" s="939"/>
      <c r="HW61" s="939" t="s">
        <v>74</v>
      </c>
      <c r="HX61" s="990" t="s">
        <v>74</v>
      </c>
      <c r="HY61" s="1012"/>
      <c r="HZ61" s="939" t="s">
        <v>74</v>
      </c>
      <c r="IA61" s="1012"/>
      <c r="IB61" s="1012"/>
      <c r="IC61" s="1013"/>
      <c r="ID61" s="1013"/>
      <c r="IE61" s="1012"/>
      <c r="IF61" s="1012"/>
      <c r="IG61" s="1012"/>
      <c r="IH61" s="1012"/>
      <c r="II61" s="1012"/>
      <c r="IJ61" s="1012"/>
      <c r="IK61" s="1012"/>
      <c r="IL61" s="1012"/>
      <c r="IM61" s="1012"/>
      <c r="IN61" s="1012"/>
      <c r="IO61" s="939" t="s">
        <v>74</v>
      </c>
      <c r="IP61" s="990" t="s">
        <v>74</v>
      </c>
      <c r="IQ61" s="1013"/>
      <c r="IR61" s="939" t="s">
        <v>74</v>
      </c>
      <c r="IS61" s="1012"/>
      <c r="IT61" s="1012"/>
      <c r="IU61" s="1012"/>
      <c r="IV61" s="1012"/>
      <c r="IW61" s="929"/>
      <c r="IX61" s="929" t="str">
        <f>IF(ISNUMBER(SEARCH($A61,VLOOKUP(IX$2,职业列表!$B$1:$G$370,6,0))),"★","")</f>
        <v>★</v>
      </c>
      <c r="IY61" s="929" t="str">
        <f>IF(ISNUMBER(SEARCH($A61,VLOOKUP(IY$2,职业列表!$B$1:$G$370,6,0))),"★","")</f>
        <v>★</v>
      </c>
      <c r="IZ61" s="929" t="str">
        <f>IF(ISNUMBER(SEARCH($A61,VLOOKUP(IZ$2,职业列表!$B$1:$G$370,6,0))),"★","")</f>
        <v/>
      </c>
      <c r="JA61" s="929" t="str">
        <f>IF(ISNUMBER(SEARCH($A61,VLOOKUP(JA$2,职业列表!$B$1:$G$370,6,0))),"★","")</f>
        <v/>
      </c>
      <c r="JB61" s="929" t="str">
        <f>IF(ISNUMBER(SEARCH($A61,VLOOKUP(JB$2,职业列表!$B$1:$G$370,6,0))),"★","")</f>
        <v>★</v>
      </c>
      <c r="JC61" s="929" t="str">
        <f>IF(ISNUMBER(SEARCH($A61,VLOOKUP(JC$2,职业列表!$B$1:$G$370,6,0))),"★","")</f>
        <v/>
      </c>
      <c r="JD61" s="929" t="str">
        <f>IF(ISNUMBER(SEARCH($A61,VLOOKUP(JD$2,职业列表!$B$1:$G$370,6,0))),"★","")</f>
        <v/>
      </c>
      <c r="JE61" s="929" t="str">
        <f>IF(ISNUMBER(SEARCH($A61,VLOOKUP(JE$2,职业列表!$B$1:$G$370,6,0))),"★","")</f>
        <v/>
      </c>
      <c r="JF61" s="929" t="str">
        <f>IF(ISNUMBER(SEARCH($A61,VLOOKUP(JF$2,职业列表!$B$1:$G$370,6,0))),"★","")</f>
        <v/>
      </c>
      <c r="JG61" s="929" t="str">
        <f>IF(ISNUMBER(SEARCH($A61,VLOOKUP(JG$2,职业列表!$B$1:$G$370,6,0))),"★","")</f>
        <v>★</v>
      </c>
      <c r="JH61" s="929" t="str">
        <f>IF(ISNUMBER(SEARCH($A61,VLOOKUP(JH$2,职业列表!$B$1:$G$370,6,0))),"★","")</f>
        <v>★</v>
      </c>
      <c r="JI61" s="929" t="str">
        <f>IF(ISNUMBER(SEARCH($A61,VLOOKUP(JI$2,职业列表!$B$1:$G$370,6,0))),"★","")</f>
        <v/>
      </c>
      <c r="JJ61" s="929" t="str">
        <f>IF(ISNUMBER(SEARCH($A61,VLOOKUP(JJ$2,职业列表!$B$1:$G$370,6,0))),"★","")</f>
        <v/>
      </c>
      <c r="JK61" s="929" t="str">
        <f>IF(ISNUMBER(SEARCH($A61,VLOOKUP(JK$2,职业列表!$B$1:$G$370,6,0))),"★","")</f>
        <v/>
      </c>
      <c r="JL61" s="929" t="str">
        <f>IF(ISNUMBER(SEARCH($A61,VLOOKUP(JL$2,职业列表!$B$1:$G$370,6,0))),"★","")</f>
        <v/>
      </c>
      <c r="JM61" s="929" t="str">
        <f>IF(ISNUMBER(SEARCH($A61,VLOOKUP(JM$2,职业列表!$B$1:$G$370,6,0))),"★","")</f>
        <v/>
      </c>
      <c r="JN61" s="929" t="str">
        <f>IF(ISNUMBER(SEARCH($A61,VLOOKUP(JN$2,职业列表!$B$1:$G$370,6,0))),"★","")</f>
        <v/>
      </c>
      <c r="JO61" s="929" t="str">
        <f>IF(ISNUMBER(SEARCH($A61,VLOOKUP(JO$2,职业列表!$B$1:$G$370,6,0))),"★","")</f>
        <v/>
      </c>
      <c r="JP61" s="929" t="str">
        <f>IF(ISNUMBER(SEARCH($A61,VLOOKUP(JP$2,职业列表!$B$1:$G$370,6,0))),"★","")</f>
        <v/>
      </c>
      <c r="JQ61" s="929" t="str">
        <f>IF(ISNUMBER(SEARCH($A61,VLOOKUP(JQ$2,职业列表!$B$1:$G$370,6,0))),"★","")</f>
        <v/>
      </c>
      <c r="JR61" s="929" t="str">
        <f>IF(ISNUMBER(SEARCH($A61,VLOOKUP(JR$2,职业列表!$B$1:$G$370,6,0))),"★","")</f>
        <v/>
      </c>
      <c r="JS61" s="929" t="str">
        <f>IF(ISNUMBER(SEARCH($A61,VLOOKUP(JS$2,职业列表!$B$1:$G$370,6,0))),"★","")</f>
        <v/>
      </c>
      <c r="JT61" s="929" t="str">
        <f>IF(ISNUMBER(SEARCH($A61,VLOOKUP(JT$2,职业列表!$B$1:$G$370,6,0))),"★","")</f>
        <v/>
      </c>
      <c r="JU61" s="929" t="str">
        <f>IF(ISNUMBER(SEARCH($A61,VLOOKUP(JU$2,职业列表!$B$1:$G$370,6,0))),"★","")</f>
        <v>★</v>
      </c>
      <c r="JV61" s="929" t="str">
        <f>IF(ISNUMBER(SEARCH($A61,VLOOKUP(JV$2,职业列表!$B$1:$G$370,6,0))),"★","")</f>
        <v/>
      </c>
      <c r="JW61" s="929" t="str">
        <f>IF(ISNUMBER(SEARCH($A61,VLOOKUP(JW$2,职业列表!$B$1:$G$370,6,0))),"★","")</f>
        <v/>
      </c>
      <c r="JX61" s="929" t="str">
        <f>IF(ISNUMBER(SEARCH($A61,VLOOKUP(JX$2,职业列表!$B$1:$G$370,6,0))),"★","")</f>
        <v/>
      </c>
      <c r="JY61" s="929" t="str">
        <f>IF(ISNUMBER(SEARCH($A61,VLOOKUP(JY$2,职业列表!$B$1:$G$370,6,0))),"★","")</f>
        <v>★</v>
      </c>
      <c r="JZ61" s="929" t="str">
        <f>IF(ISNUMBER(SEARCH($A61,VLOOKUP(JZ$2,职业列表!$B$1:$G$370,6,0))),"★","")</f>
        <v/>
      </c>
      <c r="KA61" s="929" t="str">
        <f>IF(ISNUMBER(SEARCH($A61,VLOOKUP(KA$2,职业列表!$B$1:$G$370,6,0))),"★","")</f>
        <v/>
      </c>
      <c r="KB61" s="929" t="str">
        <f>IF(ISNUMBER(SEARCH($A61,VLOOKUP(KB$2,职业列表!$B$1:$G$370,6,0))),"★","")</f>
        <v/>
      </c>
      <c r="KC61" s="929" t="str">
        <f>IF(ISNUMBER(SEARCH($A61,VLOOKUP(KC$2,职业列表!$B$1:$G$370,6,0))),"★","")</f>
        <v/>
      </c>
      <c r="KD61" s="929" t="str">
        <f>IF(ISNUMBER(SEARCH($A61,VLOOKUP(KD$2,职业列表!$B$1:$G$370,6,0))),"★","")</f>
        <v/>
      </c>
      <c r="KE61" s="929" t="str">
        <f>IF(ISNUMBER(SEARCH($A61,VLOOKUP(KE$2,职业列表!$B$1:$G$370,6,0))),"★","")</f>
        <v/>
      </c>
      <c r="KF61" s="929" t="str">
        <f>IF(ISNUMBER(SEARCH($A61,VLOOKUP(KF$2,职业列表!$B$1:$G$370,6,0))),"★","")</f>
        <v/>
      </c>
      <c r="KG61" s="929" t="str">
        <f>IF(ISNUMBER(SEARCH($A61,VLOOKUP(KG$2,职业列表!$B$1:$G$370,6,0))),"★","")</f>
        <v/>
      </c>
      <c r="KH61" s="929" t="str">
        <f>IF(ISNUMBER(SEARCH($A61,VLOOKUP(KH$2,职业列表!$B$1:$G$370,6,0))),"★","")</f>
        <v/>
      </c>
      <c r="KI61" s="929" t="str">
        <f>IF(ISNUMBER(SEARCH($A61,VLOOKUP(KI$2,职业列表!$B$1:$G$370,6,0))),"★","")</f>
        <v/>
      </c>
      <c r="KJ61" s="929" t="str">
        <f>IF(ISNUMBER(SEARCH($A61,VLOOKUP(KJ$2,职业列表!$B$1:$G$370,6,0))),"★","")</f>
        <v/>
      </c>
      <c r="KK61" s="929" t="str">
        <f>IF(ISNUMBER(SEARCH($A61,VLOOKUP(KK$2,职业列表!$B$1:$G$370,6,0))),"★","")</f>
        <v/>
      </c>
      <c r="KL61" s="929" t="str">
        <f>IF(ISNUMBER(SEARCH($A61,VLOOKUP(KL$2,职业列表!$B$1:$G$370,6,0))),"★","")</f>
        <v/>
      </c>
      <c r="KM61" s="929" t="str">
        <f>IF(ISNUMBER(SEARCH($A61,VLOOKUP(KM$2,职业列表!$B$1:$G$370,6,0))),"★","")</f>
        <v/>
      </c>
      <c r="KN61" s="929" t="str">
        <f>IF(ISNUMBER(SEARCH($A61,VLOOKUP(KN$2,职业列表!$B$1:$G$370,6,0))),"★","")</f>
        <v>★</v>
      </c>
      <c r="KO61" s="929" t="str">
        <f>IF(ISNUMBER(SEARCH($A61,VLOOKUP(KO$2,职业列表!$B$1:$G$370,6,0))),"★","")</f>
        <v/>
      </c>
      <c r="KP61" s="929" t="str">
        <f>IF(ISNUMBER(SEARCH($A61,VLOOKUP(KP$2,职业列表!$B$1:$G$370,6,0))),"★","")</f>
        <v/>
      </c>
      <c r="KQ61" s="929" t="str">
        <f>IF(ISNUMBER(SEARCH($A61,VLOOKUP(KQ$2,职业列表!$B$1:$G$370,6,0))),"★","")</f>
        <v/>
      </c>
      <c r="KR61" s="929" t="str">
        <f>IF(ISNUMBER(SEARCH($A61,VLOOKUP(KR$2,职业列表!$B$1:$G$370,6,0))),"★","")</f>
        <v/>
      </c>
      <c r="KS61" s="929" t="str">
        <f>IF(ISNUMBER(SEARCH($A61,VLOOKUP(KS$2,职业列表!$B$1:$G$370,6,0))),"★","")</f>
        <v/>
      </c>
      <c r="KT61" s="929" t="str">
        <f>IF(ISNUMBER(SEARCH($A61,VLOOKUP(KT$2,职业列表!$B$1:$G$370,6,0))),"★","")</f>
        <v>★</v>
      </c>
      <c r="KU61" s="929" t="str">
        <f>IF(ISNUMBER(SEARCH($A61,VLOOKUP(KU$2,职业列表!$B$1:$G$370,6,0))),"★","")</f>
        <v>★</v>
      </c>
      <c r="KV61" s="929" t="str">
        <f>IF(ISNUMBER(SEARCH($A61,VLOOKUP(KV$2,职业列表!$B$1:$G$370,6,0))),"★","")</f>
        <v/>
      </c>
      <c r="KW61" s="929" t="str">
        <f>IF(ISNUMBER(SEARCH($A61,VLOOKUP(KW$2,职业列表!$B$1:$G$370,6,0))),"★","")</f>
        <v/>
      </c>
      <c r="KX61" s="929" t="str">
        <f>IF(ISNUMBER(SEARCH($A61,VLOOKUP(KX$2,职业列表!$B$1:$G$370,6,0))),"★","")</f>
        <v/>
      </c>
      <c r="KY61" s="929" t="str">
        <f>IF(ISNUMBER(SEARCH($A61,VLOOKUP(KY$2,职业列表!$B$1:$G$370,6,0))),"★","")</f>
        <v/>
      </c>
      <c r="KZ61" s="929" t="str">
        <f>IF(ISNUMBER(SEARCH($A61,VLOOKUP(KZ$2,职业列表!$B$1:$G$370,6,0))),"★","")</f>
        <v/>
      </c>
      <c r="LA61" s="929" t="str">
        <f>IF(ISNUMBER(SEARCH($A61,VLOOKUP(LA$2,职业列表!$B$1:$G$370,6,0))),"★","")</f>
        <v>★</v>
      </c>
      <c r="LB61" s="929" t="str">
        <f>IF(ISNUMBER(SEARCH($A61,VLOOKUP(LB$2,职业列表!$B$1:$G$370,6,0))),"★","")</f>
        <v/>
      </c>
      <c r="LC61" s="929" t="str">
        <f>IF(ISNUMBER(SEARCH($A61,VLOOKUP(LC$2,职业列表!$B$1:$G$370,6,0))),"★","")</f>
        <v>★</v>
      </c>
      <c r="LD61" s="929" t="str">
        <f>IF(ISNUMBER(SEARCH($A61,VLOOKUP(LD$2,职业列表!$B$1:$G$370,6,0))),"★","")</f>
        <v>★</v>
      </c>
      <c r="LE61" s="929" t="str">
        <f>IF(ISNUMBER(SEARCH($A61,VLOOKUP(LE$2,职业列表!$B$1:$G$370,6,0))),"★","")</f>
        <v>★</v>
      </c>
      <c r="LF61" s="929" t="str">
        <f>IF(ISNUMBER(SEARCH($A61,VLOOKUP(LF$2,职业列表!$B$1:$G$370,6,0))),"★","")</f>
        <v>★</v>
      </c>
      <c r="LG61" s="929" t="str">
        <f>IF(ISNUMBER(SEARCH($A61,VLOOKUP(LG$2,职业列表!$B$1:$G$370,6,0))),"★","")</f>
        <v>★</v>
      </c>
      <c r="LH61" s="929" t="str">
        <f>IF(ISNUMBER(SEARCH($A61,VLOOKUP(LH$2,职业列表!$B$1:$G$370,6,0))),"★","")</f>
        <v/>
      </c>
      <c r="LI61" s="929" t="str">
        <f>IF(ISNUMBER(SEARCH($A61,VLOOKUP(LI$2,职业列表!$B$1:$G$370,6,0))),"★","")</f>
        <v/>
      </c>
      <c r="LJ61" s="929" t="str">
        <f>IF(ISNUMBER(SEARCH($A61,VLOOKUP(LJ$2,职业列表!$B$1:$G$370,6,0))),"★","")</f>
        <v/>
      </c>
      <c r="LK61" s="929" t="str">
        <f>IF(ISNUMBER(SEARCH($A61,VLOOKUP(LK$2,职业列表!$B$1:$G$370,6,0))),"★","")</f>
        <v>★</v>
      </c>
      <c r="LL61" s="929" t="str">
        <f>IF(ISNUMBER(SEARCH($A61,VLOOKUP(LL$2,职业列表!$B$1:$G$370,6,0))),"★","")</f>
        <v/>
      </c>
      <c r="LM61" s="929" t="str">
        <f>IF(ISNUMBER(SEARCH($A61,VLOOKUP(LM$2,职业列表!$B$1:$G$370,6,0))),"★","")</f>
        <v/>
      </c>
      <c r="LN61" s="929" t="str">
        <f>IF(ISNUMBER(SEARCH($A61,VLOOKUP(LN$2,职业列表!$B$1:$G$370,6,0))),"★","")</f>
        <v>★</v>
      </c>
      <c r="LO61" s="929" t="str">
        <f>IF(ISNUMBER(SEARCH($A61,VLOOKUP(LO$2,职业列表!$B$1:$G$370,6,0))),"★","")</f>
        <v/>
      </c>
      <c r="LP61" s="929" t="str">
        <f>IF(ISNUMBER(SEARCH($A61,VLOOKUP(LP$2,职业列表!$B$1:$G$370,6,0))),"★","")</f>
        <v/>
      </c>
      <c r="LQ61" s="929" t="str">
        <f>IF(ISNUMBER(SEARCH($A61,VLOOKUP(LQ$2,职业列表!$B$1:$G$370,6,0))),"★","")</f>
        <v>★</v>
      </c>
      <c r="LR61" s="929" t="str">
        <f>IF(ISNUMBER(SEARCH($A61,VLOOKUP(LR$2,职业列表!$B$1:$G$370,6,0))),"★","")</f>
        <v>★</v>
      </c>
      <c r="LS61" s="929" t="str">
        <f>IF(ISNUMBER(SEARCH($A61,VLOOKUP(LS$2,职业列表!$B$1:$G$370,6,0))),"★","")</f>
        <v>★</v>
      </c>
      <c r="LT61" s="929" t="str">
        <f>IF(ISNUMBER(SEARCH($A61,VLOOKUP(LT$2,职业列表!$B$1:$G$370,6,0))),"★","")</f>
        <v>★</v>
      </c>
      <c r="LU61" s="929" t="str">
        <f>IF(ISNUMBER(SEARCH($A61,VLOOKUP(LU$2,职业列表!$B$1:$G$370,6,0))),"★","")</f>
        <v/>
      </c>
      <c r="LV61" s="929" t="str">
        <f>IF(ISNUMBER(SEARCH($A61,VLOOKUP(LV$2,职业列表!$B$1:$G$370,6,0))),"★","")</f>
        <v/>
      </c>
      <c r="LW61" s="929" t="str">
        <f>IF(ISNUMBER(SEARCH($A61,VLOOKUP(LW$2,职业列表!$B$1:$G$370,6,0))),"★","")</f>
        <v/>
      </c>
      <c r="LX61" s="929" t="str">
        <f>IF(ISNUMBER(SEARCH($A61,VLOOKUP(LX$2,职业列表!$B$1:$G$370,6,0))),"★","")</f>
        <v>★</v>
      </c>
      <c r="LY61" s="929" t="str">
        <f>IF(ISNUMBER(SEARCH($A61,VLOOKUP(LY$2,职业列表!$B$1:$G$370,6,0))),"★","")</f>
        <v>★</v>
      </c>
      <c r="LZ61" s="929" t="str">
        <f>IF(ISNUMBER(SEARCH($A61,VLOOKUP(LZ$2,职业列表!$B$1:$G$370,6,0))),"★","")</f>
        <v/>
      </c>
      <c r="MA61" s="929" t="str">
        <f>IF(ISNUMBER(SEARCH($A61,VLOOKUP(MA$2,职业列表!$B$1:$G$370,6,0))),"★","")</f>
        <v/>
      </c>
      <c r="MB61" s="929" t="str">
        <f>IF(ISNUMBER(SEARCH($A61,VLOOKUP(MB$2,职业列表!$B$1:$G$370,6,0))),"★","")</f>
        <v/>
      </c>
      <c r="MC61" s="929" t="str">
        <f>IF(ISNUMBER(SEARCH($A61,VLOOKUP(MC$2,职业列表!$B$1:$G$370,6,0))),"★","")</f>
        <v/>
      </c>
      <c r="MD61" s="929" t="str">
        <f>IF(ISNUMBER(SEARCH($A61,VLOOKUP(MD$2,职业列表!$B$1:$G$370,6,0))),"★","")</f>
        <v/>
      </c>
      <c r="ME61" s="929" t="str">
        <f>IF(ISNUMBER(SEARCH($A61,VLOOKUP(ME$2,职业列表!$B$1:$G$370,6,0))),"★","")</f>
        <v/>
      </c>
      <c r="MF61" s="929" t="str">
        <f>IF(ISNUMBER(SEARCH($A61,VLOOKUP(MF$2,职业列表!$B$1:$G$370,6,0))),"★","")</f>
        <v/>
      </c>
      <c r="MG61" s="929" t="str">
        <f>IF(ISNUMBER(SEARCH($A61,VLOOKUP(MG$2,职业列表!$B$1:$G$370,6,0))),"★","")</f>
        <v/>
      </c>
      <c r="MH61" s="929" t="str">
        <f>IF(ISNUMBER(SEARCH($A61,VLOOKUP(MH$2,职业列表!$B$1:$G$370,6,0))),"★","")</f>
        <v/>
      </c>
      <c r="MI61" s="929" t="str">
        <f>IF(ISNUMBER(SEARCH($A61,VLOOKUP(MI$2,职业列表!$B$1:$G$370,6,0))),"★","")</f>
        <v>★</v>
      </c>
      <c r="MJ61" s="929" t="str">
        <f>IF(ISNUMBER(SEARCH($A61,VLOOKUP(MJ$2,职业列表!$B$1:$G$370,6,0))),"★","")</f>
        <v/>
      </c>
      <c r="MK61" s="929" t="str">
        <f>IF(ISNUMBER(SEARCH($A61,VLOOKUP(MK$2,职业列表!$B$1:$G$370,6,0))),"★","")</f>
        <v/>
      </c>
      <c r="ML61" s="929" t="str">
        <f>IF(ISNUMBER(SEARCH($A61,VLOOKUP(ML$2,职业列表!$B$1:$G$370,6,0))),"★","")</f>
        <v/>
      </c>
      <c r="MM61" s="929" t="str">
        <f>IF(ISNUMBER(SEARCH($A61,VLOOKUP(MM$2,职业列表!$B$1:$G$370,6,0))),"★","")</f>
        <v/>
      </c>
      <c r="MN61" s="929" t="str">
        <f>IF(ISNUMBER(SEARCH($A61,VLOOKUP(MN$2,职业列表!$B$1:$G$370,6,0))),"★","")</f>
        <v/>
      </c>
      <c r="MO61" s="929" t="str">
        <f>IF(ISNUMBER(SEARCH($A61,VLOOKUP(MO$2,职业列表!$B$1:$G$370,6,0))),"★","")</f>
        <v/>
      </c>
      <c r="MP61" s="929" t="str">
        <f>IF(ISNUMBER(SEARCH($A61,VLOOKUP(MP$2,职业列表!$B$1:$G$370,6,0))),"★","")</f>
        <v/>
      </c>
      <c r="MQ61" s="929" t="str">
        <f>IF(ISNUMBER(SEARCH($A61,VLOOKUP(MQ$2,职业列表!$B$1:$G$370,6,0))),"★","")</f>
        <v/>
      </c>
      <c r="MR61" s="929" t="str">
        <f>IF(ISNUMBER(SEARCH($A61,VLOOKUP(MR$2,职业列表!$B$1:$G$370,6,0))),"★","")</f>
        <v/>
      </c>
      <c r="MS61" s="929" t="str">
        <f>IF(ISNUMBER(SEARCH($A61,VLOOKUP(MS$2,职业列表!$B$1:$G$370,6,0))),"★","")</f>
        <v>★</v>
      </c>
      <c r="MT61" s="929" t="str">
        <f>IF(ISNUMBER(SEARCH($A61,VLOOKUP(MT$2,职业列表!$B$1:$G$370,6,0))),"★","")</f>
        <v/>
      </c>
      <c r="MU61" s="929" t="str">
        <f>IF(ISNUMBER(SEARCH($A61,VLOOKUP(MU$2,职业列表!$B$1:$G$370,6,0))),"★","")</f>
        <v/>
      </c>
      <c r="MV61" s="929" t="str">
        <f>IF(ISNUMBER(SEARCH($A61,VLOOKUP(MV$2,职业列表!$B$1:$G$370,6,0))),"★","")</f>
        <v/>
      </c>
      <c r="MW61" s="929" t="str">
        <f>IF(ISNUMBER(SEARCH($A61,VLOOKUP(MW$2,职业列表!$B$1:$G$370,6,0))),"★","")</f>
        <v/>
      </c>
      <c r="MX61" s="929" t="str">
        <f>IF(ISNUMBER(SEARCH($A61,VLOOKUP(MX$2,职业列表!$B$1:$G$370,6,0))),"★","")</f>
        <v/>
      </c>
      <c r="MY61" s="929" t="str">
        <f>IF(ISNUMBER(SEARCH($A61,VLOOKUP(MY$2,职业列表!$B$1:$G$370,6,0))),"★","")</f>
        <v/>
      </c>
      <c r="MZ61" s="929" t="str">
        <f>IF(ISNUMBER(SEARCH($A61,VLOOKUP(MZ$2,职业列表!$B$1:$G$370,6,0))),"★","")</f>
        <v/>
      </c>
      <c r="NA61" s="929" t="str">
        <f>IF(ISNUMBER(SEARCH($A61,VLOOKUP(NA$2,职业列表!$B$1:$G$370,6,0))),"★","")</f>
        <v/>
      </c>
      <c r="NB61" s="929" t="str">
        <f>IF(ISNUMBER(SEARCH($A61,VLOOKUP(NB$2,职业列表!$B$1:$G$370,6,0))),"★","")</f>
        <v/>
      </c>
      <c r="NC61" s="929" t="str">
        <f>IF(ISNUMBER(SEARCH($A61,VLOOKUP(NC$2,职业列表!$B$1:$G$370,6,0))),"★","")</f>
        <v/>
      </c>
      <c r="ND61" s="929" t="str">
        <f>IF(ISNUMBER(SEARCH($A61,VLOOKUP(ND$2,职业列表!$B$1:$G$370,6,0))),"★","")</f>
        <v/>
      </c>
      <c r="NE61" s="929" t="str">
        <f>IF(ISNUMBER(SEARCH($A61,VLOOKUP(NE$2,职业列表!$B$1:$G$370,6,0))),"★","")</f>
        <v>★</v>
      </c>
    </row>
    <row r="62" customFormat="1" spans="1:369">
      <c r="A62" s="932" t="s">
        <v>131</v>
      </c>
      <c r="B62" s="939" t="str">
        <f>IF(OR(A62="说服",A62="话术",A62="取悦",A62="恐吓"),"☯",IF(ISNUMBER(SEARCH(A62,VLOOKUP(IX$2,职业列表!$B$1:$G$370,6,0))),"★",""))</f>
        <v/>
      </c>
      <c r="C62" s="939" t="str">
        <f>IF(ISTEXT(IFERROR(VLOOKUP(A62,职业列表!I3:J10,1,FALSE),0)),"★","")</f>
        <v/>
      </c>
      <c r="D62" s="939"/>
      <c r="E62" s="939"/>
      <c r="F62" s="939"/>
      <c r="G62" s="939"/>
      <c r="H62" s="939"/>
      <c r="I62" s="939"/>
      <c r="J62" s="939"/>
      <c r="K62" s="939"/>
      <c r="L62" s="939"/>
      <c r="M62" s="939"/>
      <c r="N62" s="939"/>
      <c r="O62" s="939"/>
      <c r="P62" s="939"/>
      <c r="Q62" s="939"/>
      <c r="R62" s="939"/>
      <c r="S62" s="939"/>
      <c r="T62" s="962" t="s">
        <v>2717</v>
      </c>
      <c r="U62" s="939"/>
      <c r="V62" s="939"/>
      <c r="W62" s="939"/>
      <c r="X62" s="939"/>
      <c r="Y62" s="939"/>
      <c r="Z62" s="939"/>
      <c r="AA62" s="939"/>
      <c r="AB62" s="962" t="s">
        <v>74</v>
      </c>
      <c r="AC62" s="939"/>
      <c r="AD62" s="939"/>
      <c r="AE62" s="939"/>
      <c r="AF62" s="939"/>
      <c r="AG62" s="939"/>
      <c r="AH62" s="939"/>
      <c r="AI62" s="939"/>
      <c r="AJ62" s="939"/>
      <c r="AK62" s="939"/>
      <c r="AL62" s="939"/>
      <c r="AM62" s="939"/>
      <c r="AN62" s="939"/>
      <c r="AO62" s="939"/>
      <c r="AP62" s="939"/>
      <c r="AQ62" s="939"/>
      <c r="AR62" s="939"/>
      <c r="AS62" s="939"/>
      <c r="AT62" s="939"/>
      <c r="AU62" s="939"/>
      <c r="AV62" s="939"/>
      <c r="AW62" s="939"/>
      <c r="AX62" s="939"/>
      <c r="AY62" s="939"/>
      <c r="AZ62" s="939"/>
      <c r="BA62" s="939"/>
      <c r="BB62" s="939"/>
      <c r="BC62" s="939" t="s">
        <v>74</v>
      </c>
      <c r="BD62" s="954"/>
      <c r="BE62" s="939"/>
      <c r="BF62" s="939"/>
      <c r="BG62" s="939"/>
      <c r="BH62" s="939"/>
      <c r="BI62" s="939"/>
      <c r="BJ62" s="939"/>
      <c r="BK62" s="939"/>
      <c r="BL62" s="939"/>
      <c r="BM62" s="939"/>
      <c r="BN62" s="939"/>
      <c r="BO62" s="939"/>
      <c r="BP62" s="939"/>
      <c r="BQ62" s="939"/>
      <c r="BR62" s="939"/>
      <c r="BS62" s="939"/>
      <c r="BT62" s="939"/>
      <c r="BU62" s="939"/>
      <c r="BV62" s="939"/>
      <c r="BW62" s="939"/>
      <c r="BX62" s="939"/>
      <c r="BY62" s="939"/>
      <c r="BZ62" s="939"/>
      <c r="CA62" s="940" t="s">
        <v>2757</v>
      </c>
      <c r="CB62" s="939"/>
      <c r="CC62" s="939"/>
      <c r="CD62" s="939"/>
      <c r="CE62" s="939"/>
      <c r="CF62" s="940" t="s">
        <v>74</v>
      </c>
      <c r="CG62" s="939"/>
      <c r="CH62" s="939"/>
      <c r="CI62" s="939"/>
      <c r="CJ62" s="939"/>
      <c r="CK62" s="939"/>
      <c r="CL62" s="939"/>
      <c r="CM62" s="939"/>
      <c r="CN62" s="939"/>
      <c r="CO62" s="939"/>
      <c r="CP62" s="939"/>
      <c r="CQ62" s="939"/>
      <c r="CR62" s="939"/>
      <c r="CS62" s="939"/>
      <c r="CT62" s="939"/>
      <c r="CU62" s="939"/>
      <c r="CV62" s="939" t="s">
        <v>2758</v>
      </c>
      <c r="CW62" s="939"/>
      <c r="CX62" s="939"/>
      <c r="CY62" s="939"/>
      <c r="CZ62" s="939"/>
      <c r="DA62" s="939"/>
      <c r="DB62" s="939" t="s">
        <v>74</v>
      </c>
      <c r="DC62" s="939"/>
      <c r="DD62" s="939"/>
      <c r="DE62" s="939"/>
      <c r="DF62" s="962" t="s">
        <v>74</v>
      </c>
      <c r="DG62" s="939"/>
      <c r="DH62" s="939"/>
      <c r="DI62" s="939"/>
      <c r="DJ62" s="939"/>
      <c r="DK62" s="939"/>
      <c r="DL62" s="939"/>
      <c r="DM62" s="939"/>
      <c r="DN62" s="939"/>
      <c r="DO62" s="939"/>
      <c r="DP62" s="939"/>
      <c r="DQ62" s="939"/>
      <c r="DR62" s="939"/>
      <c r="DS62" s="939"/>
      <c r="DT62" s="939"/>
      <c r="DU62" s="939"/>
      <c r="DV62" s="939"/>
      <c r="DW62" s="939"/>
      <c r="DX62" s="939"/>
      <c r="DY62" s="939"/>
      <c r="DZ62" s="939"/>
      <c r="EA62" s="939"/>
      <c r="EB62" s="939"/>
      <c r="EC62" s="939"/>
      <c r="ED62" s="939"/>
      <c r="EE62" s="939"/>
      <c r="EF62" s="939"/>
      <c r="EG62" s="939"/>
      <c r="EH62" s="939"/>
      <c r="EI62" s="939"/>
      <c r="EJ62" s="939"/>
      <c r="EK62" s="939"/>
      <c r="EL62" s="939"/>
      <c r="EM62" s="939"/>
      <c r="EN62" s="939" t="s">
        <v>1573</v>
      </c>
      <c r="EO62" s="939"/>
      <c r="EP62" s="939"/>
      <c r="EQ62" s="939"/>
      <c r="ER62" s="939"/>
      <c r="ES62" s="939"/>
      <c r="ET62" s="939"/>
      <c r="EU62" s="939"/>
      <c r="EV62" s="939"/>
      <c r="EW62" s="939" t="s">
        <v>74</v>
      </c>
      <c r="EX62" s="939"/>
      <c r="EY62" s="939"/>
      <c r="EZ62" s="939"/>
      <c r="FA62" s="939"/>
      <c r="FB62" s="939"/>
      <c r="FC62" s="939"/>
      <c r="FD62" s="939"/>
      <c r="FE62" s="939"/>
      <c r="FF62" s="939"/>
      <c r="FG62" s="939"/>
      <c r="FH62" s="939"/>
      <c r="FI62" s="939"/>
      <c r="FJ62" s="939"/>
      <c r="FK62" s="939"/>
      <c r="FL62" s="939"/>
      <c r="FM62" s="939"/>
      <c r="FN62" s="939"/>
      <c r="FO62" s="939"/>
      <c r="FP62" s="939"/>
      <c r="FQ62" s="939"/>
      <c r="FR62" s="939"/>
      <c r="FS62" s="939"/>
      <c r="FT62" s="939"/>
      <c r="FU62" s="939"/>
      <c r="FV62" s="939"/>
      <c r="FW62" s="939"/>
      <c r="FX62" s="939" t="s">
        <v>2757</v>
      </c>
      <c r="FY62" s="939"/>
      <c r="FZ62" s="939"/>
      <c r="GA62" s="939" t="s">
        <v>2759</v>
      </c>
      <c r="GB62" s="939"/>
      <c r="GC62" s="939" t="s">
        <v>74</v>
      </c>
      <c r="GD62" s="939" t="s">
        <v>74</v>
      </c>
      <c r="GE62" s="939" t="s">
        <v>74</v>
      </c>
      <c r="GF62" s="939"/>
      <c r="GG62" s="939"/>
      <c r="GH62" s="939"/>
      <c r="GI62" s="939"/>
      <c r="GJ62" s="939"/>
      <c r="GK62" s="939"/>
      <c r="GL62" s="939"/>
      <c r="GM62" s="939"/>
      <c r="GN62" s="939"/>
      <c r="GO62" s="939"/>
      <c r="GP62" s="939"/>
      <c r="GQ62" s="939"/>
      <c r="GR62" s="939"/>
      <c r="GS62" s="939"/>
      <c r="GT62" s="939"/>
      <c r="GU62" s="939" t="s">
        <v>74</v>
      </c>
      <c r="GV62" s="939"/>
      <c r="GW62" s="939"/>
      <c r="GX62" s="939"/>
      <c r="GY62" s="939"/>
      <c r="GZ62" s="939"/>
      <c r="HA62" s="939"/>
      <c r="HB62" s="939"/>
      <c r="HC62" s="939"/>
      <c r="HD62" s="939"/>
      <c r="HE62" s="939"/>
      <c r="HF62" s="939"/>
      <c r="HG62" s="939"/>
      <c r="HH62" s="939"/>
      <c r="HI62" s="939"/>
      <c r="HJ62" s="939"/>
      <c r="HK62" s="939"/>
      <c r="HL62" s="954"/>
      <c r="HM62" s="939"/>
      <c r="HN62" s="939"/>
      <c r="HO62" s="939"/>
      <c r="HP62" s="939"/>
      <c r="HQ62" s="939"/>
      <c r="HR62" s="939"/>
      <c r="HS62" s="939"/>
      <c r="HT62" s="962"/>
      <c r="HU62" s="939"/>
      <c r="HV62" s="939"/>
      <c r="HW62" s="939"/>
      <c r="HX62" s="990"/>
      <c r="HY62" s="1012"/>
      <c r="HZ62" s="1012"/>
      <c r="IA62" s="1012"/>
      <c r="IB62" s="1012"/>
      <c r="IC62" s="990" t="s">
        <v>74</v>
      </c>
      <c r="ID62" s="990" t="s">
        <v>74</v>
      </c>
      <c r="IE62" s="939" t="s">
        <v>74</v>
      </c>
      <c r="IF62" s="1012"/>
      <c r="IG62" s="1012"/>
      <c r="IH62" s="1012"/>
      <c r="II62" s="1012"/>
      <c r="IJ62" s="939" t="s">
        <v>74</v>
      </c>
      <c r="IK62" s="1012"/>
      <c r="IL62" s="1012"/>
      <c r="IM62" s="939" t="s">
        <v>74</v>
      </c>
      <c r="IN62" s="1012"/>
      <c r="IO62" s="1012"/>
      <c r="IP62" s="1013"/>
      <c r="IQ62" s="990" t="s">
        <v>74</v>
      </c>
      <c r="IR62" s="1012"/>
      <c r="IS62" s="1012"/>
      <c r="IT62" s="1012"/>
      <c r="IU62" s="1012"/>
      <c r="IV62" s="1012"/>
      <c r="IW62" s="929"/>
      <c r="IX62" s="929" t="str">
        <f>IF(ISNUMBER(SEARCH($A62,VLOOKUP(IX$2,职业列表!$B$1:$G$370,6,0))),"★","")</f>
        <v/>
      </c>
      <c r="IY62" s="929" t="str">
        <f>IF(ISNUMBER(SEARCH($A62,VLOOKUP(IY$2,职业列表!$B$1:$G$370,6,0))),"★","")</f>
        <v/>
      </c>
      <c r="IZ62" s="929" t="str">
        <f>IF(ISNUMBER(SEARCH($A62,VLOOKUP(IZ$2,职业列表!$B$1:$G$370,6,0))),"★","")</f>
        <v/>
      </c>
      <c r="JA62" s="929" t="str">
        <f>IF(ISNUMBER(SEARCH($A62,VLOOKUP(JA$2,职业列表!$B$1:$G$370,6,0))),"★","")</f>
        <v/>
      </c>
      <c r="JB62" s="929" t="str">
        <f>IF(ISNUMBER(SEARCH($A62,VLOOKUP(JB$2,职业列表!$B$1:$G$370,6,0))),"★","")</f>
        <v/>
      </c>
      <c r="JC62" s="929" t="str">
        <f>IF(ISNUMBER(SEARCH($A62,VLOOKUP(JC$2,职业列表!$B$1:$G$370,6,0))),"★","")</f>
        <v/>
      </c>
      <c r="JD62" s="929" t="str">
        <f>IF(ISNUMBER(SEARCH($A62,VLOOKUP(JD$2,职业列表!$B$1:$G$370,6,0))),"★","")</f>
        <v/>
      </c>
      <c r="JE62" s="929" t="str">
        <f>IF(ISNUMBER(SEARCH($A62,VLOOKUP(JE$2,职业列表!$B$1:$G$370,6,0))),"★","")</f>
        <v>★</v>
      </c>
      <c r="JF62" s="929" t="str">
        <f>IF(ISNUMBER(SEARCH($A62,VLOOKUP(JF$2,职业列表!$B$1:$G$370,6,0))),"★","")</f>
        <v/>
      </c>
      <c r="JG62" s="929" t="str">
        <f>IF(ISNUMBER(SEARCH($A62,VLOOKUP(JG$2,职业列表!$B$1:$G$370,6,0))),"★","")</f>
        <v>★</v>
      </c>
      <c r="JH62" s="929" t="str">
        <f>IF(ISNUMBER(SEARCH($A62,VLOOKUP(JH$2,职业列表!$B$1:$G$370,6,0))),"★","")</f>
        <v/>
      </c>
      <c r="JI62" s="929" t="str">
        <f>IF(ISNUMBER(SEARCH($A62,VLOOKUP(JI$2,职业列表!$B$1:$G$370,6,0))),"★","")</f>
        <v/>
      </c>
      <c r="JJ62" s="929" t="str">
        <f>IF(ISNUMBER(SEARCH($A62,VLOOKUP(JJ$2,职业列表!$B$1:$G$370,6,0))),"★","")</f>
        <v/>
      </c>
      <c r="JK62" s="929" t="str">
        <f>IF(ISNUMBER(SEARCH($A62,VLOOKUP(JK$2,职业列表!$B$1:$G$370,6,0))),"★","")</f>
        <v/>
      </c>
      <c r="JL62" s="929" t="str">
        <f>IF(ISNUMBER(SEARCH($A62,VLOOKUP(JL$2,职业列表!$B$1:$G$370,6,0))),"★","")</f>
        <v/>
      </c>
      <c r="JM62" s="929" t="str">
        <f>IF(ISNUMBER(SEARCH($A62,VLOOKUP(JM$2,职业列表!$B$1:$G$370,6,0))),"★","")</f>
        <v>★</v>
      </c>
      <c r="JN62" s="929" t="str">
        <f>IF(ISNUMBER(SEARCH($A62,VLOOKUP(JN$2,职业列表!$B$1:$G$370,6,0))),"★","")</f>
        <v>★</v>
      </c>
      <c r="JO62" s="929" t="str">
        <f>IF(ISNUMBER(SEARCH($A62,VLOOKUP(JO$2,职业列表!$B$1:$G$370,6,0))),"★","")</f>
        <v/>
      </c>
      <c r="JP62" s="929" t="str">
        <f>IF(ISNUMBER(SEARCH($A62,VLOOKUP(JP$2,职业列表!$B$1:$G$370,6,0))),"★","")</f>
        <v/>
      </c>
      <c r="JQ62" s="929" t="str">
        <f>IF(ISNUMBER(SEARCH($A62,VLOOKUP(JQ$2,职业列表!$B$1:$G$370,6,0))),"★","")</f>
        <v/>
      </c>
      <c r="JR62" s="929" t="str">
        <f>IF(ISNUMBER(SEARCH($A62,VLOOKUP(JR$2,职业列表!$B$1:$G$370,6,0))),"★","")</f>
        <v/>
      </c>
      <c r="JS62" s="929" t="str">
        <f>IF(ISNUMBER(SEARCH($A62,VLOOKUP(JS$2,职业列表!$B$1:$G$370,6,0))),"★","")</f>
        <v/>
      </c>
      <c r="JT62" s="929" t="str">
        <f>IF(ISNUMBER(SEARCH($A62,VLOOKUP(JT$2,职业列表!$B$1:$G$370,6,0))),"★","")</f>
        <v/>
      </c>
      <c r="JU62" s="929" t="str">
        <f>IF(ISNUMBER(SEARCH($A62,VLOOKUP(JU$2,职业列表!$B$1:$G$370,6,0))),"★","")</f>
        <v/>
      </c>
      <c r="JV62" s="929" t="str">
        <f>IF(ISNUMBER(SEARCH($A62,VLOOKUP(JV$2,职业列表!$B$1:$G$370,6,0))),"★","")</f>
        <v/>
      </c>
      <c r="JW62" s="929" t="str">
        <f>IF(ISNUMBER(SEARCH($A62,VLOOKUP(JW$2,职业列表!$B$1:$G$370,6,0))),"★","")</f>
        <v/>
      </c>
      <c r="JX62" s="929" t="str">
        <f>IF(ISNUMBER(SEARCH($A62,VLOOKUP(JX$2,职业列表!$B$1:$G$370,6,0))),"★","")</f>
        <v/>
      </c>
      <c r="JY62" s="929" t="str">
        <f>IF(ISNUMBER(SEARCH($A62,VLOOKUP(JY$2,职业列表!$B$1:$G$370,6,0))),"★","")</f>
        <v>★</v>
      </c>
      <c r="JZ62" s="929" t="str">
        <f>IF(ISNUMBER(SEARCH($A62,VLOOKUP(JZ$2,职业列表!$B$1:$G$370,6,0))),"★","")</f>
        <v/>
      </c>
      <c r="KA62" s="929" t="str">
        <f>IF(ISNUMBER(SEARCH($A62,VLOOKUP(KA$2,职业列表!$B$1:$G$370,6,0))),"★","")</f>
        <v/>
      </c>
      <c r="KB62" s="929" t="str">
        <f>IF(ISNUMBER(SEARCH($A62,VLOOKUP(KB$2,职业列表!$B$1:$G$370,6,0))),"★","")</f>
        <v/>
      </c>
      <c r="KC62" s="929" t="str">
        <f>IF(ISNUMBER(SEARCH($A62,VLOOKUP(KC$2,职业列表!$B$1:$G$370,6,0))),"★","")</f>
        <v/>
      </c>
      <c r="KD62" s="929" t="str">
        <f>IF(ISNUMBER(SEARCH($A62,VLOOKUP(KD$2,职业列表!$B$1:$G$370,6,0))),"★","")</f>
        <v>★</v>
      </c>
      <c r="KE62" s="929" t="str">
        <f>IF(ISNUMBER(SEARCH($A62,VLOOKUP(KE$2,职业列表!$B$1:$G$370,6,0))),"★","")</f>
        <v/>
      </c>
      <c r="KF62" s="929" t="str">
        <f>IF(ISNUMBER(SEARCH($A62,VLOOKUP(KF$2,职业列表!$B$1:$G$370,6,0))),"★","")</f>
        <v>★</v>
      </c>
      <c r="KG62" s="929" t="str">
        <f>IF(ISNUMBER(SEARCH($A62,VLOOKUP(KG$2,职业列表!$B$1:$G$370,6,0))),"★","")</f>
        <v/>
      </c>
      <c r="KH62" s="929" t="str">
        <f>IF(ISNUMBER(SEARCH($A62,VLOOKUP(KH$2,职业列表!$B$1:$G$370,6,0))),"★","")</f>
        <v/>
      </c>
      <c r="KI62" s="929" t="str">
        <f>IF(ISNUMBER(SEARCH($A62,VLOOKUP(KI$2,职业列表!$B$1:$G$370,6,0))),"★","")</f>
        <v/>
      </c>
      <c r="KJ62" s="929" t="str">
        <f>IF(ISNUMBER(SEARCH($A62,VLOOKUP(KJ$2,职业列表!$B$1:$G$370,6,0))),"★","")</f>
        <v/>
      </c>
      <c r="KK62" s="929" t="str">
        <f>IF(ISNUMBER(SEARCH($A62,VLOOKUP(KK$2,职业列表!$B$1:$G$370,6,0))),"★","")</f>
        <v/>
      </c>
      <c r="KL62" s="929" t="str">
        <f>IF(ISNUMBER(SEARCH($A62,VLOOKUP(KL$2,职业列表!$B$1:$G$370,6,0))),"★","")</f>
        <v/>
      </c>
      <c r="KM62" s="929" t="str">
        <f>IF(ISNUMBER(SEARCH($A62,VLOOKUP(KM$2,职业列表!$B$1:$G$370,6,0))),"★","")</f>
        <v>★</v>
      </c>
      <c r="KN62" s="929" t="str">
        <f>IF(ISNUMBER(SEARCH($A62,VLOOKUP(KN$2,职业列表!$B$1:$G$370,6,0))),"★","")</f>
        <v/>
      </c>
      <c r="KO62" s="929" t="str">
        <f>IF(ISNUMBER(SEARCH($A62,VLOOKUP(KO$2,职业列表!$B$1:$G$370,6,0))),"★","")</f>
        <v/>
      </c>
      <c r="KP62" s="929" t="str">
        <f>IF(ISNUMBER(SEARCH($A62,VLOOKUP(KP$2,职业列表!$B$1:$G$370,6,0))),"★","")</f>
        <v/>
      </c>
      <c r="KQ62" s="929" t="str">
        <f>IF(ISNUMBER(SEARCH($A62,VLOOKUP(KQ$2,职业列表!$B$1:$G$370,6,0))),"★","")</f>
        <v/>
      </c>
      <c r="KR62" s="929" t="str">
        <f>IF(ISNUMBER(SEARCH($A62,VLOOKUP(KR$2,职业列表!$B$1:$G$370,6,0))),"★","")</f>
        <v/>
      </c>
      <c r="KS62" s="929" t="str">
        <f>IF(ISNUMBER(SEARCH($A62,VLOOKUP(KS$2,职业列表!$B$1:$G$370,6,0))),"★","")</f>
        <v/>
      </c>
      <c r="KT62" s="929" t="str">
        <f>IF(ISNUMBER(SEARCH($A62,VLOOKUP(KT$2,职业列表!$B$1:$G$370,6,0))),"★","")</f>
        <v/>
      </c>
      <c r="KU62" s="929" t="str">
        <f>IF(ISNUMBER(SEARCH($A62,VLOOKUP(KU$2,职业列表!$B$1:$G$370,6,0))),"★","")</f>
        <v>★</v>
      </c>
      <c r="KV62" s="929" t="str">
        <f>IF(ISNUMBER(SEARCH($A62,VLOOKUP(KV$2,职业列表!$B$1:$G$370,6,0))),"★","")</f>
        <v/>
      </c>
      <c r="KW62" s="929" t="str">
        <f>IF(ISNUMBER(SEARCH($A62,VLOOKUP(KW$2,职业列表!$B$1:$G$370,6,0))),"★","")</f>
        <v/>
      </c>
      <c r="KX62" s="929" t="str">
        <f>IF(ISNUMBER(SEARCH($A62,VLOOKUP(KX$2,职业列表!$B$1:$G$370,6,0))),"★","")</f>
        <v/>
      </c>
      <c r="KY62" s="929" t="str">
        <f>IF(ISNUMBER(SEARCH($A62,VLOOKUP(KY$2,职业列表!$B$1:$G$370,6,0))),"★","")</f>
        <v>★</v>
      </c>
      <c r="KZ62" s="929" t="str">
        <f>IF(ISNUMBER(SEARCH($A62,VLOOKUP(KZ$2,职业列表!$B$1:$G$370,6,0))),"★","")</f>
        <v/>
      </c>
      <c r="LA62" s="929" t="str">
        <f>IF(ISNUMBER(SEARCH($A62,VLOOKUP(LA$2,职业列表!$B$1:$G$370,6,0))),"★","")</f>
        <v/>
      </c>
      <c r="LB62" s="929" t="str">
        <f>IF(ISNUMBER(SEARCH($A62,VLOOKUP(LB$2,职业列表!$B$1:$G$370,6,0))),"★","")</f>
        <v/>
      </c>
      <c r="LC62" s="929" t="str">
        <f>IF(ISNUMBER(SEARCH($A62,VLOOKUP(LC$2,职业列表!$B$1:$G$370,6,0))),"★","")</f>
        <v/>
      </c>
      <c r="LD62" s="929" t="str">
        <f>IF(ISNUMBER(SEARCH($A62,VLOOKUP(LD$2,职业列表!$B$1:$G$370,6,0))),"★","")</f>
        <v/>
      </c>
      <c r="LE62" s="929" t="str">
        <f>IF(ISNUMBER(SEARCH($A62,VLOOKUP(LE$2,职业列表!$B$1:$G$370,6,0))),"★","")</f>
        <v/>
      </c>
      <c r="LF62" s="929" t="str">
        <f>IF(ISNUMBER(SEARCH($A62,VLOOKUP(LF$2,职业列表!$B$1:$G$370,6,0))),"★","")</f>
        <v/>
      </c>
      <c r="LG62" s="929" t="str">
        <f>IF(ISNUMBER(SEARCH($A62,VLOOKUP(LG$2,职业列表!$B$1:$G$370,6,0))),"★","")</f>
        <v>★</v>
      </c>
      <c r="LH62" s="929" t="str">
        <f>IF(ISNUMBER(SEARCH($A62,VLOOKUP(LH$2,职业列表!$B$1:$G$370,6,0))),"★","")</f>
        <v/>
      </c>
      <c r="LI62" s="929" t="str">
        <f>IF(ISNUMBER(SEARCH($A62,VLOOKUP(LI$2,职业列表!$B$1:$G$370,6,0))),"★","")</f>
        <v/>
      </c>
      <c r="LJ62" s="929" t="str">
        <f>IF(ISNUMBER(SEARCH($A62,VLOOKUP(LJ$2,职业列表!$B$1:$G$370,6,0))),"★","")</f>
        <v/>
      </c>
      <c r="LK62" s="929" t="str">
        <f>IF(ISNUMBER(SEARCH($A62,VLOOKUP(LK$2,职业列表!$B$1:$G$370,6,0))),"★","")</f>
        <v/>
      </c>
      <c r="LL62" s="929" t="str">
        <f>IF(ISNUMBER(SEARCH($A62,VLOOKUP(LL$2,职业列表!$B$1:$G$370,6,0))),"★","")</f>
        <v/>
      </c>
      <c r="LM62" s="929" t="str">
        <f>IF(ISNUMBER(SEARCH($A62,VLOOKUP(LM$2,职业列表!$B$1:$G$370,6,0))),"★","")</f>
        <v/>
      </c>
      <c r="LN62" s="929" t="str">
        <f>IF(ISNUMBER(SEARCH($A62,VLOOKUP(LN$2,职业列表!$B$1:$G$370,6,0))),"★","")</f>
        <v>★</v>
      </c>
      <c r="LO62" s="929" t="str">
        <f>IF(ISNUMBER(SEARCH($A62,VLOOKUP(LO$2,职业列表!$B$1:$G$370,6,0))),"★","")</f>
        <v/>
      </c>
      <c r="LP62" s="929" t="str">
        <f>IF(ISNUMBER(SEARCH($A62,VLOOKUP(LP$2,职业列表!$B$1:$G$370,6,0))),"★","")</f>
        <v/>
      </c>
      <c r="LQ62" s="929" t="str">
        <f>IF(ISNUMBER(SEARCH($A62,VLOOKUP(LQ$2,职业列表!$B$1:$G$370,6,0))),"★","")</f>
        <v/>
      </c>
      <c r="LR62" s="929" t="str">
        <f>IF(ISNUMBER(SEARCH($A62,VLOOKUP(LR$2,职业列表!$B$1:$G$370,6,0))),"★","")</f>
        <v/>
      </c>
      <c r="LS62" s="929" t="str">
        <f>IF(ISNUMBER(SEARCH($A62,VLOOKUP(LS$2,职业列表!$B$1:$G$370,6,0))),"★","")</f>
        <v/>
      </c>
      <c r="LT62" s="929" t="str">
        <f>IF(ISNUMBER(SEARCH($A62,VLOOKUP(LT$2,职业列表!$B$1:$G$370,6,0))),"★","")</f>
        <v/>
      </c>
      <c r="LU62" s="929" t="str">
        <f>IF(ISNUMBER(SEARCH($A62,VLOOKUP(LU$2,职业列表!$B$1:$G$370,6,0))),"★","")</f>
        <v/>
      </c>
      <c r="LV62" s="929" t="str">
        <f>IF(ISNUMBER(SEARCH($A62,VLOOKUP(LV$2,职业列表!$B$1:$G$370,6,0))),"★","")</f>
        <v>★</v>
      </c>
      <c r="LW62" s="929" t="str">
        <f>IF(ISNUMBER(SEARCH($A62,VLOOKUP(LW$2,职业列表!$B$1:$G$370,6,0))),"★","")</f>
        <v>★</v>
      </c>
      <c r="LX62" s="929" t="str">
        <f>IF(ISNUMBER(SEARCH($A62,VLOOKUP(LX$2,职业列表!$B$1:$G$370,6,0))),"★","")</f>
        <v/>
      </c>
      <c r="LY62" s="929" t="str">
        <f>IF(ISNUMBER(SEARCH($A62,VLOOKUP(LY$2,职业列表!$B$1:$G$370,6,0))),"★","")</f>
        <v/>
      </c>
      <c r="LZ62" s="929" t="str">
        <f>IF(ISNUMBER(SEARCH($A62,VLOOKUP(LZ$2,职业列表!$B$1:$G$370,6,0))),"★","")</f>
        <v/>
      </c>
      <c r="MA62" s="929" t="str">
        <f>IF(ISNUMBER(SEARCH($A62,VLOOKUP(MA$2,职业列表!$B$1:$G$370,6,0))),"★","")</f>
        <v/>
      </c>
      <c r="MB62" s="929" t="str">
        <f>IF(ISNUMBER(SEARCH($A62,VLOOKUP(MB$2,职业列表!$B$1:$G$370,6,0))),"★","")</f>
        <v/>
      </c>
      <c r="MC62" s="929" t="str">
        <f>IF(ISNUMBER(SEARCH($A62,VLOOKUP(MC$2,职业列表!$B$1:$G$370,6,0))),"★","")</f>
        <v/>
      </c>
      <c r="MD62" s="929" t="str">
        <f>IF(ISNUMBER(SEARCH($A62,VLOOKUP(MD$2,职业列表!$B$1:$G$370,6,0))),"★","")</f>
        <v/>
      </c>
      <c r="ME62" s="929" t="str">
        <f>IF(ISNUMBER(SEARCH($A62,VLOOKUP(ME$2,职业列表!$B$1:$G$370,6,0))),"★","")</f>
        <v/>
      </c>
      <c r="MF62" s="929" t="str">
        <f>IF(ISNUMBER(SEARCH($A62,VLOOKUP(MF$2,职业列表!$B$1:$G$370,6,0))),"★","")</f>
        <v/>
      </c>
      <c r="MG62" s="929" t="str">
        <f>IF(ISNUMBER(SEARCH($A62,VLOOKUP(MG$2,职业列表!$B$1:$G$370,6,0))),"★","")</f>
        <v/>
      </c>
      <c r="MH62" s="929" t="str">
        <f>IF(ISNUMBER(SEARCH($A62,VLOOKUP(MH$2,职业列表!$B$1:$G$370,6,0))),"★","")</f>
        <v/>
      </c>
      <c r="MI62" s="929" t="str">
        <f>IF(ISNUMBER(SEARCH($A62,VLOOKUP(MI$2,职业列表!$B$1:$G$370,6,0))),"★","")</f>
        <v/>
      </c>
      <c r="MJ62" s="929" t="str">
        <f>IF(ISNUMBER(SEARCH($A62,VLOOKUP(MJ$2,职业列表!$B$1:$G$370,6,0))),"★","")</f>
        <v/>
      </c>
      <c r="MK62" s="929" t="str">
        <f>IF(ISNUMBER(SEARCH($A62,VLOOKUP(MK$2,职业列表!$B$1:$G$370,6,0))),"★","")</f>
        <v/>
      </c>
      <c r="ML62" s="929" t="str">
        <f>IF(ISNUMBER(SEARCH($A62,VLOOKUP(ML$2,职业列表!$B$1:$G$370,6,0))),"★","")</f>
        <v/>
      </c>
      <c r="MM62" s="929" t="str">
        <f>IF(ISNUMBER(SEARCH($A62,VLOOKUP(MM$2,职业列表!$B$1:$G$370,6,0))),"★","")</f>
        <v/>
      </c>
      <c r="MN62" s="929" t="str">
        <f>IF(ISNUMBER(SEARCH($A62,VLOOKUP(MN$2,职业列表!$B$1:$G$370,6,0))),"★","")</f>
        <v/>
      </c>
      <c r="MO62" s="929" t="str">
        <f>IF(ISNUMBER(SEARCH($A62,VLOOKUP(MO$2,职业列表!$B$1:$G$370,6,0))),"★","")</f>
        <v/>
      </c>
      <c r="MP62" s="929" t="str">
        <f>IF(ISNUMBER(SEARCH($A62,VLOOKUP(MP$2,职业列表!$B$1:$G$370,6,0))),"★","")</f>
        <v/>
      </c>
      <c r="MQ62" s="929" t="str">
        <f>IF(ISNUMBER(SEARCH($A62,VLOOKUP(MQ$2,职业列表!$B$1:$G$370,6,0))),"★","")</f>
        <v/>
      </c>
      <c r="MR62" s="929" t="str">
        <f>IF(ISNUMBER(SEARCH($A62,VLOOKUP(MR$2,职业列表!$B$1:$G$370,6,0))),"★","")</f>
        <v/>
      </c>
      <c r="MS62" s="929" t="str">
        <f>IF(ISNUMBER(SEARCH($A62,VLOOKUP(MS$2,职业列表!$B$1:$G$370,6,0))),"★","")</f>
        <v>★</v>
      </c>
      <c r="MT62" s="929" t="str">
        <f>IF(ISNUMBER(SEARCH($A62,VLOOKUP(MT$2,职业列表!$B$1:$G$370,6,0))),"★","")</f>
        <v/>
      </c>
      <c r="MU62" s="929" t="str">
        <f>IF(ISNUMBER(SEARCH($A62,VLOOKUP(MU$2,职业列表!$B$1:$G$370,6,0))),"★","")</f>
        <v/>
      </c>
      <c r="MV62" s="929" t="str">
        <f>IF(ISNUMBER(SEARCH($A62,VLOOKUP(MV$2,职业列表!$B$1:$G$370,6,0))),"★","")</f>
        <v/>
      </c>
      <c r="MW62" s="929" t="str">
        <f>IF(ISNUMBER(SEARCH($A62,VLOOKUP(MW$2,职业列表!$B$1:$G$370,6,0))),"★","")</f>
        <v/>
      </c>
      <c r="MX62" s="929" t="str">
        <f>IF(ISNUMBER(SEARCH($A62,VLOOKUP(MX$2,职业列表!$B$1:$G$370,6,0))),"★","")</f>
        <v/>
      </c>
      <c r="MY62" s="929" t="str">
        <f>IF(ISNUMBER(SEARCH($A62,VLOOKUP(MY$2,职业列表!$B$1:$G$370,6,0))),"★","")</f>
        <v/>
      </c>
      <c r="MZ62" s="929" t="str">
        <f>IF(ISNUMBER(SEARCH($A62,VLOOKUP(MZ$2,职业列表!$B$1:$G$370,6,0))),"★","")</f>
        <v/>
      </c>
      <c r="NA62" s="929" t="str">
        <f>IF(ISNUMBER(SEARCH($A62,VLOOKUP(NA$2,职业列表!$B$1:$G$370,6,0))),"★","")</f>
        <v/>
      </c>
      <c r="NB62" s="929" t="str">
        <f>IF(ISNUMBER(SEARCH($A62,VLOOKUP(NB$2,职业列表!$B$1:$G$370,6,0))),"★","")</f>
        <v/>
      </c>
      <c r="NC62" s="929" t="str">
        <f>IF(ISNUMBER(SEARCH($A62,VLOOKUP(NC$2,职业列表!$B$1:$G$370,6,0))),"★","")</f>
        <v/>
      </c>
      <c r="ND62" s="929" t="str">
        <f>IF(ISNUMBER(SEARCH($A62,VLOOKUP(ND$2,职业列表!$B$1:$G$370,6,0))),"★","")</f>
        <v/>
      </c>
      <c r="NE62" s="929" t="str">
        <f>IF(ISNUMBER(SEARCH($A62,VLOOKUP(NE$2,职业列表!$B$1:$G$370,6,0))),"★","")</f>
        <v>★</v>
      </c>
    </row>
    <row r="63" customFormat="1" spans="1:369">
      <c r="A63" s="932" t="s">
        <v>134</v>
      </c>
      <c r="B63" s="939" t="str">
        <f>IF(OR(A63="说服",A63="话术",A63="取悦",A63="恐吓"),"☯",IF(ISNUMBER(SEARCH(A63,VLOOKUP(IX$2,职业列表!$B$1:$G$370,6,0))),"★",""))</f>
        <v/>
      </c>
      <c r="C63" s="939" t="str">
        <f>IF(ISTEXT(IFERROR(VLOOKUP(A63,职业列表!I3:J10,1,FALSE),0)),"★","")</f>
        <v/>
      </c>
      <c r="D63" s="939"/>
      <c r="E63" s="939" t="s">
        <v>74</v>
      </c>
      <c r="F63" s="939"/>
      <c r="G63" s="939"/>
      <c r="H63" s="939"/>
      <c r="I63" s="939"/>
      <c r="J63" s="939"/>
      <c r="K63" s="939"/>
      <c r="L63" s="939"/>
      <c r="M63" s="939"/>
      <c r="N63" s="939"/>
      <c r="O63" s="939"/>
      <c r="P63" s="939"/>
      <c r="Q63" s="939" t="s">
        <v>74</v>
      </c>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t="s">
        <v>74</v>
      </c>
      <c r="AT63" s="939"/>
      <c r="AU63" s="939"/>
      <c r="AV63" s="939"/>
      <c r="AW63" s="939"/>
      <c r="AX63" s="939"/>
      <c r="AY63" s="939"/>
      <c r="AZ63" s="939"/>
      <c r="BA63" s="939"/>
      <c r="BB63" s="939"/>
      <c r="BC63" s="939" t="s">
        <v>2716</v>
      </c>
      <c r="BD63" s="939"/>
      <c r="BE63" s="939"/>
      <c r="BF63" s="939"/>
      <c r="BG63" s="939"/>
      <c r="BH63" s="939"/>
      <c r="BI63" s="939"/>
      <c r="BJ63" s="939"/>
      <c r="BK63" s="939"/>
      <c r="BL63" s="939"/>
      <c r="BM63" s="939"/>
      <c r="BN63" s="939"/>
      <c r="BO63" s="939"/>
      <c r="BP63" s="939"/>
      <c r="BQ63" s="939"/>
      <c r="BR63" s="939"/>
      <c r="BS63" s="939"/>
      <c r="BT63" s="939"/>
      <c r="BU63" s="939"/>
      <c r="BV63" s="939"/>
      <c r="BW63" s="939"/>
      <c r="BX63" s="939"/>
      <c r="BY63" s="939"/>
      <c r="BZ63" s="939"/>
      <c r="CA63" s="939"/>
      <c r="CB63" s="939"/>
      <c r="CC63" s="939"/>
      <c r="CD63" s="939"/>
      <c r="CE63" s="939"/>
      <c r="CF63" s="939"/>
      <c r="CG63" s="939"/>
      <c r="CH63" s="939"/>
      <c r="CI63" s="939"/>
      <c r="CJ63" s="939"/>
      <c r="CK63" s="939"/>
      <c r="CL63" s="939"/>
      <c r="CM63" s="939"/>
      <c r="CN63" s="939"/>
      <c r="CO63" s="939"/>
      <c r="CP63" s="939"/>
      <c r="CQ63" s="939"/>
      <c r="CR63" s="939"/>
      <c r="CS63" s="939"/>
      <c r="CT63" s="939"/>
      <c r="CU63" s="939"/>
      <c r="CV63" s="939" t="s">
        <v>74</v>
      </c>
      <c r="CW63" s="939" t="s">
        <v>74</v>
      </c>
      <c r="CX63" s="939"/>
      <c r="CY63" s="939"/>
      <c r="CZ63" s="939"/>
      <c r="DA63" s="939"/>
      <c r="DB63" s="939" t="s">
        <v>2716</v>
      </c>
      <c r="DC63" s="939"/>
      <c r="DD63" s="939"/>
      <c r="DE63" s="940" t="s">
        <v>74</v>
      </c>
      <c r="DF63" s="939" t="s">
        <v>74</v>
      </c>
      <c r="DG63" s="939"/>
      <c r="DH63" s="939"/>
      <c r="DI63" s="939"/>
      <c r="DJ63" s="939"/>
      <c r="DK63" s="939"/>
      <c r="DL63" s="939"/>
      <c r="DM63" s="939"/>
      <c r="DN63" s="939"/>
      <c r="DO63" s="939" t="s">
        <v>74</v>
      </c>
      <c r="DP63" s="939" t="s">
        <v>74</v>
      </c>
      <c r="DQ63" s="939"/>
      <c r="DR63" s="939"/>
      <c r="DS63" s="939"/>
      <c r="DT63" s="939"/>
      <c r="DU63" s="939"/>
      <c r="DV63" s="939"/>
      <c r="DW63" s="939"/>
      <c r="DX63" s="939"/>
      <c r="DY63" s="939"/>
      <c r="DZ63" s="939"/>
      <c r="EA63" s="939"/>
      <c r="EB63" s="939"/>
      <c r="EC63" s="939"/>
      <c r="ED63" s="939"/>
      <c r="EE63" s="939"/>
      <c r="EF63" s="939"/>
      <c r="EG63" s="939"/>
      <c r="EH63" s="939"/>
      <c r="EI63" s="939"/>
      <c r="EJ63" s="939"/>
      <c r="EK63" s="939"/>
      <c r="EL63" s="939"/>
      <c r="EM63" s="939"/>
      <c r="EN63" s="939"/>
      <c r="EO63" s="939"/>
      <c r="EP63" s="939"/>
      <c r="EQ63" s="939"/>
      <c r="ER63" s="939"/>
      <c r="ES63" s="939"/>
      <c r="ET63" s="939"/>
      <c r="EU63" s="939"/>
      <c r="EV63" s="939"/>
      <c r="EW63" s="939"/>
      <c r="EX63" s="939"/>
      <c r="EY63" s="939"/>
      <c r="EZ63" s="939"/>
      <c r="FA63" s="939"/>
      <c r="FB63" s="939"/>
      <c r="FC63" s="939"/>
      <c r="FD63" s="939"/>
      <c r="FE63" s="939"/>
      <c r="FF63" s="939"/>
      <c r="FG63" s="939"/>
      <c r="FH63" s="939"/>
      <c r="FI63" s="939"/>
      <c r="FJ63" s="939"/>
      <c r="FK63" s="939"/>
      <c r="FL63" s="939"/>
      <c r="FM63" s="939"/>
      <c r="FN63" s="939"/>
      <c r="FO63" s="939"/>
      <c r="FP63" s="939" t="s">
        <v>74</v>
      </c>
      <c r="FQ63" s="939"/>
      <c r="FR63" s="939"/>
      <c r="FS63" s="939"/>
      <c r="FT63" s="939"/>
      <c r="FU63" s="939"/>
      <c r="FV63" s="939"/>
      <c r="FW63" s="939"/>
      <c r="FX63" s="939"/>
      <c r="FY63" s="939"/>
      <c r="FZ63" s="939"/>
      <c r="GA63" s="939" t="s">
        <v>74</v>
      </c>
      <c r="GB63" s="939" t="s">
        <v>74</v>
      </c>
      <c r="GC63" s="939" t="s">
        <v>2716</v>
      </c>
      <c r="GD63" s="939" t="s">
        <v>2716</v>
      </c>
      <c r="GE63" s="939" t="s">
        <v>2716</v>
      </c>
      <c r="GF63" s="939"/>
      <c r="GG63" s="939"/>
      <c r="GH63" s="939"/>
      <c r="GI63" s="939"/>
      <c r="GJ63" s="939" t="s">
        <v>74</v>
      </c>
      <c r="GK63" s="939"/>
      <c r="GL63" s="939"/>
      <c r="GM63" s="939"/>
      <c r="GN63" s="939"/>
      <c r="GO63" s="939"/>
      <c r="GP63" s="939"/>
      <c r="GQ63" s="939"/>
      <c r="GR63" s="939"/>
      <c r="GS63" s="939"/>
      <c r="GT63" s="939"/>
      <c r="GU63" s="939" t="s">
        <v>2716</v>
      </c>
      <c r="GV63" s="939"/>
      <c r="GW63" s="939"/>
      <c r="GX63" s="939"/>
      <c r="GY63" s="939"/>
      <c r="GZ63" s="939"/>
      <c r="HA63" s="939"/>
      <c r="HB63" s="939"/>
      <c r="HC63" s="939"/>
      <c r="HD63" s="939"/>
      <c r="HE63" s="939"/>
      <c r="HF63" s="939"/>
      <c r="HG63" s="939"/>
      <c r="HH63" s="939"/>
      <c r="HI63" s="939"/>
      <c r="HJ63" s="939"/>
      <c r="HK63" s="939" t="s">
        <v>2716</v>
      </c>
      <c r="HL63" s="939" t="s">
        <v>74</v>
      </c>
      <c r="HM63" s="939"/>
      <c r="HN63" s="939"/>
      <c r="HO63" s="939"/>
      <c r="HP63" s="939"/>
      <c r="HQ63" s="939"/>
      <c r="HR63" s="939"/>
      <c r="HS63" s="939"/>
      <c r="HT63" s="939"/>
      <c r="HU63" s="939"/>
      <c r="HV63" s="939"/>
      <c r="HW63" s="939"/>
      <c r="HX63" s="990"/>
      <c r="HY63" s="1012"/>
      <c r="HZ63" s="1012"/>
      <c r="IA63" s="1012"/>
      <c r="IB63" s="1012"/>
      <c r="IC63" s="1013"/>
      <c r="ID63" s="1013"/>
      <c r="IE63" s="1012"/>
      <c r="IF63" s="1012"/>
      <c r="IG63" s="1012"/>
      <c r="IH63" s="1012"/>
      <c r="II63" s="1012"/>
      <c r="IJ63" s="1012"/>
      <c r="IK63" s="1012"/>
      <c r="IL63" s="1012"/>
      <c r="IM63" s="1012"/>
      <c r="IN63" s="1012"/>
      <c r="IO63" s="1012"/>
      <c r="IP63" s="1013"/>
      <c r="IQ63" s="1013"/>
      <c r="IR63" s="1012"/>
      <c r="IS63" s="1012"/>
      <c r="IT63" s="1012"/>
      <c r="IU63" s="1012"/>
      <c r="IV63" s="1012"/>
      <c r="IW63" s="929"/>
      <c r="IX63" s="929" t="str">
        <f>IF(ISNUMBER(SEARCH($A63,VLOOKUP(IX$2,职业列表!$B$1:$G$370,6,0))),"★","")</f>
        <v/>
      </c>
      <c r="IY63" s="929" t="str">
        <f>IF(ISNUMBER(SEARCH($A63,VLOOKUP(IY$2,职业列表!$B$1:$G$370,6,0))),"★","")</f>
        <v/>
      </c>
      <c r="IZ63" s="929" t="str">
        <f>IF(ISNUMBER(SEARCH($A63,VLOOKUP(IZ$2,职业列表!$B$1:$G$370,6,0))),"★","")</f>
        <v/>
      </c>
      <c r="JA63" s="929" t="str">
        <f>IF(ISNUMBER(SEARCH($A63,VLOOKUP(JA$2,职业列表!$B$1:$G$370,6,0))),"★","")</f>
        <v/>
      </c>
      <c r="JB63" s="929" t="str">
        <f>IF(ISNUMBER(SEARCH($A63,VLOOKUP(JB$2,职业列表!$B$1:$G$370,6,0))),"★","")</f>
        <v/>
      </c>
      <c r="JC63" s="929" t="str">
        <f>IF(ISNUMBER(SEARCH($A63,VLOOKUP(JC$2,职业列表!$B$1:$G$370,6,0))),"★","")</f>
        <v/>
      </c>
      <c r="JD63" s="929" t="str">
        <f>IF(ISNUMBER(SEARCH($A63,VLOOKUP(JD$2,职业列表!$B$1:$G$370,6,0))),"★","")</f>
        <v/>
      </c>
      <c r="JE63" s="929" t="str">
        <f>IF(ISNUMBER(SEARCH($A63,VLOOKUP(JE$2,职业列表!$B$1:$G$370,6,0))),"★","")</f>
        <v/>
      </c>
      <c r="JF63" s="929" t="str">
        <f>IF(ISNUMBER(SEARCH($A63,VLOOKUP(JF$2,职业列表!$B$1:$G$370,6,0))),"★","")</f>
        <v/>
      </c>
      <c r="JG63" s="929" t="str">
        <f>IF(ISNUMBER(SEARCH($A63,VLOOKUP(JG$2,职业列表!$B$1:$G$370,6,0))),"★","")</f>
        <v/>
      </c>
      <c r="JH63" s="929" t="str">
        <f>IF(ISNUMBER(SEARCH($A63,VLOOKUP(JH$2,职业列表!$B$1:$G$370,6,0))),"★","")</f>
        <v/>
      </c>
      <c r="JI63" s="929" t="str">
        <f>IF(ISNUMBER(SEARCH($A63,VLOOKUP(JI$2,职业列表!$B$1:$G$370,6,0))),"★","")</f>
        <v/>
      </c>
      <c r="JJ63" s="929" t="str">
        <f>IF(ISNUMBER(SEARCH($A63,VLOOKUP(JJ$2,职业列表!$B$1:$G$370,6,0))),"★","")</f>
        <v/>
      </c>
      <c r="JK63" s="929" t="str">
        <f>IF(ISNUMBER(SEARCH($A63,VLOOKUP(JK$2,职业列表!$B$1:$G$370,6,0))),"★","")</f>
        <v/>
      </c>
      <c r="JL63" s="929" t="str">
        <f>IF(ISNUMBER(SEARCH($A63,VLOOKUP(JL$2,职业列表!$B$1:$G$370,6,0))),"★","")</f>
        <v/>
      </c>
      <c r="JM63" s="929" t="str">
        <f>IF(ISNUMBER(SEARCH($A63,VLOOKUP(JM$2,职业列表!$B$1:$G$370,6,0))),"★","")</f>
        <v/>
      </c>
      <c r="JN63" s="929" t="str">
        <f>IF(ISNUMBER(SEARCH($A63,VLOOKUP(JN$2,职业列表!$B$1:$G$370,6,0))),"★","")</f>
        <v/>
      </c>
      <c r="JO63" s="929" t="str">
        <f>IF(ISNUMBER(SEARCH($A63,VLOOKUP(JO$2,职业列表!$B$1:$G$370,6,0))),"★","")</f>
        <v/>
      </c>
      <c r="JP63" s="929" t="str">
        <f>IF(ISNUMBER(SEARCH($A63,VLOOKUP(JP$2,职业列表!$B$1:$G$370,6,0))),"★","")</f>
        <v/>
      </c>
      <c r="JQ63" s="929" t="str">
        <f>IF(ISNUMBER(SEARCH($A63,VLOOKUP(JQ$2,职业列表!$B$1:$G$370,6,0))),"★","")</f>
        <v/>
      </c>
      <c r="JR63" s="929" t="str">
        <f>IF(ISNUMBER(SEARCH($A63,VLOOKUP(JR$2,职业列表!$B$1:$G$370,6,0))),"★","")</f>
        <v/>
      </c>
      <c r="JS63" s="929" t="str">
        <f>IF(ISNUMBER(SEARCH($A63,VLOOKUP(JS$2,职业列表!$B$1:$G$370,6,0))),"★","")</f>
        <v/>
      </c>
      <c r="JT63" s="929" t="str">
        <f>IF(ISNUMBER(SEARCH($A63,VLOOKUP(JT$2,职业列表!$B$1:$G$370,6,0))),"★","")</f>
        <v/>
      </c>
      <c r="JU63" s="929" t="str">
        <f>IF(ISNUMBER(SEARCH($A63,VLOOKUP(JU$2,职业列表!$B$1:$G$370,6,0))),"★","")</f>
        <v/>
      </c>
      <c r="JV63" s="929" t="str">
        <f>IF(ISNUMBER(SEARCH($A63,VLOOKUP(JV$2,职业列表!$B$1:$G$370,6,0))),"★","")</f>
        <v/>
      </c>
      <c r="JW63" s="929" t="str">
        <f>IF(ISNUMBER(SEARCH($A63,VLOOKUP(JW$2,职业列表!$B$1:$G$370,6,0))),"★","")</f>
        <v/>
      </c>
      <c r="JX63" s="929" t="str">
        <f>IF(ISNUMBER(SEARCH($A63,VLOOKUP(JX$2,职业列表!$B$1:$G$370,6,0))),"★","")</f>
        <v/>
      </c>
      <c r="JY63" s="929" t="str">
        <f>IF(ISNUMBER(SEARCH($A63,VLOOKUP(JY$2,职业列表!$B$1:$G$370,6,0))),"★","")</f>
        <v/>
      </c>
      <c r="JZ63" s="929" t="str">
        <f>IF(ISNUMBER(SEARCH($A63,VLOOKUP(JZ$2,职业列表!$B$1:$G$370,6,0))),"★","")</f>
        <v/>
      </c>
      <c r="KA63" s="929" t="str">
        <f>IF(ISNUMBER(SEARCH($A63,VLOOKUP(KA$2,职业列表!$B$1:$G$370,6,0))),"★","")</f>
        <v/>
      </c>
      <c r="KB63" s="929" t="str">
        <f>IF(ISNUMBER(SEARCH($A63,VLOOKUP(KB$2,职业列表!$B$1:$G$370,6,0))),"★","")</f>
        <v/>
      </c>
      <c r="KC63" s="929" t="str">
        <f>IF(ISNUMBER(SEARCH($A63,VLOOKUP(KC$2,职业列表!$B$1:$G$370,6,0))),"★","")</f>
        <v/>
      </c>
      <c r="KD63" s="929" t="str">
        <f>IF(ISNUMBER(SEARCH($A63,VLOOKUP(KD$2,职业列表!$B$1:$G$370,6,0))),"★","")</f>
        <v/>
      </c>
      <c r="KE63" s="929" t="str">
        <f>IF(ISNUMBER(SEARCH($A63,VLOOKUP(KE$2,职业列表!$B$1:$G$370,6,0))),"★","")</f>
        <v/>
      </c>
      <c r="KF63" s="929" t="str">
        <f>IF(ISNUMBER(SEARCH($A63,VLOOKUP(KF$2,职业列表!$B$1:$G$370,6,0))),"★","")</f>
        <v/>
      </c>
      <c r="KG63" s="929" t="str">
        <f>IF(ISNUMBER(SEARCH($A63,VLOOKUP(KG$2,职业列表!$B$1:$G$370,6,0))),"★","")</f>
        <v/>
      </c>
      <c r="KH63" s="929" t="str">
        <f>IF(ISNUMBER(SEARCH($A63,VLOOKUP(KH$2,职业列表!$B$1:$G$370,6,0))),"★","")</f>
        <v/>
      </c>
      <c r="KI63" s="929" t="str">
        <f>IF(ISNUMBER(SEARCH($A63,VLOOKUP(KI$2,职业列表!$B$1:$G$370,6,0))),"★","")</f>
        <v/>
      </c>
      <c r="KJ63" s="929" t="str">
        <f>IF(ISNUMBER(SEARCH($A63,VLOOKUP(KJ$2,职业列表!$B$1:$G$370,6,0))),"★","")</f>
        <v/>
      </c>
      <c r="KK63" s="929" t="str">
        <f>IF(ISNUMBER(SEARCH($A63,VLOOKUP(KK$2,职业列表!$B$1:$G$370,6,0))),"★","")</f>
        <v/>
      </c>
      <c r="KL63" s="929" t="str">
        <f>IF(ISNUMBER(SEARCH($A63,VLOOKUP(KL$2,职业列表!$B$1:$G$370,6,0))),"★","")</f>
        <v/>
      </c>
      <c r="KM63" s="929" t="str">
        <f>IF(ISNUMBER(SEARCH($A63,VLOOKUP(KM$2,职业列表!$B$1:$G$370,6,0))),"★","")</f>
        <v/>
      </c>
      <c r="KN63" s="929" t="str">
        <f>IF(ISNUMBER(SEARCH($A63,VLOOKUP(KN$2,职业列表!$B$1:$G$370,6,0))),"★","")</f>
        <v/>
      </c>
      <c r="KO63" s="929" t="str">
        <f>IF(ISNUMBER(SEARCH($A63,VLOOKUP(KO$2,职业列表!$B$1:$G$370,6,0))),"★","")</f>
        <v/>
      </c>
      <c r="KP63" s="929" t="str">
        <f>IF(ISNUMBER(SEARCH($A63,VLOOKUP(KP$2,职业列表!$B$1:$G$370,6,0))),"★","")</f>
        <v/>
      </c>
      <c r="KQ63" s="929" t="str">
        <f>IF(ISNUMBER(SEARCH($A63,VLOOKUP(KQ$2,职业列表!$B$1:$G$370,6,0))),"★","")</f>
        <v/>
      </c>
      <c r="KR63" s="929" t="str">
        <f>IF(ISNUMBER(SEARCH($A63,VLOOKUP(KR$2,职业列表!$B$1:$G$370,6,0))),"★","")</f>
        <v/>
      </c>
      <c r="KS63" s="929" t="str">
        <f>IF(ISNUMBER(SEARCH($A63,VLOOKUP(KS$2,职业列表!$B$1:$G$370,6,0))),"★","")</f>
        <v/>
      </c>
      <c r="KT63" s="929" t="str">
        <f>IF(ISNUMBER(SEARCH($A63,VLOOKUP(KT$2,职业列表!$B$1:$G$370,6,0))),"★","")</f>
        <v/>
      </c>
      <c r="KU63" s="929" t="str">
        <f>IF(ISNUMBER(SEARCH($A63,VLOOKUP(KU$2,职业列表!$B$1:$G$370,6,0))),"★","")</f>
        <v/>
      </c>
      <c r="KV63" s="929" t="str">
        <f>IF(ISNUMBER(SEARCH($A63,VLOOKUP(KV$2,职业列表!$B$1:$G$370,6,0))),"★","")</f>
        <v/>
      </c>
      <c r="KW63" s="929" t="str">
        <f>IF(ISNUMBER(SEARCH($A63,VLOOKUP(KW$2,职业列表!$B$1:$G$370,6,0))),"★","")</f>
        <v/>
      </c>
      <c r="KX63" s="929" t="str">
        <f>IF(ISNUMBER(SEARCH($A63,VLOOKUP(KX$2,职业列表!$B$1:$G$370,6,0))),"★","")</f>
        <v/>
      </c>
      <c r="KY63" s="929" t="str">
        <f>IF(ISNUMBER(SEARCH($A63,VLOOKUP(KY$2,职业列表!$B$1:$G$370,6,0))),"★","")</f>
        <v/>
      </c>
      <c r="KZ63" s="929" t="str">
        <f>IF(ISNUMBER(SEARCH($A63,VLOOKUP(KZ$2,职业列表!$B$1:$G$370,6,0))),"★","")</f>
        <v/>
      </c>
      <c r="LA63" s="929" t="str">
        <f>IF(ISNUMBER(SEARCH($A63,VLOOKUP(LA$2,职业列表!$B$1:$G$370,6,0))),"★","")</f>
        <v/>
      </c>
      <c r="LB63" s="929" t="str">
        <f>IF(ISNUMBER(SEARCH($A63,VLOOKUP(LB$2,职业列表!$B$1:$G$370,6,0))),"★","")</f>
        <v/>
      </c>
      <c r="LC63" s="929" t="str">
        <f>IF(ISNUMBER(SEARCH($A63,VLOOKUP(LC$2,职业列表!$B$1:$G$370,6,0))),"★","")</f>
        <v/>
      </c>
      <c r="LD63" s="929" t="str">
        <f>IF(ISNUMBER(SEARCH($A63,VLOOKUP(LD$2,职业列表!$B$1:$G$370,6,0))),"★","")</f>
        <v/>
      </c>
      <c r="LE63" s="929" t="str">
        <f>IF(ISNUMBER(SEARCH($A63,VLOOKUP(LE$2,职业列表!$B$1:$G$370,6,0))),"★","")</f>
        <v/>
      </c>
      <c r="LF63" s="929" t="str">
        <f>IF(ISNUMBER(SEARCH($A63,VLOOKUP(LF$2,职业列表!$B$1:$G$370,6,0))),"★","")</f>
        <v/>
      </c>
      <c r="LG63" s="929" t="str">
        <f>IF(ISNUMBER(SEARCH($A63,VLOOKUP(LG$2,职业列表!$B$1:$G$370,6,0))),"★","")</f>
        <v/>
      </c>
      <c r="LH63" s="929" t="str">
        <f>IF(ISNUMBER(SEARCH($A63,VLOOKUP(LH$2,职业列表!$B$1:$G$370,6,0))),"★","")</f>
        <v/>
      </c>
      <c r="LI63" s="929" t="str">
        <f>IF(ISNUMBER(SEARCH($A63,VLOOKUP(LI$2,职业列表!$B$1:$G$370,6,0))),"★","")</f>
        <v/>
      </c>
      <c r="LJ63" s="929" t="str">
        <f>IF(ISNUMBER(SEARCH($A63,VLOOKUP(LJ$2,职业列表!$B$1:$G$370,6,0))),"★","")</f>
        <v/>
      </c>
      <c r="LK63" s="929" t="str">
        <f>IF(ISNUMBER(SEARCH($A63,VLOOKUP(LK$2,职业列表!$B$1:$G$370,6,0))),"★","")</f>
        <v>★</v>
      </c>
      <c r="LL63" s="929" t="str">
        <f>IF(ISNUMBER(SEARCH($A63,VLOOKUP(LL$2,职业列表!$B$1:$G$370,6,0))),"★","")</f>
        <v/>
      </c>
      <c r="LM63" s="929" t="str">
        <f>IF(ISNUMBER(SEARCH($A63,VLOOKUP(LM$2,职业列表!$B$1:$G$370,6,0))),"★","")</f>
        <v/>
      </c>
      <c r="LN63" s="929" t="str">
        <f>IF(ISNUMBER(SEARCH($A63,VLOOKUP(LN$2,职业列表!$B$1:$G$370,6,0))),"★","")</f>
        <v/>
      </c>
      <c r="LO63" s="929" t="str">
        <f>IF(ISNUMBER(SEARCH($A63,VLOOKUP(LO$2,职业列表!$B$1:$G$370,6,0))),"★","")</f>
        <v/>
      </c>
      <c r="LP63" s="929" t="str">
        <f>IF(ISNUMBER(SEARCH($A63,VLOOKUP(LP$2,职业列表!$B$1:$G$370,6,0))),"★","")</f>
        <v/>
      </c>
      <c r="LQ63" s="929" t="str">
        <f>IF(ISNUMBER(SEARCH($A63,VLOOKUP(LQ$2,职业列表!$B$1:$G$370,6,0))),"★","")</f>
        <v/>
      </c>
      <c r="LR63" s="929" t="str">
        <f>IF(ISNUMBER(SEARCH($A63,VLOOKUP(LR$2,职业列表!$B$1:$G$370,6,0))),"★","")</f>
        <v/>
      </c>
      <c r="LS63" s="929" t="str">
        <f>IF(ISNUMBER(SEARCH($A63,VLOOKUP(LS$2,职业列表!$B$1:$G$370,6,0))),"★","")</f>
        <v/>
      </c>
      <c r="LT63" s="929" t="str">
        <f>IF(ISNUMBER(SEARCH($A63,VLOOKUP(LT$2,职业列表!$B$1:$G$370,6,0))),"★","")</f>
        <v/>
      </c>
      <c r="LU63" s="929" t="str">
        <f>IF(ISNUMBER(SEARCH($A63,VLOOKUP(LU$2,职业列表!$B$1:$G$370,6,0))),"★","")</f>
        <v/>
      </c>
      <c r="LV63" s="929" t="str">
        <f>IF(ISNUMBER(SEARCH($A63,VLOOKUP(LV$2,职业列表!$B$1:$G$370,6,0))),"★","")</f>
        <v/>
      </c>
      <c r="LW63" s="929" t="str">
        <f>IF(ISNUMBER(SEARCH($A63,VLOOKUP(LW$2,职业列表!$B$1:$G$370,6,0))),"★","")</f>
        <v/>
      </c>
      <c r="LX63" s="929" t="str">
        <f>IF(ISNUMBER(SEARCH($A63,VLOOKUP(LX$2,职业列表!$B$1:$G$370,6,0))),"★","")</f>
        <v/>
      </c>
      <c r="LY63" s="929" t="str">
        <f>IF(ISNUMBER(SEARCH($A63,VLOOKUP(LY$2,职业列表!$B$1:$G$370,6,0))),"★","")</f>
        <v/>
      </c>
      <c r="LZ63" s="929" t="str">
        <f>IF(ISNUMBER(SEARCH($A63,VLOOKUP(LZ$2,职业列表!$B$1:$G$370,6,0))),"★","")</f>
        <v/>
      </c>
      <c r="MA63" s="929" t="str">
        <f>IF(ISNUMBER(SEARCH($A63,VLOOKUP(MA$2,职业列表!$B$1:$G$370,6,0))),"★","")</f>
        <v/>
      </c>
      <c r="MB63" s="929" t="str">
        <f>IF(ISNUMBER(SEARCH($A63,VLOOKUP(MB$2,职业列表!$B$1:$G$370,6,0))),"★","")</f>
        <v/>
      </c>
      <c r="MC63" s="929" t="str">
        <f>IF(ISNUMBER(SEARCH($A63,VLOOKUP(MC$2,职业列表!$B$1:$G$370,6,0))),"★","")</f>
        <v/>
      </c>
      <c r="MD63" s="929" t="str">
        <f>IF(ISNUMBER(SEARCH($A63,VLOOKUP(MD$2,职业列表!$B$1:$G$370,6,0))),"★","")</f>
        <v/>
      </c>
      <c r="ME63" s="929" t="str">
        <f>IF(ISNUMBER(SEARCH($A63,VLOOKUP(ME$2,职业列表!$B$1:$G$370,6,0))),"★","")</f>
        <v/>
      </c>
      <c r="MF63" s="929" t="str">
        <f>IF(ISNUMBER(SEARCH($A63,VLOOKUP(MF$2,职业列表!$B$1:$G$370,6,0))),"★","")</f>
        <v/>
      </c>
      <c r="MG63" s="929" t="str">
        <f>IF(ISNUMBER(SEARCH($A63,VLOOKUP(MG$2,职业列表!$B$1:$G$370,6,0))),"★","")</f>
        <v/>
      </c>
      <c r="MH63" s="929" t="str">
        <f>IF(ISNUMBER(SEARCH($A63,VLOOKUP(MH$2,职业列表!$B$1:$G$370,6,0))),"★","")</f>
        <v/>
      </c>
      <c r="MI63" s="929" t="str">
        <f>IF(ISNUMBER(SEARCH($A63,VLOOKUP(MI$2,职业列表!$B$1:$G$370,6,0))),"★","")</f>
        <v/>
      </c>
      <c r="MJ63" s="929" t="str">
        <f>IF(ISNUMBER(SEARCH($A63,VLOOKUP(MJ$2,职业列表!$B$1:$G$370,6,0))),"★","")</f>
        <v/>
      </c>
      <c r="MK63" s="929" t="str">
        <f>IF(ISNUMBER(SEARCH($A63,VLOOKUP(MK$2,职业列表!$B$1:$G$370,6,0))),"★","")</f>
        <v/>
      </c>
      <c r="ML63" s="929" t="str">
        <f>IF(ISNUMBER(SEARCH($A63,VLOOKUP(ML$2,职业列表!$B$1:$G$370,6,0))),"★","")</f>
        <v/>
      </c>
      <c r="MM63" s="929" t="str">
        <f>IF(ISNUMBER(SEARCH($A63,VLOOKUP(MM$2,职业列表!$B$1:$G$370,6,0))),"★","")</f>
        <v/>
      </c>
      <c r="MN63" s="929" t="str">
        <f>IF(ISNUMBER(SEARCH($A63,VLOOKUP(MN$2,职业列表!$B$1:$G$370,6,0))),"★","")</f>
        <v/>
      </c>
      <c r="MO63" s="929" t="str">
        <f>IF(ISNUMBER(SEARCH($A63,VLOOKUP(MO$2,职业列表!$B$1:$G$370,6,0))),"★","")</f>
        <v/>
      </c>
      <c r="MP63" s="929" t="str">
        <f>IF(ISNUMBER(SEARCH($A63,VLOOKUP(MP$2,职业列表!$B$1:$G$370,6,0))),"★","")</f>
        <v/>
      </c>
      <c r="MQ63" s="929" t="str">
        <f>IF(ISNUMBER(SEARCH($A63,VLOOKUP(MQ$2,职业列表!$B$1:$G$370,6,0))),"★","")</f>
        <v/>
      </c>
      <c r="MR63" s="929" t="str">
        <f>IF(ISNUMBER(SEARCH($A63,VLOOKUP(MR$2,职业列表!$B$1:$G$370,6,0))),"★","")</f>
        <v/>
      </c>
      <c r="MS63" s="929" t="str">
        <f>IF(ISNUMBER(SEARCH($A63,VLOOKUP(MS$2,职业列表!$B$1:$G$370,6,0))),"★","")</f>
        <v/>
      </c>
      <c r="MT63" s="929" t="str">
        <f>IF(ISNUMBER(SEARCH($A63,VLOOKUP(MT$2,职业列表!$B$1:$G$370,6,0))),"★","")</f>
        <v/>
      </c>
      <c r="MU63" s="929" t="str">
        <f>IF(ISNUMBER(SEARCH($A63,VLOOKUP(MU$2,职业列表!$B$1:$G$370,6,0))),"★","")</f>
        <v/>
      </c>
      <c r="MV63" s="929" t="str">
        <f>IF(ISNUMBER(SEARCH($A63,VLOOKUP(MV$2,职业列表!$B$1:$G$370,6,0))),"★","")</f>
        <v/>
      </c>
      <c r="MW63" s="929" t="str">
        <f>IF(ISNUMBER(SEARCH($A63,VLOOKUP(MW$2,职业列表!$B$1:$G$370,6,0))),"★","")</f>
        <v/>
      </c>
      <c r="MX63" s="929" t="str">
        <f>IF(ISNUMBER(SEARCH($A63,VLOOKUP(MX$2,职业列表!$B$1:$G$370,6,0))),"★","")</f>
        <v/>
      </c>
      <c r="MY63" s="929" t="str">
        <f>IF(ISNUMBER(SEARCH($A63,VLOOKUP(MY$2,职业列表!$B$1:$G$370,6,0))),"★","")</f>
        <v/>
      </c>
      <c r="MZ63" s="929" t="str">
        <f>IF(ISNUMBER(SEARCH($A63,VLOOKUP(MZ$2,职业列表!$B$1:$G$370,6,0))),"★","")</f>
        <v/>
      </c>
      <c r="NA63" s="929" t="str">
        <f>IF(ISNUMBER(SEARCH($A63,VLOOKUP(NA$2,职业列表!$B$1:$G$370,6,0))),"★","")</f>
        <v/>
      </c>
      <c r="NB63" s="929" t="str">
        <f>IF(ISNUMBER(SEARCH($A63,VLOOKUP(NB$2,职业列表!$B$1:$G$370,6,0))),"★","")</f>
        <v/>
      </c>
      <c r="NC63" s="929" t="str">
        <f>IF(ISNUMBER(SEARCH($A63,VLOOKUP(NC$2,职业列表!$B$1:$G$370,6,0))),"★","")</f>
        <v/>
      </c>
      <c r="ND63" s="929" t="str">
        <f>IF(ISNUMBER(SEARCH($A63,VLOOKUP(ND$2,职业列表!$B$1:$G$370,6,0))),"★","")</f>
        <v/>
      </c>
      <c r="NE63" s="929" t="str">
        <f>IF(ISNUMBER(SEARCH($A63,VLOOKUP(NE$2,职业列表!$B$1:$G$370,6,0))),"★","")</f>
        <v/>
      </c>
    </row>
    <row r="64" customFormat="1" spans="1:369">
      <c r="A64" s="932" t="s">
        <v>137</v>
      </c>
      <c r="B64" s="939" t="str">
        <f>IF(OR(A64="说服",A64="话术",A64="取悦",A64="恐吓"),"☯",IF(ISNUMBER(SEARCH(A64,VLOOKUP(IX$2,职业列表!$B$1:$G$370,6,0))),"★",""))</f>
        <v/>
      </c>
      <c r="C64" s="939" t="str">
        <f>IF(ISTEXT(IFERROR(VLOOKUP(A64,职业列表!I3:J10,1,FALSE),0)),"★","")</f>
        <v/>
      </c>
      <c r="D64" s="939"/>
      <c r="E64" s="939" t="s">
        <v>74</v>
      </c>
      <c r="F64" s="939"/>
      <c r="G64" s="939"/>
      <c r="H64" s="939"/>
      <c r="I64" s="939"/>
      <c r="J64" s="939"/>
      <c r="K64" s="939"/>
      <c r="L64" s="939"/>
      <c r="M64" s="939"/>
      <c r="N64" s="939"/>
      <c r="O64" s="939"/>
      <c r="P64" s="939"/>
      <c r="Q64" s="939" t="s">
        <v>74</v>
      </c>
      <c r="R64" s="939"/>
      <c r="S64" s="939"/>
      <c r="T64" s="939"/>
      <c r="U64" s="939"/>
      <c r="V64" s="939"/>
      <c r="W64" s="939"/>
      <c r="X64" s="939"/>
      <c r="Y64" s="939"/>
      <c r="Z64" s="939"/>
      <c r="AA64" s="939"/>
      <c r="AB64" s="939" t="s">
        <v>74</v>
      </c>
      <c r="AC64" s="939"/>
      <c r="AD64" s="939"/>
      <c r="AE64" s="939"/>
      <c r="AF64" s="939"/>
      <c r="AG64" s="939"/>
      <c r="AH64" s="939"/>
      <c r="AI64" s="939"/>
      <c r="AJ64" s="939"/>
      <c r="AK64" s="939"/>
      <c r="AL64" s="939"/>
      <c r="AM64" s="939"/>
      <c r="AN64" s="939" t="s">
        <v>74</v>
      </c>
      <c r="AO64" s="939"/>
      <c r="AP64" s="939"/>
      <c r="AQ64" s="939"/>
      <c r="AR64" s="939"/>
      <c r="AS64" s="939"/>
      <c r="AT64" s="939"/>
      <c r="AU64" s="939"/>
      <c r="AV64" s="939"/>
      <c r="AW64" s="939"/>
      <c r="AX64" s="939"/>
      <c r="AY64" s="939"/>
      <c r="AZ64" s="939"/>
      <c r="BA64" s="939"/>
      <c r="BB64" s="939"/>
      <c r="BC64" s="939"/>
      <c r="BD64" s="939"/>
      <c r="BE64" s="939"/>
      <c r="BF64" s="939" t="s">
        <v>74</v>
      </c>
      <c r="BG64" s="939"/>
      <c r="BH64" s="939"/>
      <c r="BI64" s="939"/>
      <c r="BJ64" s="939"/>
      <c r="BK64" s="939"/>
      <c r="BL64" s="939"/>
      <c r="BM64" s="939"/>
      <c r="BN64" s="939"/>
      <c r="BO64" s="939"/>
      <c r="BP64" s="939"/>
      <c r="BQ64" s="939"/>
      <c r="BR64" s="939"/>
      <c r="BS64" s="939" t="s">
        <v>74</v>
      </c>
      <c r="BT64" s="939" t="s">
        <v>74</v>
      </c>
      <c r="BU64" s="939"/>
      <c r="BV64" s="939"/>
      <c r="BW64" s="939"/>
      <c r="BX64" s="939"/>
      <c r="BY64" s="939"/>
      <c r="BZ64" s="939"/>
      <c r="CA64" s="939"/>
      <c r="CB64" s="939"/>
      <c r="CC64" s="939"/>
      <c r="CD64" s="939"/>
      <c r="CE64" s="939"/>
      <c r="CF64" s="939"/>
      <c r="CG64" s="939"/>
      <c r="CH64" s="939"/>
      <c r="CI64" s="939"/>
      <c r="CJ64" s="939"/>
      <c r="CK64" s="939"/>
      <c r="CL64" s="939"/>
      <c r="CM64" s="939"/>
      <c r="CN64" s="939"/>
      <c r="CO64" s="939"/>
      <c r="CP64" s="939"/>
      <c r="CQ64" s="939"/>
      <c r="CR64" s="939"/>
      <c r="CS64" s="939"/>
      <c r="CT64" s="939"/>
      <c r="CU64" s="939"/>
      <c r="CV64" s="939"/>
      <c r="CW64" s="939"/>
      <c r="CX64" s="939"/>
      <c r="CY64" s="939"/>
      <c r="CZ64" s="939"/>
      <c r="DA64" s="939"/>
      <c r="DB64" s="939"/>
      <c r="DC64" s="939"/>
      <c r="DD64" s="939"/>
      <c r="DE64" s="939"/>
      <c r="DF64" s="939" t="s">
        <v>2716</v>
      </c>
      <c r="DG64" s="939"/>
      <c r="DH64" s="939"/>
      <c r="DI64" s="939"/>
      <c r="DJ64" s="939"/>
      <c r="DK64" s="939"/>
      <c r="DL64" s="939"/>
      <c r="DM64" s="939"/>
      <c r="DN64" s="939"/>
      <c r="DO64" s="939" t="s">
        <v>74</v>
      </c>
      <c r="DP64" s="939" t="s">
        <v>74</v>
      </c>
      <c r="DQ64" s="939" t="s">
        <v>74</v>
      </c>
      <c r="DR64" s="939" t="s">
        <v>74</v>
      </c>
      <c r="DS64" s="939"/>
      <c r="DT64" s="939"/>
      <c r="DU64" s="939"/>
      <c r="DV64" s="939"/>
      <c r="DW64" s="939"/>
      <c r="DX64" s="939"/>
      <c r="DY64" s="939"/>
      <c r="DZ64" s="939"/>
      <c r="EA64" s="939"/>
      <c r="EB64" s="939"/>
      <c r="EC64" s="939"/>
      <c r="ED64" s="939"/>
      <c r="EE64" s="939"/>
      <c r="EF64" s="939"/>
      <c r="EG64" s="939"/>
      <c r="EH64" s="939"/>
      <c r="EI64" s="939"/>
      <c r="EJ64" s="939"/>
      <c r="EK64" s="939"/>
      <c r="EL64" s="939"/>
      <c r="EM64" s="939"/>
      <c r="EN64" s="939"/>
      <c r="EO64" s="939"/>
      <c r="EP64" s="939"/>
      <c r="EQ64" s="939"/>
      <c r="ER64" s="939"/>
      <c r="ES64" s="939"/>
      <c r="ET64" s="939"/>
      <c r="EU64" s="939"/>
      <c r="EV64" s="939"/>
      <c r="EW64" s="939"/>
      <c r="EX64" s="939"/>
      <c r="EY64" s="939"/>
      <c r="EZ64" s="939"/>
      <c r="FA64" s="939"/>
      <c r="FB64" s="939"/>
      <c r="FC64" s="939"/>
      <c r="FD64" s="939"/>
      <c r="FE64" s="939"/>
      <c r="FF64" s="939"/>
      <c r="FG64" s="939"/>
      <c r="FH64" s="939"/>
      <c r="FI64" s="939"/>
      <c r="FJ64" s="939"/>
      <c r="FK64" s="939"/>
      <c r="FL64" s="939"/>
      <c r="FM64" s="939"/>
      <c r="FN64" s="939"/>
      <c r="FO64" s="939"/>
      <c r="FP64" s="939"/>
      <c r="FQ64" s="939"/>
      <c r="FR64" s="939"/>
      <c r="FS64" s="939"/>
      <c r="FT64" s="939"/>
      <c r="FU64" s="939"/>
      <c r="FV64" s="939"/>
      <c r="FW64" s="939"/>
      <c r="FX64" s="939"/>
      <c r="FY64" s="939"/>
      <c r="FZ64" s="939"/>
      <c r="GA64" s="939"/>
      <c r="GB64" s="939"/>
      <c r="GC64" s="939"/>
      <c r="GD64" s="939"/>
      <c r="GE64" s="939"/>
      <c r="GF64" s="939"/>
      <c r="GG64" s="939"/>
      <c r="GH64" s="939"/>
      <c r="GI64" s="939"/>
      <c r="GJ64" s="939" t="s">
        <v>74</v>
      </c>
      <c r="GK64" s="939"/>
      <c r="GL64" s="939"/>
      <c r="GM64" s="939"/>
      <c r="GN64" s="939"/>
      <c r="GO64" s="939"/>
      <c r="GP64" s="939"/>
      <c r="GQ64" s="939"/>
      <c r="GR64" s="939"/>
      <c r="GS64" s="939"/>
      <c r="GT64" s="939"/>
      <c r="GU64" s="939"/>
      <c r="GV64" s="939"/>
      <c r="GW64" s="939"/>
      <c r="GX64" s="939"/>
      <c r="GY64" s="939"/>
      <c r="GZ64" s="939"/>
      <c r="HA64" s="939"/>
      <c r="HB64" s="939"/>
      <c r="HC64" s="939"/>
      <c r="HD64" s="939"/>
      <c r="HE64" s="939"/>
      <c r="HF64" s="939"/>
      <c r="HG64" s="939"/>
      <c r="HH64" s="939"/>
      <c r="HI64" s="939"/>
      <c r="HJ64" s="939"/>
      <c r="HK64" s="939"/>
      <c r="HL64" s="939"/>
      <c r="HM64" s="939"/>
      <c r="HN64" s="939"/>
      <c r="HO64" s="939"/>
      <c r="HP64" s="939"/>
      <c r="HQ64" s="939"/>
      <c r="HR64" s="939"/>
      <c r="HS64" s="939"/>
      <c r="HT64" s="939"/>
      <c r="HU64" s="939"/>
      <c r="HV64" s="939"/>
      <c r="HW64" s="939"/>
      <c r="HX64" s="990"/>
      <c r="HY64" s="1012"/>
      <c r="HZ64" s="1012"/>
      <c r="IA64" s="1012"/>
      <c r="IB64" s="1012"/>
      <c r="IC64" s="1013"/>
      <c r="ID64" s="990" t="s">
        <v>74</v>
      </c>
      <c r="IE64" s="1012"/>
      <c r="IF64" s="1012"/>
      <c r="IG64" s="1012"/>
      <c r="IH64" s="1012"/>
      <c r="II64" s="1012"/>
      <c r="IJ64" s="1012"/>
      <c r="IK64" s="1012"/>
      <c r="IL64" s="1012"/>
      <c r="IM64" s="1012"/>
      <c r="IN64" s="1012"/>
      <c r="IO64" s="1012"/>
      <c r="IP64" s="1013"/>
      <c r="IQ64" s="1013"/>
      <c r="IR64" s="1012"/>
      <c r="IS64" s="1012"/>
      <c r="IT64" s="1012"/>
      <c r="IU64" s="1012"/>
      <c r="IV64" s="1012"/>
      <c r="IW64" s="929"/>
      <c r="IX64" s="929" t="str">
        <f>IF(ISNUMBER(SEARCH($A64,VLOOKUP(IX$2,职业列表!$B$1:$G$370,6,0))),"★","")</f>
        <v/>
      </c>
      <c r="IY64" s="929" t="str">
        <f>IF(ISNUMBER(SEARCH($A64,VLOOKUP(IY$2,职业列表!$B$1:$G$370,6,0))),"★","")</f>
        <v/>
      </c>
      <c r="IZ64" s="929" t="str">
        <f>IF(ISNUMBER(SEARCH($A64,VLOOKUP(IZ$2,职业列表!$B$1:$G$370,6,0))),"★","")</f>
        <v/>
      </c>
      <c r="JA64" s="929" t="str">
        <f>IF(ISNUMBER(SEARCH($A64,VLOOKUP(JA$2,职业列表!$B$1:$G$370,6,0))),"★","")</f>
        <v/>
      </c>
      <c r="JB64" s="929" t="str">
        <f>IF(ISNUMBER(SEARCH($A64,VLOOKUP(JB$2,职业列表!$B$1:$G$370,6,0))),"★","")</f>
        <v/>
      </c>
      <c r="JC64" s="929" t="str">
        <f>IF(ISNUMBER(SEARCH($A64,VLOOKUP(JC$2,职业列表!$B$1:$G$370,6,0))),"★","")</f>
        <v/>
      </c>
      <c r="JD64" s="929" t="str">
        <f>IF(ISNUMBER(SEARCH($A64,VLOOKUP(JD$2,职业列表!$B$1:$G$370,6,0))),"★","")</f>
        <v/>
      </c>
      <c r="JE64" s="929" t="str">
        <f>IF(ISNUMBER(SEARCH($A64,VLOOKUP(JE$2,职业列表!$B$1:$G$370,6,0))),"★","")</f>
        <v/>
      </c>
      <c r="JF64" s="929" t="str">
        <f>IF(ISNUMBER(SEARCH($A64,VLOOKUP(JF$2,职业列表!$B$1:$G$370,6,0))),"★","")</f>
        <v/>
      </c>
      <c r="JG64" s="929" t="str">
        <f>IF(ISNUMBER(SEARCH($A64,VLOOKUP(JG$2,职业列表!$B$1:$G$370,6,0))),"★","")</f>
        <v/>
      </c>
      <c r="JH64" s="929" t="str">
        <f>IF(ISNUMBER(SEARCH($A64,VLOOKUP(JH$2,职业列表!$B$1:$G$370,6,0))),"★","")</f>
        <v/>
      </c>
      <c r="JI64" s="929" t="str">
        <f>IF(ISNUMBER(SEARCH($A64,VLOOKUP(JI$2,职业列表!$B$1:$G$370,6,0))),"★","")</f>
        <v/>
      </c>
      <c r="JJ64" s="929" t="str">
        <f>IF(ISNUMBER(SEARCH($A64,VLOOKUP(JJ$2,职业列表!$B$1:$G$370,6,0))),"★","")</f>
        <v/>
      </c>
      <c r="JK64" s="929" t="str">
        <f>IF(ISNUMBER(SEARCH($A64,VLOOKUP(JK$2,职业列表!$B$1:$G$370,6,0))),"★","")</f>
        <v/>
      </c>
      <c r="JL64" s="929" t="str">
        <f>IF(ISNUMBER(SEARCH($A64,VLOOKUP(JL$2,职业列表!$B$1:$G$370,6,0))),"★","")</f>
        <v/>
      </c>
      <c r="JM64" s="929" t="str">
        <f>IF(ISNUMBER(SEARCH($A64,VLOOKUP(JM$2,职业列表!$B$1:$G$370,6,0))),"★","")</f>
        <v/>
      </c>
      <c r="JN64" s="929" t="str">
        <f>IF(ISNUMBER(SEARCH($A64,VLOOKUP(JN$2,职业列表!$B$1:$G$370,6,0))),"★","")</f>
        <v/>
      </c>
      <c r="JO64" s="929" t="str">
        <f>IF(ISNUMBER(SEARCH($A64,VLOOKUP(JO$2,职业列表!$B$1:$G$370,6,0))),"★","")</f>
        <v/>
      </c>
      <c r="JP64" s="929" t="str">
        <f>IF(ISNUMBER(SEARCH($A64,VLOOKUP(JP$2,职业列表!$B$1:$G$370,6,0))),"★","")</f>
        <v/>
      </c>
      <c r="JQ64" s="929" t="str">
        <f>IF(ISNUMBER(SEARCH($A64,VLOOKUP(JQ$2,职业列表!$B$1:$G$370,6,0))),"★","")</f>
        <v/>
      </c>
      <c r="JR64" s="929" t="str">
        <f>IF(ISNUMBER(SEARCH($A64,VLOOKUP(JR$2,职业列表!$B$1:$G$370,6,0))),"★","")</f>
        <v/>
      </c>
      <c r="JS64" s="929" t="str">
        <f>IF(ISNUMBER(SEARCH($A64,VLOOKUP(JS$2,职业列表!$B$1:$G$370,6,0))),"★","")</f>
        <v/>
      </c>
      <c r="JT64" s="929" t="str">
        <f>IF(ISNUMBER(SEARCH($A64,VLOOKUP(JT$2,职业列表!$B$1:$G$370,6,0))),"★","")</f>
        <v/>
      </c>
      <c r="JU64" s="929" t="str">
        <f>IF(ISNUMBER(SEARCH($A64,VLOOKUP(JU$2,职业列表!$B$1:$G$370,6,0))),"★","")</f>
        <v/>
      </c>
      <c r="JV64" s="929" t="str">
        <f>IF(ISNUMBER(SEARCH($A64,VLOOKUP(JV$2,职业列表!$B$1:$G$370,6,0))),"★","")</f>
        <v/>
      </c>
      <c r="JW64" s="929" t="str">
        <f>IF(ISNUMBER(SEARCH($A64,VLOOKUP(JW$2,职业列表!$B$1:$G$370,6,0))),"★","")</f>
        <v/>
      </c>
      <c r="JX64" s="929" t="str">
        <f>IF(ISNUMBER(SEARCH($A64,VLOOKUP(JX$2,职业列表!$B$1:$G$370,6,0))),"★","")</f>
        <v/>
      </c>
      <c r="JY64" s="929" t="str">
        <f>IF(ISNUMBER(SEARCH($A64,VLOOKUP(JY$2,职业列表!$B$1:$G$370,6,0))),"★","")</f>
        <v/>
      </c>
      <c r="JZ64" s="929" t="str">
        <f>IF(ISNUMBER(SEARCH($A64,VLOOKUP(JZ$2,职业列表!$B$1:$G$370,6,0))),"★","")</f>
        <v/>
      </c>
      <c r="KA64" s="929" t="str">
        <f>IF(ISNUMBER(SEARCH($A64,VLOOKUP(KA$2,职业列表!$B$1:$G$370,6,0))),"★","")</f>
        <v/>
      </c>
      <c r="KB64" s="929" t="str">
        <f>IF(ISNUMBER(SEARCH($A64,VLOOKUP(KB$2,职业列表!$B$1:$G$370,6,0))),"★","")</f>
        <v/>
      </c>
      <c r="KC64" s="929" t="str">
        <f>IF(ISNUMBER(SEARCH($A64,VLOOKUP(KC$2,职业列表!$B$1:$G$370,6,0))),"★","")</f>
        <v/>
      </c>
      <c r="KD64" s="929" t="str">
        <f>IF(ISNUMBER(SEARCH($A64,VLOOKUP(KD$2,职业列表!$B$1:$G$370,6,0))),"★","")</f>
        <v/>
      </c>
      <c r="KE64" s="929" t="str">
        <f>IF(ISNUMBER(SEARCH($A64,VLOOKUP(KE$2,职业列表!$B$1:$G$370,6,0))),"★","")</f>
        <v/>
      </c>
      <c r="KF64" s="929" t="str">
        <f>IF(ISNUMBER(SEARCH($A64,VLOOKUP(KF$2,职业列表!$B$1:$G$370,6,0))),"★","")</f>
        <v/>
      </c>
      <c r="KG64" s="929" t="str">
        <f>IF(ISNUMBER(SEARCH($A64,VLOOKUP(KG$2,职业列表!$B$1:$G$370,6,0))),"★","")</f>
        <v/>
      </c>
      <c r="KH64" s="929" t="str">
        <f>IF(ISNUMBER(SEARCH($A64,VLOOKUP(KH$2,职业列表!$B$1:$G$370,6,0))),"★","")</f>
        <v/>
      </c>
      <c r="KI64" s="929" t="str">
        <f>IF(ISNUMBER(SEARCH($A64,VLOOKUP(KI$2,职业列表!$B$1:$G$370,6,0))),"★","")</f>
        <v/>
      </c>
      <c r="KJ64" s="929" t="str">
        <f>IF(ISNUMBER(SEARCH($A64,VLOOKUP(KJ$2,职业列表!$B$1:$G$370,6,0))),"★","")</f>
        <v/>
      </c>
      <c r="KK64" s="929" t="str">
        <f>IF(ISNUMBER(SEARCH($A64,VLOOKUP(KK$2,职业列表!$B$1:$G$370,6,0))),"★","")</f>
        <v/>
      </c>
      <c r="KL64" s="929" t="str">
        <f>IF(ISNUMBER(SEARCH($A64,VLOOKUP(KL$2,职业列表!$B$1:$G$370,6,0))),"★","")</f>
        <v/>
      </c>
      <c r="KM64" s="929" t="str">
        <f>IF(ISNUMBER(SEARCH($A64,VLOOKUP(KM$2,职业列表!$B$1:$G$370,6,0))),"★","")</f>
        <v/>
      </c>
      <c r="KN64" s="929" t="str">
        <f>IF(ISNUMBER(SEARCH($A64,VLOOKUP(KN$2,职业列表!$B$1:$G$370,6,0))),"★","")</f>
        <v/>
      </c>
      <c r="KO64" s="929" t="str">
        <f>IF(ISNUMBER(SEARCH($A64,VLOOKUP(KO$2,职业列表!$B$1:$G$370,6,0))),"★","")</f>
        <v/>
      </c>
      <c r="KP64" s="929" t="str">
        <f>IF(ISNUMBER(SEARCH($A64,VLOOKUP(KP$2,职业列表!$B$1:$G$370,6,0))),"★","")</f>
        <v/>
      </c>
      <c r="KQ64" s="929" t="str">
        <f>IF(ISNUMBER(SEARCH($A64,VLOOKUP(KQ$2,职业列表!$B$1:$G$370,6,0))),"★","")</f>
        <v/>
      </c>
      <c r="KR64" s="929" t="str">
        <f>IF(ISNUMBER(SEARCH($A64,VLOOKUP(KR$2,职业列表!$B$1:$G$370,6,0))),"★","")</f>
        <v/>
      </c>
      <c r="KS64" s="929" t="str">
        <f>IF(ISNUMBER(SEARCH($A64,VLOOKUP(KS$2,职业列表!$B$1:$G$370,6,0))),"★","")</f>
        <v/>
      </c>
      <c r="KT64" s="929" t="str">
        <f>IF(ISNUMBER(SEARCH($A64,VLOOKUP(KT$2,职业列表!$B$1:$G$370,6,0))),"★","")</f>
        <v/>
      </c>
      <c r="KU64" s="929" t="str">
        <f>IF(ISNUMBER(SEARCH($A64,VLOOKUP(KU$2,职业列表!$B$1:$G$370,6,0))),"★","")</f>
        <v/>
      </c>
      <c r="KV64" s="929" t="str">
        <f>IF(ISNUMBER(SEARCH($A64,VLOOKUP(KV$2,职业列表!$B$1:$G$370,6,0))),"★","")</f>
        <v/>
      </c>
      <c r="KW64" s="929" t="str">
        <f>IF(ISNUMBER(SEARCH($A64,VLOOKUP(KW$2,职业列表!$B$1:$G$370,6,0))),"★","")</f>
        <v/>
      </c>
      <c r="KX64" s="929" t="str">
        <f>IF(ISNUMBER(SEARCH($A64,VLOOKUP(KX$2,职业列表!$B$1:$G$370,6,0))),"★","")</f>
        <v/>
      </c>
      <c r="KY64" s="929" t="str">
        <f>IF(ISNUMBER(SEARCH($A64,VLOOKUP(KY$2,职业列表!$B$1:$G$370,6,0))),"★","")</f>
        <v/>
      </c>
      <c r="KZ64" s="929" t="str">
        <f>IF(ISNUMBER(SEARCH($A64,VLOOKUP(KZ$2,职业列表!$B$1:$G$370,6,0))),"★","")</f>
        <v/>
      </c>
      <c r="LA64" s="929" t="str">
        <f>IF(ISNUMBER(SEARCH($A64,VLOOKUP(LA$2,职业列表!$B$1:$G$370,6,0))),"★","")</f>
        <v/>
      </c>
      <c r="LB64" s="929" t="str">
        <f>IF(ISNUMBER(SEARCH($A64,VLOOKUP(LB$2,职业列表!$B$1:$G$370,6,0))),"★","")</f>
        <v/>
      </c>
      <c r="LC64" s="929" t="str">
        <f>IF(ISNUMBER(SEARCH($A64,VLOOKUP(LC$2,职业列表!$B$1:$G$370,6,0))),"★","")</f>
        <v/>
      </c>
      <c r="LD64" s="929" t="str">
        <f>IF(ISNUMBER(SEARCH($A64,VLOOKUP(LD$2,职业列表!$B$1:$G$370,6,0))),"★","")</f>
        <v/>
      </c>
      <c r="LE64" s="929" t="str">
        <f>IF(ISNUMBER(SEARCH($A64,VLOOKUP(LE$2,职业列表!$B$1:$G$370,6,0))),"★","")</f>
        <v/>
      </c>
      <c r="LF64" s="929" t="str">
        <f>IF(ISNUMBER(SEARCH($A64,VLOOKUP(LF$2,职业列表!$B$1:$G$370,6,0))),"★","")</f>
        <v/>
      </c>
      <c r="LG64" s="929" t="str">
        <f>IF(ISNUMBER(SEARCH($A64,VLOOKUP(LG$2,职业列表!$B$1:$G$370,6,0))),"★","")</f>
        <v/>
      </c>
      <c r="LH64" s="929" t="str">
        <f>IF(ISNUMBER(SEARCH($A64,VLOOKUP(LH$2,职业列表!$B$1:$G$370,6,0))),"★","")</f>
        <v/>
      </c>
      <c r="LI64" s="929" t="str">
        <f>IF(ISNUMBER(SEARCH($A64,VLOOKUP(LI$2,职业列表!$B$1:$G$370,6,0))),"★","")</f>
        <v/>
      </c>
      <c r="LJ64" s="929" t="str">
        <f>IF(ISNUMBER(SEARCH($A64,VLOOKUP(LJ$2,职业列表!$B$1:$G$370,6,0))),"★","")</f>
        <v/>
      </c>
      <c r="LK64" s="929" t="str">
        <f>IF(ISNUMBER(SEARCH($A64,VLOOKUP(LK$2,职业列表!$B$1:$G$370,6,0))),"★","")</f>
        <v/>
      </c>
      <c r="LL64" s="929" t="str">
        <f>IF(ISNUMBER(SEARCH($A64,VLOOKUP(LL$2,职业列表!$B$1:$G$370,6,0))),"★","")</f>
        <v/>
      </c>
      <c r="LM64" s="929" t="str">
        <f>IF(ISNUMBER(SEARCH($A64,VLOOKUP(LM$2,职业列表!$B$1:$G$370,6,0))),"★","")</f>
        <v/>
      </c>
      <c r="LN64" s="929" t="str">
        <f>IF(ISNUMBER(SEARCH($A64,VLOOKUP(LN$2,职业列表!$B$1:$G$370,6,0))),"★","")</f>
        <v/>
      </c>
      <c r="LO64" s="929" t="str">
        <f>IF(ISNUMBER(SEARCH($A64,VLOOKUP(LO$2,职业列表!$B$1:$G$370,6,0))),"★","")</f>
        <v/>
      </c>
      <c r="LP64" s="929" t="str">
        <f>IF(ISNUMBER(SEARCH($A64,VLOOKUP(LP$2,职业列表!$B$1:$G$370,6,0))),"★","")</f>
        <v/>
      </c>
      <c r="LQ64" s="929" t="str">
        <f>IF(ISNUMBER(SEARCH($A64,VLOOKUP(LQ$2,职业列表!$B$1:$G$370,6,0))),"★","")</f>
        <v/>
      </c>
      <c r="LR64" s="929" t="str">
        <f>IF(ISNUMBER(SEARCH($A64,VLOOKUP(LR$2,职业列表!$B$1:$G$370,6,0))),"★","")</f>
        <v/>
      </c>
      <c r="LS64" s="929" t="str">
        <f>IF(ISNUMBER(SEARCH($A64,VLOOKUP(LS$2,职业列表!$B$1:$G$370,6,0))),"★","")</f>
        <v/>
      </c>
      <c r="LT64" s="929" t="str">
        <f>IF(ISNUMBER(SEARCH($A64,VLOOKUP(LT$2,职业列表!$B$1:$G$370,6,0))),"★","")</f>
        <v/>
      </c>
      <c r="LU64" s="929" t="str">
        <f>IF(ISNUMBER(SEARCH($A64,VLOOKUP(LU$2,职业列表!$B$1:$G$370,6,0))),"★","")</f>
        <v/>
      </c>
      <c r="LV64" s="929" t="str">
        <f>IF(ISNUMBER(SEARCH($A64,VLOOKUP(LV$2,职业列表!$B$1:$G$370,6,0))),"★","")</f>
        <v/>
      </c>
      <c r="LW64" s="929" t="str">
        <f>IF(ISNUMBER(SEARCH($A64,VLOOKUP(LW$2,职业列表!$B$1:$G$370,6,0))),"★","")</f>
        <v/>
      </c>
      <c r="LX64" s="929" t="str">
        <f>IF(ISNUMBER(SEARCH($A64,VLOOKUP(LX$2,职业列表!$B$1:$G$370,6,0))),"★","")</f>
        <v/>
      </c>
      <c r="LY64" s="929" t="str">
        <f>IF(ISNUMBER(SEARCH($A64,VLOOKUP(LY$2,职业列表!$B$1:$G$370,6,0))),"★","")</f>
        <v/>
      </c>
      <c r="LZ64" s="929" t="str">
        <f>IF(ISNUMBER(SEARCH($A64,VLOOKUP(LZ$2,职业列表!$B$1:$G$370,6,0))),"★","")</f>
        <v/>
      </c>
      <c r="MA64" s="929" t="str">
        <f>IF(ISNUMBER(SEARCH($A64,VLOOKUP(MA$2,职业列表!$B$1:$G$370,6,0))),"★","")</f>
        <v/>
      </c>
      <c r="MB64" s="929" t="str">
        <f>IF(ISNUMBER(SEARCH($A64,VLOOKUP(MB$2,职业列表!$B$1:$G$370,6,0))),"★","")</f>
        <v/>
      </c>
      <c r="MC64" s="929" t="str">
        <f>IF(ISNUMBER(SEARCH($A64,VLOOKUP(MC$2,职业列表!$B$1:$G$370,6,0))),"★","")</f>
        <v/>
      </c>
      <c r="MD64" s="929" t="str">
        <f>IF(ISNUMBER(SEARCH($A64,VLOOKUP(MD$2,职业列表!$B$1:$G$370,6,0))),"★","")</f>
        <v/>
      </c>
      <c r="ME64" s="929" t="str">
        <f>IF(ISNUMBER(SEARCH($A64,VLOOKUP(ME$2,职业列表!$B$1:$G$370,6,0))),"★","")</f>
        <v/>
      </c>
      <c r="MF64" s="929" t="str">
        <f>IF(ISNUMBER(SEARCH($A64,VLOOKUP(MF$2,职业列表!$B$1:$G$370,6,0))),"★","")</f>
        <v/>
      </c>
      <c r="MG64" s="929" t="str">
        <f>IF(ISNUMBER(SEARCH($A64,VLOOKUP(MG$2,职业列表!$B$1:$G$370,6,0))),"★","")</f>
        <v/>
      </c>
      <c r="MH64" s="929" t="str">
        <f>IF(ISNUMBER(SEARCH($A64,VLOOKUP(MH$2,职业列表!$B$1:$G$370,6,0))),"★","")</f>
        <v/>
      </c>
      <c r="MI64" s="929" t="str">
        <f>IF(ISNUMBER(SEARCH($A64,VLOOKUP(MI$2,职业列表!$B$1:$G$370,6,0))),"★","")</f>
        <v/>
      </c>
      <c r="MJ64" s="929" t="str">
        <f>IF(ISNUMBER(SEARCH($A64,VLOOKUP(MJ$2,职业列表!$B$1:$G$370,6,0))),"★","")</f>
        <v/>
      </c>
      <c r="MK64" s="929" t="str">
        <f>IF(ISNUMBER(SEARCH($A64,VLOOKUP(MK$2,职业列表!$B$1:$G$370,6,0))),"★","")</f>
        <v/>
      </c>
      <c r="ML64" s="929" t="str">
        <f>IF(ISNUMBER(SEARCH($A64,VLOOKUP(ML$2,职业列表!$B$1:$G$370,6,0))),"★","")</f>
        <v/>
      </c>
      <c r="MM64" s="929" t="str">
        <f>IF(ISNUMBER(SEARCH($A64,VLOOKUP(MM$2,职业列表!$B$1:$G$370,6,0))),"★","")</f>
        <v/>
      </c>
      <c r="MN64" s="929" t="str">
        <f>IF(ISNUMBER(SEARCH($A64,VLOOKUP(MN$2,职业列表!$B$1:$G$370,6,0))),"★","")</f>
        <v/>
      </c>
      <c r="MO64" s="929" t="str">
        <f>IF(ISNUMBER(SEARCH($A64,VLOOKUP(MO$2,职业列表!$B$1:$G$370,6,0))),"★","")</f>
        <v/>
      </c>
      <c r="MP64" s="929" t="str">
        <f>IF(ISNUMBER(SEARCH($A64,VLOOKUP(MP$2,职业列表!$B$1:$G$370,6,0))),"★","")</f>
        <v/>
      </c>
      <c r="MQ64" s="929" t="str">
        <f>IF(ISNUMBER(SEARCH($A64,VLOOKUP(MQ$2,职业列表!$B$1:$G$370,6,0))),"★","")</f>
        <v/>
      </c>
      <c r="MR64" s="929" t="str">
        <f>IF(ISNUMBER(SEARCH($A64,VLOOKUP(MR$2,职业列表!$B$1:$G$370,6,0))),"★","")</f>
        <v/>
      </c>
      <c r="MS64" s="929" t="str">
        <f>IF(ISNUMBER(SEARCH($A64,VLOOKUP(MS$2,职业列表!$B$1:$G$370,6,0))),"★","")</f>
        <v/>
      </c>
      <c r="MT64" s="929" t="str">
        <f>IF(ISNUMBER(SEARCH($A64,VLOOKUP(MT$2,职业列表!$B$1:$G$370,6,0))),"★","")</f>
        <v/>
      </c>
      <c r="MU64" s="929" t="str">
        <f>IF(ISNUMBER(SEARCH($A64,VLOOKUP(MU$2,职业列表!$B$1:$G$370,6,0))),"★","")</f>
        <v/>
      </c>
      <c r="MV64" s="929" t="str">
        <f>IF(ISNUMBER(SEARCH($A64,VLOOKUP(MV$2,职业列表!$B$1:$G$370,6,0))),"★","")</f>
        <v/>
      </c>
      <c r="MW64" s="929" t="str">
        <f>IF(ISNUMBER(SEARCH($A64,VLOOKUP(MW$2,职业列表!$B$1:$G$370,6,0))),"★","")</f>
        <v/>
      </c>
      <c r="MX64" s="929" t="str">
        <f>IF(ISNUMBER(SEARCH($A64,VLOOKUP(MX$2,职业列表!$B$1:$G$370,6,0))),"★","")</f>
        <v/>
      </c>
      <c r="MY64" s="929" t="str">
        <f>IF(ISNUMBER(SEARCH($A64,VLOOKUP(MY$2,职业列表!$B$1:$G$370,6,0))),"★","")</f>
        <v/>
      </c>
      <c r="MZ64" s="929" t="str">
        <f>IF(ISNUMBER(SEARCH($A64,VLOOKUP(MZ$2,职业列表!$B$1:$G$370,6,0))),"★","")</f>
        <v/>
      </c>
      <c r="NA64" s="929" t="str">
        <f>IF(ISNUMBER(SEARCH($A64,VLOOKUP(NA$2,职业列表!$B$1:$G$370,6,0))),"★","")</f>
        <v/>
      </c>
      <c r="NB64" s="929" t="str">
        <f>IF(ISNUMBER(SEARCH($A64,VLOOKUP(NB$2,职业列表!$B$1:$G$370,6,0))),"★","")</f>
        <v/>
      </c>
      <c r="NC64" s="929" t="str">
        <f>IF(ISNUMBER(SEARCH($A64,VLOOKUP(NC$2,职业列表!$B$1:$G$370,6,0))),"★","")</f>
        <v/>
      </c>
      <c r="ND64" s="929" t="str">
        <f>IF(ISNUMBER(SEARCH($A64,VLOOKUP(ND$2,职业列表!$B$1:$G$370,6,0))),"★","")</f>
        <v/>
      </c>
      <c r="NE64" s="929" t="str">
        <f>IF(ISNUMBER(SEARCH($A64,VLOOKUP(NE$2,职业列表!$B$1:$G$370,6,0))),"★","")</f>
        <v/>
      </c>
    </row>
    <row r="65" customFormat="1" spans="1:369">
      <c r="A65" s="932" t="s">
        <v>140</v>
      </c>
      <c r="B65" s="939" t="str">
        <f>IF(OR(A65="说服",A65="话术",A65="取悦",A65="恐吓"),"☯",IF(ISNUMBER(SEARCH(A65,VLOOKUP(IX$2,职业列表!$B$1:$G$370,6,0))),"★",""))</f>
        <v/>
      </c>
      <c r="C65" s="939" t="str">
        <f>IF(ISTEXT(IFERROR(VLOOKUP(A65,职业列表!I3:J10,1,FALSE),0)),"★","")</f>
        <v/>
      </c>
      <c r="D65" s="939"/>
      <c r="E65" s="939"/>
      <c r="F65" s="939"/>
      <c r="G65" s="939"/>
      <c r="H65" s="939" t="s">
        <v>74</v>
      </c>
      <c r="I65" s="939"/>
      <c r="J65" s="940" t="s">
        <v>74</v>
      </c>
      <c r="K65" s="939"/>
      <c r="L65" s="939"/>
      <c r="M65" s="939"/>
      <c r="N65" s="939"/>
      <c r="O65" s="939"/>
      <c r="P65" s="939"/>
      <c r="Q65" s="939"/>
      <c r="R65" s="939"/>
      <c r="S65" s="939"/>
      <c r="T65" s="940" t="s">
        <v>74</v>
      </c>
      <c r="U65" s="939"/>
      <c r="V65" s="939" t="s">
        <v>74</v>
      </c>
      <c r="W65" s="939"/>
      <c r="X65" s="939"/>
      <c r="Y65" s="939"/>
      <c r="Z65" s="939"/>
      <c r="AA65" s="939"/>
      <c r="AB65" s="939" t="s">
        <v>74</v>
      </c>
      <c r="AC65" s="939"/>
      <c r="AD65" s="939"/>
      <c r="AE65" s="939"/>
      <c r="AF65" s="939"/>
      <c r="AG65" s="939"/>
      <c r="AH65" s="939"/>
      <c r="AI65" s="939"/>
      <c r="AJ65" s="939"/>
      <c r="AK65" s="939"/>
      <c r="AL65" s="939"/>
      <c r="AM65" s="939"/>
      <c r="AN65" s="939"/>
      <c r="AO65" s="939"/>
      <c r="AP65" s="939"/>
      <c r="AQ65" s="939"/>
      <c r="AR65" s="939"/>
      <c r="AS65" s="939"/>
      <c r="AT65" s="939"/>
      <c r="AU65" s="939"/>
      <c r="AV65" s="939"/>
      <c r="AW65" s="939"/>
      <c r="AX65" s="939"/>
      <c r="AY65" s="939"/>
      <c r="AZ65" s="939"/>
      <c r="BA65" s="939"/>
      <c r="BB65" s="939"/>
      <c r="BC65" s="939"/>
      <c r="BD65" s="939" t="s">
        <v>74</v>
      </c>
      <c r="BE65" s="939"/>
      <c r="BF65" s="939"/>
      <c r="BG65" s="939"/>
      <c r="BH65" s="939"/>
      <c r="BI65" s="939"/>
      <c r="BJ65" s="939"/>
      <c r="BK65" s="939"/>
      <c r="BL65" s="939"/>
      <c r="BM65" s="939"/>
      <c r="BN65" s="939"/>
      <c r="BO65" s="939"/>
      <c r="BP65" s="939"/>
      <c r="BQ65" s="939"/>
      <c r="BR65" s="939"/>
      <c r="BS65" s="939"/>
      <c r="BT65" s="939"/>
      <c r="BU65" s="939"/>
      <c r="BV65" s="939"/>
      <c r="BW65" s="939"/>
      <c r="BX65" s="939"/>
      <c r="BY65" s="939"/>
      <c r="BZ65" s="939"/>
      <c r="CA65" s="939" t="s">
        <v>74</v>
      </c>
      <c r="CB65" s="939"/>
      <c r="CC65" s="939"/>
      <c r="CD65" s="939"/>
      <c r="CE65" s="939"/>
      <c r="CF65" s="939" t="s">
        <v>74</v>
      </c>
      <c r="CG65" s="939"/>
      <c r="CH65" s="939"/>
      <c r="CI65" s="939"/>
      <c r="CJ65" s="939"/>
      <c r="CK65" s="939"/>
      <c r="CL65" s="939"/>
      <c r="CM65" s="939"/>
      <c r="CN65" s="939"/>
      <c r="CO65" s="939"/>
      <c r="CP65" s="939"/>
      <c r="CQ65" s="939"/>
      <c r="CR65" s="939"/>
      <c r="CS65" s="939"/>
      <c r="CT65" s="939"/>
      <c r="CU65" s="939"/>
      <c r="CV65" s="939"/>
      <c r="CW65" s="939"/>
      <c r="CX65" s="939"/>
      <c r="CY65" s="939"/>
      <c r="CZ65" s="939"/>
      <c r="DA65" s="939"/>
      <c r="DB65" s="939"/>
      <c r="DC65" s="939"/>
      <c r="DD65" s="939"/>
      <c r="DE65" s="939"/>
      <c r="DF65" s="939"/>
      <c r="DG65" s="939"/>
      <c r="DH65" s="939"/>
      <c r="DI65" s="939"/>
      <c r="DJ65" s="939"/>
      <c r="DK65" s="939"/>
      <c r="DL65" s="939"/>
      <c r="DM65" s="939"/>
      <c r="DN65" s="939"/>
      <c r="DO65" s="939"/>
      <c r="DP65" s="939"/>
      <c r="DQ65" s="939"/>
      <c r="DR65" s="939"/>
      <c r="DS65" s="939"/>
      <c r="DT65" s="939"/>
      <c r="DU65" s="939"/>
      <c r="DV65" s="939"/>
      <c r="DW65" s="939"/>
      <c r="DX65" s="939"/>
      <c r="DY65" s="939"/>
      <c r="DZ65" s="939"/>
      <c r="EA65" s="939"/>
      <c r="EB65" s="939"/>
      <c r="EC65" s="939"/>
      <c r="ED65" s="939"/>
      <c r="EE65" s="939"/>
      <c r="EF65" s="939"/>
      <c r="EG65" s="939"/>
      <c r="EH65" s="939"/>
      <c r="EI65" s="939"/>
      <c r="EJ65" s="939"/>
      <c r="EK65" s="939"/>
      <c r="EL65" s="939"/>
      <c r="EM65" s="939"/>
      <c r="EN65" s="939"/>
      <c r="EO65" s="939"/>
      <c r="EP65" s="939"/>
      <c r="EQ65" s="939"/>
      <c r="ER65" s="939"/>
      <c r="ES65" s="939"/>
      <c r="ET65" s="939"/>
      <c r="EU65" s="939"/>
      <c r="EV65" s="939"/>
      <c r="EW65" s="939"/>
      <c r="EX65" s="939"/>
      <c r="EY65" s="939"/>
      <c r="EZ65" s="939"/>
      <c r="FA65" s="939"/>
      <c r="FB65" s="939"/>
      <c r="FC65" s="939" t="s">
        <v>74</v>
      </c>
      <c r="FD65" s="939"/>
      <c r="FE65" s="939"/>
      <c r="FF65" s="939"/>
      <c r="FG65" s="939"/>
      <c r="FH65" s="939"/>
      <c r="FI65" s="939"/>
      <c r="FJ65" s="939"/>
      <c r="FK65" s="939"/>
      <c r="FL65" s="939"/>
      <c r="FM65" s="939"/>
      <c r="FN65" s="939"/>
      <c r="FO65" s="939"/>
      <c r="FP65" s="939"/>
      <c r="FQ65" s="939"/>
      <c r="FR65" s="939"/>
      <c r="FS65" s="939"/>
      <c r="FT65" s="939" t="s">
        <v>74</v>
      </c>
      <c r="FU65" s="939"/>
      <c r="FV65" s="939"/>
      <c r="FW65" s="939"/>
      <c r="FX65" s="939" t="s">
        <v>74</v>
      </c>
      <c r="FY65" s="939"/>
      <c r="FZ65" s="939"/>
      <c r="GA65" s="939"/>
      <c r="GB65" s="939"/>
      <c r="GC65" s="939"/>
      <c r="GD65" s="939"/>
      <c r="GE65" s="939"/>
      <c r="GF65" s="939"/>
      <c r="GG65" s="939"/>
      <c r="GH65" s="939"/>
      <c r="GI65" s="939"/>
      <c r="GJ65" s="939"/>
      <c r="GK65" s="939"/>
      <c r="GL65" s="939"/>
      <c r="GM65" s="939"/>
      <c r="GN65" s="939"/>
      <c r="GO65" s="939"/>
      <c r="GP65" s="939"/>
      <c r="GQ65" s="939"/>
      <c r="GR65" s="939"/>
      <c r="GS65" s="939"/>
      <c r="GT65" s="939"/>
      <c r="GU65" s="939"/>
      <c r="GV65" s="939"/>
      <c r="GW65" s="939"/>
      <c r="GX65" s="939"/>
      <c r="GY65" s="939"/>
      <c r="GZ65" s="939"/>
      <c r="HA65" s="939"/>
      <c r="HB65" s="940"/>
      <c r="HC65" s="939"/>
      <c r="HD65" s="939"/>
      <c r="HE65" s="939"/>
      <c r="HF65" s="939" t="s">
        <v>74</v>
      </c>
      <c r="HG65" s="939"/>
      <c r="HH65" s="939"/>
      <c r="HI65" s="939"/>
      <c r="HJ65" s="939"/>
      <c r="HK65" s="939"/>
      <c r="HL65" s="939" t="s">
        <v>74</v>
      </c>
      <c r="HM65" s="939"/>
      <c r="HN65" s="939"/>
      <c r="HO65" s="939"/>
      <c r="HP65" s="939"/>
      <c r="HQ65" s="939"/>
      <c r="HR65" s="939"/>
      <c r="HS65" s="939"/>
      <c r="HT65" s="939"/>
      <c r="HU65" s="939"/>
      <c r="HV65" s="939"/>
      <c r="HW65" s="939"/>
      <c r="HX65" s="990"/>
      <c r="HY65" s="1012"/>
      <c r="HZ65" s="1012"/>
      <c r="IA65" s="1012"/>
      <c r="IB65" s="1012"/>
      <c r="IC65" s="1013"/>
      <c r="ID65" s="1013"/>
      <c r="IE65" s="939"/>
      <c r="IF65" s="1012"/>
      <c r="IG65" s="1012"/>
      <c r="IH65" s="1012"/>
      <c r="II65" s="1012"/>
      <c r="IJ65" s="1012"/>
      <c r="IK65" s="1012"/>
      <c r="IL65" s="1012"/>
      <c r="IM65" s="1012"/>
      <c r="IN65" s="1012"/>
      <c r="IO65" s="1012"/>
      <c r="IP65" s="1013"/>
      <c r="IQ65" s="1013"/>
      <c r="IR65" s="1012"/>
      <c r="IS65" s="1012"/>
      <c r="IT65" s="1012"/>
      <c r="IU65" s="1012"/>
      <c r="IV65" s="1012"/>
      <c r="IW65" s="929"/>
      <c r="IX65" s="929" t="str">
        <f>IF(ISNUMBER(SEARCH($A65,VLOOKUP(IX$2,职业列表!$B$1:$G$370,6,0))),"★","")</f>
        <v/>
      </c>
      <c r="IY65" s="929" t="str">
        <f>IF(ISNUMBER(SEARCH($A65,VLOOKUP(IY$2,职业列表!$B$1:$G$370,6,0))),"★","")</f>
        <v/>
      </c>
      <c r="IZ65" s="929" t="str">
        <f>IF(ISNUMBER(SEARCH($A65,VLOOKUP(IZ$2,职业列表!$B$1:$G$370,6,0))),"★","")</f>
        <v/>
      </c>
      <c r="JA65" s="929" t="str">
        <f>IF(ISNUMBER(SEARCH($A65,VLOOKUP(JA$2,职业列表!$B$1:$G$370,6,0))),"★","")</f>
        <v/>
      </c>
      <c r="JB65" s="929" t="str">
        <f>IF(ISNUMBER(SEARCH($A65,VLOOKUP(JB$2,职业列表!$B$1:$G$370,6,0))),"★","")</f>
        <v/>
      </c>
      <c r="JC65" s="929" t="str">
        <f>IF(ISNUMBER(SEARCH($A65,VLOOKUP(JC$2,职业列表!$B$1:$G$370,6,0))),"★","")</f>
        <v/>
      </c>
      <c r="JD65" s="929" t="str">
        <f>IF(ISNUMBER(SEARCH($A65,VLOOKUP(JD$2,职业列表!$B$1:$G$370,6,0))),"★","")</f>
        <v/>
      </c>
      <c r="JE65" s="929" t="str">
        <f>IF(ISNUMBER(SEARCH($A65,VLOOKUP(JE$2,职业列表!$B$1:$G$370,6,0))),"★","")</f>
        <v/>
      </c>
      <c r="JF65" s="929" t="str">
        <f>IF(ISNUMBER(SEARCH($A65,VLOOKUP(JF$2,职业列表!$B$1:$G$370,6,0))),"★","")</f>
        <v/>
      </c>
      <c r="JG65" s="929" t="str">
        <f>IF(ISNUMBER(SEARCH($A65,VLOOKUP(JG$2,职业列表!$B$1:$G$370,6,0))),"★","")</f>
        <v/>
      </c>
      <c r="JH65" s="929" t="str">
        <f>IF(ISNUMBER(SEARCH($A65,VLOOKUP(JH$2,职业列表!$B$1:$G$370,6,0))),"★","")</f>
        <v/>
      </c>
      <c r="JI65" s="929" t="str">
        <f>IF(ISNUMBER(SEARCH($A65,VLOOKUP(JI$2,职业列表!$B$1:$G$370,6,0))),"★","")</f>
        <v/>
      </c>
      <c r="JJ65" s="929" t="str">
        <f>IF(ISNUMBER(SEARCH($A65,VLOOKUP(JJ$2,职业列表!$B$1:$G$370,6,0))),"★","")</f>
        <v/>
      </c>
      <c r="JK65" s="929" t="str">
        <f>IF(ISNUMBER(SEARCH($A65,VLOOKUP(JK$2,职业列表!$B$1:$G$370,6,0))),"★","")</f>
        <v>★</v>
      </c>
      <c r="JL65" s="929" t="str">
        <f>IF(ISNUMBER(SEARCH($A65,VLOOKUP(JL$2,职业列表!$B$1:$G$370,6,0))),"★","")</f>
        <v/>
      </c>
      <c r="JM65" s="929" t="str">
        <f>IF(ISNUMBER(SEARCH($A65,VLOOKUP(JM$2,职业列表!$B$1:$G$370,6,0))),"★","")</f>
        <v/>
      </c>
      <c r="JN65" s="929" t="str">
        <f>IF(ISNUMBER(SEARCH($A65,VLOOKUP(JN$2,职业列表!$B$1:$G$370,6,0))),"★","")</f>
        <v/>
      </c>
      <c r="JO65" s="929" t="str">
        <f>IF(ISNUMBER(SEARCH($A65,VLOOKUP(JO$2,职业列表!$B$1:$G$370,6,0))),"★","")</f>
        <v/>
      </c>
      <c r="JP65" s="929" t="str">
        <f>IF(ISNUMBER(SEARCH($A65,VLOOKUP(JP$2,职业列表!$B$1:$G$370,6,0))),"★","")</f>
        <v/>
      </c>
      <c r="JQ65" s="929" t="str">
        <f>IF(ISNUMBER(SEARCH($A65,VLOOKUP(JQ$2,职业列表!$B$1:$G$370,6,0))),"★","")</f>
        <v/>
      </c>
      <c r="JR65" s="929" t="str">
        <f>IF(ISNUMBER(SEARCH($A65,VLOOKUP(JR$2,职业列表!$B$1:$G$370,6,0))),"★","")</f>
        <v/>
      </c>
      <c r="JS65" s="929" t="str">
        <f>IF(ISNUMBER(SEARCH($A65,VLOOKUP(JS$2,职业列表!$B$1:$G$370,6,0))),"★","")</f>
        <v/>
      </c>
      <c r="JT65" s="929" t="str">
        <f>IF(ISNUMBER(SEARCH($A65,VLOOKUP(JT$2,职业列表!$B$1:$G$370,6,0))),"★","")</f>
        <v/>
      </c>
      <c r="JU65" s="929" t="str">
        <f>IF(ISNUMBER(SEARCH($A65,VLOOKUP(JU$2,职业列表!$B$1:$G$370,6,0))),"★","")</f>
        <v/>
      </c>
      <c r="JV65" s="929" t="str">
        <f>IF(ISNUMBER(SEARCH($A65,VLOOKUP(JV$2,职业列表!$B$1:$G$370,6,0))),"★","")</f>
        <v/>
      </c>
      <c r="JW65" s="929" t="str">
        <f>IF(ISNUMBER(SEARCH($A65,VLOOKUP(JW$2,职业列表!$B$1:$G$370,6,0))),"★","")</f>
        <v/>
      </c>
      <c r="JX65" s="929" t="str">
        <f>IF(ISNUMBER(SEARCH($A65,VLOOKUP(JX$2,职业列表!$B$1:$G$370,6,0))),"★","")</f>
        <v/>
      </c>
      <c r="JY65" s="929" t="str">
        <f>IF(ISNUMBER(SEARCH($A65,VLOOKUP(JY$2,职业列表!$B$1:$G$370,6,0))),"★","")</f>
        <v/>
      </c>
      <c r="JZ65" s="929" t="str">
        <f>IF(ISNUMBER(SEARCH($A65,VLOOKUP(JZ$2,职业列表!$B$1:$G$370,6,0))),"★","")</f>
        <v/>
      </c>
      <c r="KA65" s="929" t="str">
        <f>IF(ISNUMBER(SEARCH($A65,VLOOKUP(KA$2,职业列表!$B$1:$G$370,6,0))),"★","")</f>
        <v/>
      </c>
      <c r="KB65" s="929" t="str">
        <f>IF(ISNUMBER(SEARCH($A65,VLOOKUP(KB$2,职业列表!$B$1:$G$370,6,0))),"★","")</f>
        <v/>
      </c>
      <c r="KC65" s="929" t="str">
        <f>IF(ISNUMBER(SEARCH($A65,VLOOKUP(KC$2,职业列表!$B$1:$G$370,6,0))),"★","")</f>
        <v/>
      </c>
      <c r="KD65" s="929" t="str">
        <f>IF(ISNUMBER(SEARCH($A65,VLOOKUP(KD$2,职业列表!$B$1:$G$370,6,0))),"★","")</f>
        <v/>
      </c>
      <c r="KE65" s="929" t="str">
        <f>IF(ISNUMBER(SEARCH($A65,VLOOKUP(KE$2,职业列表!$B$1:$G$370,6,0))),"★","")</f>
        <v/>
      </c>
      <c r="KF65" s="929" t="str">
        <f>IF(ISNUMBER(SEARCH($A65,VLOOKUP(KF$2,职业列表!$B$1:$G$370,6,0))),"★","")</f>
        <v/>
      </c>
      <c r="KG65" s="929" t="str">
        <f>IF(ISNUMBER(SEARCH($A65,VLOOKUP(KG$2,职业列表!$B$1:$G$370,6,0))),"★","")</f>
        <v/>
      </c>
      <c r="KH65" s="929" t="str">
        <f>IF(ISNUMBER(SEARCH($A65,VLOOKUP(KH$2,职业列表!$B$1:$G$370,6,0))),"★","")</f>
        <v/>
      </c>
      <c r="KI65" s="929" t="str">
        <f>IF(ISNUMBER(SEARCH($A65,VLOOKUP(KI$2,职业列表!$B$1:$G$370,6,0))),"★","")</f>
        <v/>
      </c>
      <c r="KJ65" s="929" t="str">
        <f>IF(ISNUMBER(SEARCH($A65,VLOOKUP(KJ$2,职业列表!$B$1:$G$370,6,0))),"★","")</f>
        <v/>
      </c>
      <c r="KK65" s="929" t="str">
        <f>IF(ISNUMBER(SEARCH($A65,VLOOKUP(KK$2,职业列表!$B$1:$G$370,6,0))),"★","")</f>
        <v/>
      </c>
      <c r="KL65" s="929" t="str">
        <f>IF(ISNUMBER(SEARCH($A65,VLOOKUP(KL$2,职业列表!$B$1:$G$370,6,0))),"★","")</f>
        <v/>
      </c>
      <c r="KM65" s="929" t="str">
        <f>IF(ISNUMBER(SEARCH($A65,VLOOKUP(KM$2,职业列表!$B$1:$G$370,6,0))),"★","")</f>
        <v/>
      </c>
      <c r="KN65" s="929" t="str">
        <f>IF(ISNUMBER(SEARCH($A65,VLOOKUP(KN$2,职业列表!$B$1:$G$370,6,0))),"★","")</f>
        <v>★</v>
      </c>
      <c r="KO65" s="929" t="str">
        <f>IF(ISNUMBER(SEARCH($A65,VLOOKUP(KO$2,职业列表!$B$1:$G$370,6,0))),"★","")</f>
        <v/>
      </c>
      <c r="KP65" s="929" t="str">
        <f>IF(ISNUMBER(SEARCH($A65,VLOOKUP(KP$2,职业列表!$B$1:$G$370,6,0))),"★","")</f>
        <v/>
      </c>
      <c r="KQ65" s="929" t="str">
        <f>IF(ISNUMBER(SEARCH($A65,VLOOKUP(KQ$2,职业列表!$B$1:$G$370,6,0))),"★","")</f>
        <v/>
      </c>
      <c r="KR65" s="929" t="str">
        <f>IF(ISNUMBER(SEARCH($A65,VLOOKUP(KR$2,职业列表!$B$1:$G$370,6,0))),"★","")</f>
        <v/>
      </c>
      <c r="KS65" s="929" t="str">
        <f>IF(ISNUMBER(SEARCH($A65,VLOOKUP(KS$2,职业列表!$B$1:$G$370,6,0))),"★","")</f>
        <v/>
      </c>
      <c r="KT65" s="929" t="str">
        <f>IF(ISNUMBER(SEARCH($A65,VLOOKUP(KT$2,职业列表!$B$1:$G$370,6,0))),"★","")</f>
        <v/>
      </c>
      <c r="KU65" s="929" t="str">
        <f>IF(ISNUMBER(SEARCH($A65,VLOOKUP(KU$2,职业列表!$B$1:$G$370,6,0))),"★","")</f>
        <v/>
      </c>
      <c r="KV65" s="929" t="str">
        <f>IF(ISNUMBER(SEARCH($A65,VLOOKUP(KV$2,职业列表!$B$1:$G$370,6,0))),"★","")</f>
        <v/>
      </c>
      <c r="KW65" s="929" t="str">
        <f>IF(ISNUMBER(SEARCH($A65,VLOOKUP(KW$2,职业列表!$B$1:$G$370,6,0))),"★","")</f>
        <v/>
      </c>
      <c r="KX65" s="929" t="str">
        <f>IF(ISNUMBER(SEARCH($A65,VLOOKUP(KX$2,职业列表!$B$1:$G$370,6,0))),"★","")</f>
        <v/>
      </c>
      <c r="KY65" s="929" t="str">
        <f>IF(ISNUMBER(SEARCH($A65,VLOOKUP(KY$2,职业列表!$B$1:$G$370,6,0))),"★","")</f>
        <v/>
      </c>
      <c r="KZ65" s="929" t="str">
        <f>IF(ISNUMBER(SEARCH($A65,VLOOKUP(KZ$2,职业列表!$B$1:$G$370,6,0))),"★","")</f>
        <v/>
      </c>
      <c r="LA65" s="929" t="str">
        <f>IF(ISNUMBER(SEARCH($A65,VLOOKUP(LA$2,职业列表!$B$1:$G$370,6,0))),"★","")</f>
        <v/>
      </c>
      <c r="LB65" s="929" t="str">
        <f>IF(ISNUMBER(SEARCH($A65,VLOOKUP(LB$2,职业列表!$B$1:$G$370,6,0))),"★","")</f>
        <v/>
      </c>
      <c r="LC65" s="929" t="str">
        <f>IF(ISNUMBER(SEARCH($A65,VLOOKUP(LC$2,职业列表!$B$1:$G$370,6,0))),"★","")</f>
        <v/>
      </c>
      <c r="LD65" s="929" t="str">
        <f>IF(ISNUMBER(SEARCH($A65,VLOOKUP(LD$2,职业列表!$B$1:$G$370,6,0))),"★","")</f>
        <v/>
      </c>
      <c r="LE65" s="929" t="str">
        <f>IF(ISNUMBER(SEARCH($A65,VLOOKUP(LE$2,职业列表!$B$1:$G$370,6,0))),"★","")</f>
        <v/>
      </c>
      <c r="LF65" s="929" t="str">
        <f>IF(ISNUMBER(SEARCH($A65,VLOOKUP(LF$2,职业列表!$B$1:$G$370,6,0))),"★","")</f>
        <v/>
      </c>
      <c r="LG65" s="929" t="str">
        <f>IF(ISNUMBER(SEARCH($A65,VLOOKUP(LG$2,职业列表!$B$1:$G$370,6,0))),"★","")</f>
        <v/>
      </c>
      <c r="LH65" s="929" t="str">
        <f>IF(ISNUMBER(SEARCH($A65,VLOOKUP(LH$2,职业列表!$B$1:$G$370,6,0))),"★","")</f>
        <v/>
      </c>
      <c r="LI65" s="929" t="str">
        <f>IF(ISNUMBER(SEARCH($A65,VLOOKUP(LI$2,职业列表!$B$1:$G$370,6,0))),"★","")</f>
        <v/>
      </c>
      <c r="LJ65" s="929" t="str">
        <f>IF(ISNUMBER(SEARCH($A65,VLOOKUP(LJ$2,职业列表!$B$1:$G$370,6,0))),"★","")</f>
        <v/>
      </c>
      <c r="LK65" s="929" t="str">
        <f>IF(ISNUMBER(SEARCH($A65,VLOOKUP(LK$2,职业列表!$B$1:$G$370,6,0))),"★","")</f>
        <v/>
      </c>
      <c r="LL65" s="929" t="str">
        <f>IF(ISNUMBER(SEARCH($A65,VLOOKUP(LL$2,职业列表!$B$1:$G$370,6,0))),"★","")</f>
        <v/>
      </c>
      <c r="LM65" s="929" t="str">
        <f>IF(ISNUMBER(SEARCH($A65,VLOOKUP(LM$2,职业列表!$B$1:$G$370,6,0))),"★","")</f>
        <v/>
      </c>
      <c r="LN65" s="929" t="str">
        <f>IF(ISNUMBER(SEARCH($A65,VLOOKUP(LN$2,职业列表!$B$1:$G$370,6,0))),"★","")</f>
        <v/>
      </c>
      <c r="LO65" s="929" t="str">
        <f>IF(ISNUMBER(SEARCH($A65,VLOOKUP(LO$2,职业列表!$B$1:$G$370,6,0))),"★","")</f>
        <v/>
      </c>
      <c r="LP65" s="929" t="str">
        <f>IF(ISNUMBER(SEARCH($A65,VLOOKUP(LP$2,职业列表!$B$1:$G$370,6,0))),"★","")</f>
        <v/>
      </c>
      <c r="LQ65" s="929" t="str">
        <f>IF(ISNUMBER(SEARCH($A65,VLOOKUP(LQ$2,职业列表!$B$1:$G$370,6,0))),"★","")</f>
        <v/>
      </c>
      <c r="LR65" s="929" t="str">
        <f>IF(ISNUMBER(SEARCH($A65,VLOOKUP(LR$2,职业列表!$B$1:$G$370,6,0))),"★","")</f>
        <v/>
      </c>
      <c r="LS65" s="929" t="str">
        <f>IF(ISNUMBER(SEARCH($A65,VLOOKUP(LS$2,职业列表!$B$1:$G$370,6,0))),"★","")</f>
        <v/>
      </c>
      <c r="LT65" s="929" t="str">
        <f>IF(ISNUMBER(SEARCH($A65,VLOOKUP(LT$2,职业列表!$B$1:$G$370,6,0))),"★","")</f>
        <v/>
      </c>
      <c r="LU65" s="929" t="str">
        <f>IF(ISNUMBER(SEARCH($A65,VLOOKUP(LU$2,职业列表!$B$1:$G$370,6,0))),"★","")</f>
        <v/>
      </c>
      <c r="LV65" s="929" t="str">
        <f>IF(ISNUMBER(SEARCH($A65,VLOOKUP(LV$2,职业列表!$B$1:$G$370,6,0))),"★","")</f>
        <v/>
      </c>
      <c r="LW65" s="929" t="str">
        <f>IF(ISNUMBER(SEARCH($A65,VLOOKUP(LW$2,职业列表!$B$1:$G$370,6,0))),"★","")</f>
        <v/>
      </c>
      <c r="LX65" s="929" t="str">
        <f>IF(ISNUMBER(SEARCH($A65,VLOOKUP(LX$2,职业列表!$B$1:$G$370,6,0))),"★","")</f>
        <v/>
      </c>
      <c r="LY65" s="929" t="str">
        <f>IF(ISNUMBER(SEARCH($A65,VLOOKUP(LY$2,职业列表!$B$1:$G$370,6,0))),"★","")</f>
        <v/>
      </c>
      <c r="LZ65" s="929" t="str">
        <f>IF(ISNUMBER(SEARCH($A65,VLOOKUP(LZ$2,职业列表!$B$1:$G$370,6,0))),"★","")</f>
        <v/>
      </c>
      <c r="MA65" s="929" t="str">
        <f>IF(ISNUMBER(SEARCH($A65,VLOOKUP(MA$2,职业列表!$B$1:$G$370,6,0))),"★","")</f>
        <v/>
      </c>
      <c r="MB65" s="929" t="str">
        <f>IF(ISNUMBER(SEARCH($A65,VLOOKUP(MB$2,职业列表!$B$1:$G$370,6,0))),"★","")</f>
        <v/>
      </c>
      <c r="MC65" s="929" t="str">
        <f>IF(ISNUMBER(SEARCH($A65,VLOOKUP(MC$2,职业列表!$B$1:$G$370,6,0))),"★","")</f>
        <v/>
      </c>
      <c r="MD65" s="929" t="str">
        <f>IF(ISNUMBER(SEARCH($A65,VLOOKUP(MD$2,职业列表!$B$1:$G$370,6,0))),"★","")</f>
        <v/>
      </c>
      <c r="ME65" s="929" t="str">
        <f>IF(ISNUMBER(SEARCH($A65,VLOOKUP(ME$2,职业列表!$B$1:$G$370,6,0))),"★","")</f>
        <v/>
      </c>
      <c r="MF65" s="929" t="str">
        <f>IF(ISNUMBER(SEARCH($A65,VLOOKUP(MF$2,职业列表!$B$1:$G$370,6,0))),"★","")</f>
        <v/>
      </c>
      <c r="MG65" s="929" t="str">
        <f>IF(ISNUMBER(SEARCH($A65,VLOOKUP(MG$2,职业列表!$B$1:$G$370,6,0))),"★","")</f>
        <v/>
      </c>
      <c r="MH65" s="929" t="str">
        <f>IF(ISNUMBER(SEARCH($A65,VLOOKUP(MH$2,职业列表!$B$1:$G$370,6,0))),"★","")</f>
        <v/>
      </c>
      <c r="MI65" s="929" t="str">
        <f>IF(ISNUMBER(SEARCH($A65,VLOOKUP(MI$2,职业列表!$B$1:$G$370,6,0))),"★","")</f>
        <v/>
      </c>
      <c r="MJ65" s="929" t="str">
        <f>IF(ISNUMBER(SEARCH($A65,VLOOKUP(MJ$2,职业列表!$B$1:$G$370,6,0))),"★","")</f>
        <v/>
      </c>
      <c r="MK65" s="929" t="str">
        <f>IF(ISNUMBER(SEARCH($A65,VLOOKUP(MK$2,职业列表!$B$1:$G$370,6,0))),"★","")</f>
        <v/>
      </c>
      <c r="ML65" s="929" t="str">
        <f>IF(ISNUMBER(SEARCH($A65,VLOOKUP(ML$2,职业列表!$B$1:$G$370,6,0))),"★","")</f>
        <v/>
      </c>
      <c r="MM65" s="929" t="str">
        <f>IF(ISNUMBER(SEARCH($A65,VLOOKUP(MM$2,职业列表!$B$1:$G$370,6,0))),"★","")</f>
        <v/>
      </c>
      <c r="MN65" s="929" t="str">
        <f>IF(ISNUMBER(SEARCH($A65,VLOOKUP(MN$2,职业列表!$B$1:$G$370,6,0))),"★","")</f>
        <v/>
      </c>
      <c r="MO65" s="929" t="str">
        <f>IF(ISNUMBER(SEARCH($A65,VLOOKUP(MO$2,职业列表!$B$1:$G$370,6,0))),"★","")</f>
        <v/>
      </c>
      <c r="MP65" s="929" t="str">
        <f>IF(ISNUMBER(SEARCH($A65,VLOOKUP(MP$2,职业列表!$B$1:$G$370,6,0))),"★","")</f>
        <v/>
      </c>
      <c r="MQ65" s="929" t="str">
        <f>IF(ISNUMBER(SEARCH($A65,VLOOKUP(MQ$2,职业列表!$B$1:$G$370,6,0))),"★","")</f>
        <v/>
      </c>
      <c r="MR65" s="929" t="str">
        <f>IF(ISNUMBER(SEARCH($A65,VLOOKUP(MR$2,职业列表!$B$1:$G$370,6,0))),"★","")</f>
        <v/>
      </c>
      <c r="MS65" s="929" t="str">
        <f>IF(ISNUMBER(SEARCH($A65,VLOOKUP(MS$2,职业列表!$B$1:$G$370,6,0))),"★","")</f>
        <v/>
      </c>
      <c r="MT65" s="929" t="str">
        <f>IF(ISNUMBER(SEARCH($A65,VLOOKUP(MT$2,职业列表!$B$1:$G$370,6,0))),"★","")</f>
        <v/>
      </c>
      <c r="MU65" s="929" t="str">
        <f>IF(ISNUMBER(SEARCH($A65,VLOOKUP(MU$2,职业列表!$B$1:$G$370,6,0))),"★","")</f>
        <v/>
      </c>
      <c r="MV65" s="929" t="str">
        <f>IF(ISNUMBER(SEARCH($A65,VLOOKUP(MV$2,职业列表!$B$1:$G$370,6,0))),"★","")</f>
        <v/>
      </c>
      <c r="MW65" s="929" t="str">
        <f>IF(ISNUMBER(SEARCH($A65,VLOOKUP(MW$2,职业列表!$B$1:$G$370,6,0))),"★","")</f>
        <v/>
      </c>
      <c r="MX65" s="929" t="str">
        <f>IF(ISNUMBER(SEARCH($A65,VLOOKUP(MX$2,职业列表!$B$1:$G$370,6,0))),"★","")</f>
        <v/>
      </c>
      <c r="MY65" s="929" t="str">
        <f>IF(ISNUMBER(SEARCH($A65,VLOOKUP(MY$2,职业列表!$B$1:$G$370,6,0))),"★","")</f>
        <v/>
      </c>
      <c r="MZ65" s="929" t="str">
        <f>IF(ISNUMBER(SEARCH($A65,VLOOKUP(MZ$2,职业列表!$B$1:$G$370,6,0))),"★","")</f>
        <v/>
      </c>
      <c r="NA65" s="929" t="str">
        <f>IF(ISNUMBER(SEARCH($A65,VLOOKUP(NA$2,职业列表!$B$1:$G$370,6,0))),"★","")</f>
        <v/>
      </c>
      <c r="NB65" s="929" t="str">
        <f>IF(ISNUMBER(SEARCH($A65,VLOOKUP(NB$2,职业列表!$B$1:$G$370,6,0))),"★","")</f>
        <v/>
      </c>
      <c r="NC65" s="929" t="str">
        <f>IF(ISNUMBER(SEARCH($A65,VLOOKUP(NC$2,职业列表!$B$1:$G$370,6,0))),"★","")</f>
        <v/>
      </c>
      <c r="ND65" s="929" t="str">
        <f>IF(ISNUMBER(SEARCH($A65,VLOOKUP(ND$2,职业列表!$B$1:$G$370,6,0))),"★","")</f>
        <v/>
      </c>
      <c r="NE65" s="929" t="str">
        <f>IF(ISNUMBER(SEARCH($A65,VLOOKUP(NE$2,职业列表!$B$1:$G$370,6,0))),"★","")</f>
        <v/>
      </c>
    </row>
    <row r="66" customFormat="1" ht="14.5" spans="1:369">
      <c r="A66" s="932" t="s">
        <v>142</v>
      </c>
      <c r="B66" s="1058" t="str">
        <f>IF(OR(A66="说服",A66="话术",A66="取悦",A66="恐吓"),"☯",IF(ISNUMBER(SEARCH(A66,VLOOKUP(IX$2,职业列表!$B$1:$G$370,6,0))),"★",""))</f>
        <v/>
      </c>
      <c r="C66" s="940" t="str">
        <f>IF(ISTEXT(IFERROR(VLOOKUP(A66,职业列表!I3:J10,1,FALSE),0)),"★","")</f>
        <v/>
      </c>
      <c r="D66" s="1058"/>
      <c r="E66" s="1058"/>
      <c r="F66" s="1058"/>
      <c r="G66" s="1058"/>
      <c r="H66" s="1058"/>
      <c r="I66" s="1058"/>
      <c r="J66" s="1058" t="s">
        <v>74</v>
      </c>
      <c r="K66" s="1058"/>
      <c r="L66" s="1058"/>
      <c r="M66" s="1058"/>
      <c r="N66" s="1058"/>
      <c r="O66" s="1058"/>
      <c r="P66" s="1058"/>
      <c r="Q66" s="1058"/>
      <c r="R66" s="1058"/>
      <c r="S66" s="1058"/>
      <c r="T66" s="1058"/>
      <c r="U66" s="1058"/>
      <c r="V66" s="1058"/>
      <c r="W66" s="1058"/>
      <c r="X66" s="1058"/>
      <c r="Y66" s="1058"/>
      <c r="Z66" s="1058"/>
      <c r="AA66" s="1058"/>
      <c r="AB66" s="1058"/>
      <c r="AC66" s="1058"/>
      <c r="AD66" s="1058"/>
      <c r="AE66" s="1058"/>
      <c r="AF66" s="1058"/>
      <c r="AG66" s="1058"/>
      <c r="AH66" s="1058"/>
      <c r="AI66" s="1058"/>
      <c r="AJ66" s="1058"/>
      <c r="AK66" s="1058"/>
      <c r="AL66" s="1058"/>
      <c r="AM66" s="1058"/>
      <c r="AN66" s="1058"/>
      <c r="AO66" s="1058"/>
      <c r="AP66" s="1073"/>
      <c r="AQ66" s="1058"/>
      <c r="AR66" s="1058"/>
      <c r="AS66" s="1073"/>
      <c r="AT66" s="1058"/>
      <c r="AU66" s="1058"/>
      <c r="AV66" s="1058"/>
      <c r="AW66" s="1058"/>
      <c r="AX66" s="1058"/>
      <c r="AY66" s="1058"/>
      <c r="AZ66" s="1058"/>
      <c r="BA66" s="1058"/>
      <c r="BB66" s="1058"/>
      <c r="BC66" s="1058"/>
      <c r="BD66" s="1058"/>
      <c r="BE66" s="1058"/>
      <c r="BF66" s="1058"/>
      <c r="BG66" s="1058"/>
      <c r="BH66" s="1058"/>
      <c r="BI66" s="1058"/>
      <c r="BJ66" s="1058"/>
      <c r="BK66" s="1058"/>
      <c r="BL66" s="1058"/>
      <c r="BM66" s="1058"/>
      <c r="BN66" s="1058"/>
      <c r="BO66" s="1058"/>
      <c r="BP66" s="1058"/>
      <c r="BQ66" s="1058"/>
      <c r="BR66" s="1058"/>
      <c r="BS66" s="1058"/>
      <c r="BT66" s="1058"/>
      <c r="BU66" s="1058"/>
      <c r="BV66" s="1058"/>
      <c r="BW66" s="1058"/>
      <c r="BX66" s="1058"/>
      <c r="BY66" s="1058"/>
      <c r="BZ66" s="1058"/>
      <c r="CA66" s="1058"/>
      <c r="CB66" s="1058"/>
      <c r="CC66" s="1058"/>
      <c r="CD66" s="1058"/>
      <c r="CE66" s="1058"/>
      <c r="CF66" s="1058"/>
      <c r="CG66" s="1058"/>
      <c r="CH66" s="1058"/>
      <c r="CI66" s="1058"/>
      <c r="CJ66" s="1058"/>
      <c r="CK66" s="1058"/>
      <c r="CL66" s="1058"/>
      <c r="CM66" s="1058"/>
      <c r="CN66" s="1058"/>
      <c r="CO66" s="1058"/>
      <c r="CP66" s="1058"/>
      <c r="CQ66" s="1058"/>
      <c r="CR66" s="1058"/>
      <c r="CS66" s="1058"/>
      <c r="CT66" s="1058"/>
      <c r="CU66" s="1058"/>
      <c r="CV66" s="1058"/>
      <c r="CW66" s="1058"/>
      <c r="CX66" s="1058"/>
      <c r="CY66" s="1058"/>
      <c r="CZ66" s="1058"/>
      <c r="DA66" s="1058"/>
      <c r="DB66" s="1058"/>
      <c r="DC66" s="1058"/>
      <c r="DD66" s="1058"/>
      <c r="DE66" s="1073"/>
      <c r="DF66" s="1058"/>
      <c r="DG66" s="1058"/>
      <c r="DH66" s="1058"/>
      <c r="DI66" s="1058"/>
      <c r="DJ66" s="1058"/>
      <c r="DK66" s="1058"/>
      <c r="DL66" s="1058"/>
      <c r="DM66" s="1058" t="s">
        <v>74</v>
      </c>
      <c r="DN66" s="1058"/>
      <c r="DO66" s="1058"/>
      <c r="DP66" s="1058"/>
      <c r="DQ66" s="1058"/>
      <c r="DR66" s="1058"/>
      <c r="DS66" s="1058"/>
      <c r="DT66" s="1058"/>
      <c r="DU66" s="1058"/>
      <c r="DV66" s="1058"/>
      <c r="DW66" s="1058"/>
      <c r="DX66" s="1058"/>
      <c r="DY66" s="1058"/>
      <c r="DZ66" s="1058"/>
      <c r="EA66" s="1058"/>
      <c r="EB66" s="1058"/>
      <c r="EC66" s="1058"/>
      <c r="ED66" s="1058"/>
      <c r="EE66" s="1058"/>
      <c r="EF66" s="1058"/>
      <c r="EG66" s="1058"/>
      <c r="EH66" s="1058"/>
      <c r="EI66" s="1058"/>
      <c r="EJ66" s="1058"/>
      <c r="EK66" s="1058"/>
      <c r="EL66" s="1058"/>
      <c r="EM66" s="1058"/>
      <c r="EN66" s="1058"/>
      <c r="EO66" s="1058"/>
      <c r="EP66" s="1058"/>
      <c r="EQ66" s="1058"/>
      <c r="ER66" s="1058"/>
      <c r="ES66" s="1058"/>
      <c r="ET66" s="1058"/>
      <c r="EU66" s="1058"/>
      <c r="EV66" s="1058"/>
      <c r="EW66" s="1058"/>
      <c r="EX66" s="1058"/>
      <c r="EY66" s="1058"/>
      <c r="EZ66" s="1058"/>
      <c r="FA66" s="1058"/>
      <c r="FB66" s="1058"/>
      <c r="FC66" s="1058"/>
      <c r="FD66" s="1058"/>
      <c r="FE66" s="1058"/>
      <c r="FF66" s="1058"/>
      <c r="FG66" s="1058"/>
      <c r="FH66" s="1058"/>
      <c r="FI66" s="1058"/>
      <c r="FJ66" s="1058"/>
      <c r="FK66" s="1058"/>
      <c r="FL66" s="1058"/>
      <c r="FM66" s="1058"/>
      <c r="FN66" s="1058"/>
      <c r="FO66" s="1058"/>
      <c r="FP66" s="1058"/>
      <c r="FQ66" s="1058"/>
      <c r="FR66" s="1058"/>
      <c r="FS66" s="1058"/>
      <c r="FT66" s="1058"/>
      <c r="FU66" s="1058"/>
      <c r="FV66" s="1058"/>
      <c r="FW66" s="1058"/>
      <c r="FX66" s="1058"/>
      <c r="FY66" s="1058"/>
      <c r="FZ66" s="1058"/>
      <c r="GA66" s="1058"/>
      <c r="GB66" s="1058"/>
      <c r="GC66" s="1058"/>
      <c r="GD66" s="1058"/>
      <c r="GE66" s="1058"/>
      <c r="GF66" s="1058"/>
      <c r="GG66" s="1058"/>
      <c r="GH66" s="1058"/>
      <c r="GI66" s="1058"/>
      <c r="GJ66" s="1058"/>
      <c r="GK66" s="1058"/>
      <c r="GL66" s="1058"/>
      <c r="GM66" s="1058"/>
      <c r="GN66" s="1058"/>
      <c r="GO66" s="1058"/>
      <c r="GP66" s="1058"/>
      <c r="GQ66" s="1058"/>
      <c r="GR66" s="1058"/>
      <c r="GS66" s="1058"/>
      <c r="GT66" s="1058"/>
      <c r="GU66" s="1058"/>
      <c r="GV66" s="1058"/>
      <c r="GW66" s="1058"/>
      <c r="GX66" s="1058"/>
      <c r="GY66" s="1058"/>
      <c r="GZ66" s="1058"/>
      <c r="HA66" s="1058"/>
      <c r="HB66" s="1058"/>
      <c r="HC66" s="1058"/>
      <c r="HD66" s="1058"/>
      <c r="HE66" s="1058"/>
      <c r="HF66" s="1058"/>
      <c r="HG66" s="1058"/>
      <c r="HH66" s="1058"/>
      <c r="HI66" s="1058"/>
      <c r="HJ66" s="1058"/>
      <c r="HK66" s="1058"/>
      <c r="HL66" s="1058"/>
      <c r="HM66" s="1058"/>
      <c r="HN66" s="1058"/>
      <c r="HO66" s="1058"/>
      <c r="HP66" s="1058"/>
      <c r="HQ66" s="1058"/>
      <c r="HR66" s="1058"/>
      <c r="HS66" s="1058"/>
      <c r="HT66" s="1058"/>
      <c r="HU66" s="1058"/>
      <c r="HV66" s="1058"/>
      <c r="HW66" s="1058"/>
      <c r="HX66" s="1074"/>
      <c r="HY66" s="1081"/>
      <c r="HZ66" s="1081"/>
      <c r="IA66" s="1081"/>
      <c r="IB66" s="1081"/>
      <c r="IC66" s="1082"/>
      <c r="ID66" s="990" t="s">
        <v>74</v>
      </c>
      <c r="IE66" s="1081"/>
      <c r="IF66" s="1081"/>
      <c r="IG66" s="1081"/>
      <c r="IH66" s="1081"/>
      <c r="II66" s="1081"/>
      <c r="IJ66" s="939" t="s">
        <v>74</v>
      </c>
      <c r="IK66" s="1081"/>
      <c r="IL66" s="1081"/>
      <c r="IM66" s="1081"/>
      <c r="IN66" s="1083"/>
      <c r="IO66" s="1083"/>
      <c r="IP66" s="1083"/>
      <c r="IQ66" s="1082"/>
      <c r="IR66" s="1081"/>
      <c r="IS66" s="1081"/>
      <c r="IT66" s="1081"/>
      <c r="IU66" s="972" t="s">
        <v>74</v>
      </c>
      <c r="IV66" s="1081"/>
      <c r="IW66" s="972" t="s">
        <v>74</v>
      </c>
      <c r="IX66" s="929" t="str">
        <f>IF(ISNUMBER(SEARCH($A66,VLOOKUP(IX$2,职业列表!$B$1:$G$370,6,0))),"★","")</f>
        <v/>
      </c>
      <c r="IY66" s="929" t="str">
        <f>IF(ISNUMBER(SEARCH($A66,VLOOKUP(IY$2,职业列表!$B$1:$G$370,6,0))),"★","")</f>
        <v/>
      </c>
      <c r="IZ66" s="929" t="str">
        <f>IF(ISNUMBER(SEARCH($A66,VLOOKUP(IZ$2,职业列表!$B$1:$G$370,6,0))),"★","")</f>
        <v/>
      </c>
      <c r="JA66" s="929" t="str">
        <f>IF(ISNUMBER(SEARCH($A66,VLOOKUP(JA$2,职业列表!$B$1:$G$370,6,0))),"★","")</f>
        <v/>
      </c>
      <c r="JB66" s="929" t="str">
        <f>IF(ISNUMBER(SEARCH($A66,VLOOKUP(JB$2,职业列表!$B$1:$G$370,6,0))),"★","")</f>
        <v/>
      </c>
      <c r="JC66" s="929" t="str">
        <f>IF(ISNUMBER(SEARCH($A66,VLOOKUP(JC$2,职业列表!$B$1:$G$370,6,0))),"★","")</f>
        <v/>
      </c>
      <c r="JD66" s="929" t="str">
        <f>IF(ISNUMBER(SEARCH($A66,VLOOKUP(JD$2,职业列表!$B$1:$G$370,6,0))),"★","")</f>
        <v/>
      </c>
      <c r="JE66" s="929" t="str">
        <f>IF(ISNUMBER(SEARCH($A66,VLOOKUP(JE$2,职业列表!$B$1:$G$370,6,0))),"★","")</f>
        <v/>
      </c>
      <c r="JF66" s="929" t="str">
        <f>IF(ISNUMBER(SEARCH($A66,VLOOKUP(JF$2,职业列表!$B$1:$G$370,6,0))),"★","")</f>
        <v/>
      </c>
      <c r="JG66" s="929" t="str">
        <f>IF(ISNUMBER(SEARCH($A66,VLOOKUP(JG$2,职业列表!$B$1:$G$370,6,0))),"★","")</f>
        <v>★</v>
      </c>
      <c r="JH66" s="929" t="str">
        <f>IF(ISNUMBER(SEARCH($A66,VLOOKUP(JH$2,职业列表!$B$1:$G$370,6,0))),"★","")</f>
        <v/>
      </c>
      <c r="JI66" s="929" t="str">
        <f>IF(ISNUMBER(SEARCH($A66,VLOOKUP(JI$2,职业列表!$B$1:$G$370,6,0))),"★","")</f>
        <v/>
      </c>
      <c r="JJ66" s="929" t="str">
        <f>IF(ISNUMBER(SEARCH($A66,VLOOKUP(JJ$2,职业列表!$B$1:$G$370,6,0))),"★","")</f>
        <v/>
      </c>
      <c r="JK66" s="929" t="str">
        <f>IF(ISNUMBER(SEARCH($A66,VLOOKUP(JK$2,职业列表!$B$1:$G$370,6,0))),"★","")</f>
        <v/>
      </c>
      <c r="JL66" s="929" t="str">
        <f>IF(ISNUMBER(SEARCH($A66,VLOOKUP(JL$2,职业列表!$B$1:$G$370,6,0))),"★","")</f>
        <v/>
      </c>
      <c r="JM66" s="929" t="str">
        <f>IF(ISNUMBER(SEARCH($A66,VLOOKUP(JM$2,职业列表!$B$1:$G$370,6,0))),"★","")</f>
        <v/>
      </c>
      <c r="JN66" s="929" t="str">
        <f>IF(ISNUMBER(SEARCH($A66,VLOOKUP(JN$2,职业列表!$B$1:$G$370,6,0))),"★","")</f>
        <v/>
      </c>
      <c r="JO66" s="929" t="str">
        <f>IF(ISNUMBER(SEARCH($A66,VLOOKUP(JO$2,职业列表!$B$1:$G$370,6,0))),"★","")</f>
        <v/>
      </c>
      <c r="JP66" s="929" t="str">
        <f>IF(ISNUMBER(SEARCH($A66,VLOOKUP(JP$2,职业列表!$B$1:$G$370,6,0))),"★","")</f>
        <v/>
      </c>
      <c r="JQ66" s="929" t="str">
        <f>IF(ISNUMBER(SEARCH($A66,VLOOKUP(JQ$2,职业列表!$B$1:$G$370,6,0))),"★","")</f>
        <v/>
      </c>
      <c r="JR66" s="929" t="str">
        <f>IF(ISNUMBER(SEARCH($A66,VLOOKUP(JR$2,职业列表!$B$1:$G$370,6,0))),"★","")</f>
        <v/>
      </c>
      <c r="JS66" s="929" t="str">
        <f>IF(ISNUMBER(SEARCH($A66,VLOOKUP(JS$2,职业列表!$B$1:$G$370,6,0))),"★","")</f>
        <v/>
      </c>
      <c r="JT66" s="929" t="str">
        <f>IF(ISNUMBER(SEARCH($A66,VLOOKUP(JT$2,职业列表!$B$1:$G$370,6,0))),"★","")</f>
        <v/>
      </c>
      <c r="JU66" s="929" t="str">
        <f>IF(ISNUMBER(SEARCH($A66,VLOOKUP(JU$2,职业列表!$B$1:$G$370,6,0))),"★","")</f>
        <v/>
      </c>
      <c r="JV66" s="929" t="str">
        <f>IF(ISNUMBER(SEARCH($A66,VLOOKUP(JV$2,职业列表!$B$1:$G$370,6,0))),"★","")</f>
        <v/>
      </c>
      <c r="JW66" s="929" t="str">
        <f>IF(ISNUMBER(SEARCH($A66,VLOOKUP(JW$2,职业列表!$B$1:$G$370,6,0))),"★","")</f>
        <v/>
      </c>
      <c r="JX66" s="929" t="str">
        <f>IF(ISNUMBER(SEARCH($A66,VLOOKUP(JX$2,职业列表!$B$1:$G$370,6,0))),"★","")</f>
        <v/>
      </c>
      <c r="JY66" s="929" t="str">
        <f>IF(ISNUMBER(SEARCH($A66,VLOOKUP(JY$2,职业列表!$B$1:$G$370,6,0))),"★","")</f>
        <v>★</v>
      </c>
      <c r="JZ66" s="929" t="str">
        <f>IF(ISNUMBER(SEARCH($A66,VLOOKUP(JZ$2,职业列表!$B$1:$G$370,6,0))),"★","")</f>
        <v/>
      </c>
      <c r="KA66" s="929" t="str">
        <f>IF(ISNUMBER(SEARCH($A66,VLOOKUP(KA$2,职业列表!$B$1:$G$370,6,0))),"★","")</f>
        <v/>
      </c>
      <c r="KB66" s="929" t="str">
        <f>IF(ISNUMBER(SEARCH($A66,VLOOKUP(KB$2,职业列表!$B$1:$G$370,6,0))),"★","")</f>
        <v/>
      </c>
      <c r="KC66" s="929" t="str">
        <f>IF(ISNUMBER(SEARCH($A66,VLOOKUP(KC$2,职业列表!$B$1:$G$370,6,0))),"★","")</f>
        <v/>
      </c>
      <c r="KD66" s="929" t="str">
        <f>IF(ISNUMBER(SEARCH($A66,VLOOKUP(KD$2,职业列表!$B$1:$G$370,6,0))),"★","")</f>
        <v/>
      </c>
      <c r="KE66" s="929" t="str">
        <f>IF(ISNUMBER(SEARCH($A66,VLOOKUP(KE$2,职业列表!$B$1:$G$370,6,0))),"★","")</f>
        <v/>
      </c>
      <c r="KF66" s="929" t="str">
        <f>IF(ISNUMBER(SEARCH($A66,VLOOKUP(KF$2,职业列表!$B$1:$G$370,6,0))),"★","")</f>
        <v/>
      </c>
      <c r="KG66" s="929" t="str">
        <f>IF(ISNUMBER(SEARCH($A66,VLOOKUP(KG$2,职业列表!$B$1:$G$370,6,0))),"★","")</f>
        <v/>
      </c>
      <c r="KH66" s="929" t="str">
        <f>IF(ISNUMBER(SEARCH($A66,VLOOKUP(KH$2,职业列表!$B$1:$G$370,6,0))),"★","")</f>
        <v/>
      </c>
      <c r="KI66" s="929" t="str">
        <f>IF(ISNUMBER(SEARCH($A66,VLOOKUP(KI$2,职业列表!$B$1:$G$370,6,0))),"★","")</f>
        <v/>
      </c>
      <c r="KJ66" s="929" t="str">
        <f>IF(ISNUMBER(SEARCH($A66,VLOOKUP(KJ$2,职业列表!$B$1:$G$370,6,0))),"★","")</f>
        <v/>
      </c>
      <c r="KK66" s="929" t="str">
        <f>IF(ISNUMBER(SEARCH($A66,VLOOKUP(KK$2,职业列表!$B$1:$G$370,6,0))),"★","")</f>
        <v/>
      </c>
      <c r="KL66" s="929" t="str">
        <f>IF(ISNUMBER(SEARCH($A66,VLOOKUP(KL$2,职业列表!$B$1:$G$370,6,0))),"★","")</f>
        <v/>
      </c>
      <c r="KM66" s="929" t="str">
        <f>IF(ISNUMBER(SEARCH($A66,VLOOKUP(KM$2,职业列表!$B$1:$G$370,6,0))),"★","")</f>
        <v/>
      </c>
      <c r="KN66" s="929" t="str">
        <f>IF(ISNUMBER(SEARCH($A66,VLOOKUP(KN$2,职业列表!$B$1:$G$370,6,0))),"★","")</f>
        <v/>
      </c>
      <c r="KO66" s="929" t="str">
        <f>IF(ISNUMBER(SEARCH($A66,VLOOKUP(KO$2,职业列表!$B$1:$G$370,6,0))),"★","")</f>
        <v/>
      </c>
      <c r="KP66" s="929" t="str">
        <f>IF(ISNUMBER(SEARCH($A66,VLOOKUP(KP$2,职业列表!$B$1:$G$370,6,0))),"★","")</f>
        <v/>
      </c>
      <c r="KQ66" s="929" t="str">
        <f>IF(ISNUMBER(SEARCH($A66,VLOOKUP(KQ$2,职业列表!$B$1:$G$370,6,0))),"★","")</f>
        <v/>
      </c>
      <c r="KR66" s="929" t="str">
        <f>IF(ISNUMBER(SEARCH($A66,VLOOKUP(KR$2,职业列表!$B$1:$G$370,6,0))),"★","")</f>
        <v/>
      </c>
      <c r="KS66" s="929" t="str">
        <f>IF(ISNUMBER(SEARCH($A66,VLOOKUP(KS$2,职业列表!$B$1:$G$370,6,0))),"★","")</f>
        <v/>
      </c>
      <c r="KT66" s="929" t="str">
        <f>IF(ISNUMBER(SEARCH($A66,VLOOKUP(KT$2,职业列表!$B$1:$G$370,6,0))),"★","")</f>
        <v/>
      </c>
      <c r="KU66" s="929" t="str">
        <f>IF(ISNUMBER(SEARCH($A66,VLOOKUP(KU$2,职业列表!$B$1:$G$370,6,0))),"★","")</f>
        <v>★</v>
      </c>
      <c r="KV66" s="929" t="str">
        <f>IF(ISNUMBER(SEARCH($A66,VLOOKUP(KV$2,职业列表!$B$1:$G$370,6,0))),"★","")</f>
        <v/>
      </c>
      <c r="KW66" s="929" t="str">
        <f>IF(ISNUMBER(SEARCH($A66,VLOOKUP(KW$2,职业列表!$B$1:$G$370,6,0))),"★","")</f>
        <v/>
      </c>
      <c r="KX66" s="929" t="str">
        <f>IF(ISNUMBER(SEARCH($A66,VLOOKUP(KX$2,职业列表!$B$1:$G$370,6,0))),"★","")</f>
        <v/>
      </c>
      <c r="KY66" s="929" t="str">
        <f>IF(ISNUMBER(SEARCH($A66,VLOOKUP(KY$2,职业列表!$B$1:$G$370,6,0))),"★","")</f>
        <v/>
      </c>
      <c r="KZ66" s="929" t="str">
        <f>IF(ISNUMBER(SEARCH($A66,VLOOKUP(KZ$2,职业列表!$B$1:$G$370,6,0))),"★","")</f>
        <v/>
      </c>
      <c r="LA66" s="929" t="str">
        <f>IF(ISNUMBER(SEARCH($A66,VLOOKUP(LA$2,职业列表!$B$1:$G$370,6,0))),"★","")</f>
        <v/>
      </c>
      <c r="LB66" s="929" t="str">
        <f>IF(ISNUMBER(SEARCH($A66,VLOOKUP(LB$2,职业列表!$B$1:$G$370,6,0))),"★","")</f>
        <v/>
      </c>
      <c r="LC66" s="929" t="str">
        <f>IF(ISNUMBER(SEARCH($A66,VLOOKUP(LC$2,职业列表!$B$1:$G$370,6,0))),"★","")</f>
        <v/>
      </c>
      <c r="LD66" s="929" t="str">
        <f>IF(ISNUMBER(SEARCH($A66,VLOOKUP(LD$2,职业列表!$B$1:$G$370,6,0))),"★","")</f>
        <v/>
      </c>
      <c r="LE66" s="929" t="str">
        <f>IF(ISNUMBER(SEARCH($A66,VLOOKUP(LE$2,职业列表!$B$1:$G$370,6,0))),"★","")</f>
        <v/>
      </c>
      <c r="LF66" s="929" t="str">
        <f>IF(ISNUMBER(SEARCH($A66,VLOOKUP(LF$2,职业列表!$B$1:$G$370,6,0))),"★","")</f>
        <v/>
      </c>
      <c r="LG66" s="929" t="str">
        <f>IF(ISNUMBER(SEARCH($A66,VLOOKUP(LG$2,职业列表!$B$1:$G$370,6,0))),"★","")</f>
        <v/>
      </c>
      <c r="LH66" s="929" t="str">
        <f>IF(ISNUMBER(SEARCH($A66,VLOOKUP(LH$2,职业列表!$B$1:$G$370,6,0))),"★","")</f>
        <v/>
      </c>
      <c r="LI66" s="929" t="str">
        <f>IF(ISNUMBER(SEARCH($A66,VLOOKUP(LI$2,职业列表!$B$1:$G$370,6,0))),"★","")</f>
        <v/>
      </c>
      <c r="LJ66" s="929" t="str">
        <f>IF(ISNUMBER(SEARCH($A66,VLOOKUP(LJ$2,职业列表!$B$1:$G$370,6,0))),"★","")</f>
        <v/>
      </c>
      <c r="LK66" s="929" t="str">
        <f>IF(ISNUMBER(SEARCH($A66,VLOOKUP(LK$2,职业列表!$B$1:$G$370,6,0))),"★","")</f>
        <v/>
      </c>
      <c r="LL66" s="929" t="str">
        <f>IF(ISNUMBER(SEARCH($A66,VLOOKUP(LL$2,职业列表!$B$1:$G$370,6,0))),"★","")</f>
        <v/>
      </c>
      <c r="LM66" s="929" t="str">
        <f>IF(ISNUMBER(SEARCH($A66,VLOOKUP(LM$2,职业列表!$B$1:$G$370,6,0))),"★","")</f>
        <v/>
      </c>
      <c r="LN66" s="929" t="str">
        <f>IF(ISNUMBER(SEARCH($A66,VLOOKUP(LN$2,职业列表!$B$1:$G$370,6,0))),"★","")</f>
        <v/>
      </c>
      <c r="LO66" s="929" t="str">
        <f>IF(ISNUMBER(SEARCH($A66,VLOOKUP(LO$2,职业列表!$B$1:$G$370,6,0))),"★","")</f>
        <v/>
      </c>
      <c r="LP66" s="929" t="str">
        <f>IF(ISNUMBER(SEARCH($A66,VLOOKUP(LP$2,职业列表!$B$1:$G$370,6,0))),"★","")</f>
        <v/>
      </c>
      <c r="LQ66" s="929" t="str">
        <f>IF(ISNUMBER(SEARCH($A66,VLOOKUP(LQ$2,职业列表!$B$1:$G$370,6,0))),"★","")</f>
        <v/>
      </c>
      <c r="LR66" s="929" t="str">
        <f>IF(ISNUMBER(SEARCH($A66,VLOOKUP(LR$2,职业列表!$B$1:$G$370,6,0))),"★","")</f>
        <v/>
      </c>
      <c r="LS66" s="929" t="str">
        <f>IF(ISNUMBER(SEARCH($A66,VLOOKUP(LS$2,职业列表!$B$1:$G$370,6,0))),"★","")</f>
        <v/>
      </c>
      <c r="LT66" s="929" t="str">
        <f>IF(ISNUMBER(SEARCH($A66,VLOOKUP(LT$2,职业列表!$B$1:$G$370,6,0))),"★","")</f>
        <v/>
      </c>
      <c r="LU66" s="929" t="str">
        <f>IF(ISNUMBER(SEARCH($A66,VLOOKUP(LU$2,职业列表!$B$1:$G$370,6,0))),"★","")</f>
        <v/>
      </c>
      <c r="LV66" s="929" t="str">
        <f>IF(ISNUMBER(SEARCH($A66,VLOOKUP(LV$2,职业列表!$B$1:$G$370,6,0))),"★","")</f>
        <v/>
      </c>
      <c r="LW66" s="929" t="str">
        <f>IF(ISNUMBER(SEARCH($A66,VLOOKUP(LW$2,职业列表!$B$1:$G$370,6,0))),"★","")</f>
        <v/>
      </c>
      <c r="LX66" s="929" t="str">
        <f>IF(ISNUMBER(SEARCH($A66,VLOOKUP(LX$2,职业列表!$B$1:$G$370,6,0))),"★","")</f>
        <v/>
      </c>
      <c r="LY66" s="929" t="str">
        <f>IF(ISNUMBER(SEARCH($A66,VLOOKUP(LY$2,职业列表!$B$1:$G$370,6,0))),"★","")</f>
        <v/>
      </c>
      <c r="LZ66" s="929" t="str">
        <f>IF(ISNUMBER(SEARCH($A66,VLOOKUP(LZ$2,职业列表!$B$1:$G$370,6,0))),"★","")</f>
        <v/>
      </c>
      <c r="MA66" s="929" t="str">
        <f>IF(ISNUMBER(SEARCH($A66,VLOOKUP(MA$2,职业列表!$B$1:$G$370,6,0))),"★","")</f>
        <v/>
      </c>
      <c r="MB66" s="929" t="str">
        <f>IF(ISNUMBER(SEARCH($A66,VLOOKUP(MB$2,职业列表!$B$1:$G$370,6,0))),"★","")</f>
        <v/>
      </c>
      <c r="MC66" s="929" t="str">
        <f>IF(ISNUMBER(SEARCH($A66,VLOOKUP(MC$2,职业列表!$B$1:$G$370,6,0))),"★","")</f>
        <v/>
      </c>
      <c r="MD66" s="929" t="str">
        <f>IF(ISNUMBER(SEARCH($A66,VLOOKUP(MD$2,职业列表!$B$1:$G$370,6,0))),"★","")</f>
        <v/>
      </c>
      <c r="ME66" s="929" t="str">
        <f>IF(ISNUMBER(SEARCH($A66,VLOOKUP(ME$2,职业列表!$B$1:$G$370,6,0))),"★","")</f>
        <v/>
      </c>
      <c r="MF66" s="929" t="str">
        <f>IF(ISNUMBER(SEARCH($A66,VLOOKUP(MF$2,职业列表!$B$1:$G$370,6,0))),"★","")</f>
        <v/>
      </c>
      <c r="MG66" s="929" t="str">
        <f>IF(ISNUMBER(SEARCH($A66,VLOOKUP(MG$2,职业列表!$B$1:$G$370,6,0))),"★","")</f>
        <v/>
      </c>
      <c r="MH66" s="929" t="str">
        <f>IF(ISNUMBER(SEARCH($A66,VLOOKUP(MH$2,职业列表!$B$1:$G$370,6,0))),"★","")</f>
        <v/>
      </c>
      <c r="MI66" s="929" t="str">
        <f>IF(ISNUMBER(SEARCH($A66,VLOOKUP(MI$2,职业列表!$B$1:$G$370,6,0))),"★","")</f>
        <v/>
      </c>
      <c r="MJ66" s="929" t="str">
        <f>IF(ISNUMBER(SEARCH($A66,VLOOKUP(MJ$2,职业列表!$B$1:$G$370,6,0))),"★","")</f>
        <v/>
      </c>
      <c r="MK66" s="929" t="str">
        <f>IF(ISNUMBER(SEARCH($A66,VLOOKUP(MK$2,职业列表!$B$1:$G$370,6,0))),"★","")</f>
        <v/>
      </c>
      <c r="ML66" s="929" t="str">
        <f>IF(ISNUMBER(SEARCH($A66,VLOOKUP(ML$2,职业列表!$B$1:$G$370,6,0))),"★","")</f>
        <v/>
      </c>
      <c r="MM66" s="929" t="str">
        <f>IF(ISNUMBER(SEARCH($A66,VLOOKUP(MM$2,职业列表!$B$1:$G$370,6,0))),"★","")</f>
        <v/>
      </c>
      <c r="MN66" s="929" t="str">
        <f>IF(ISNUMBER(SEARCH($A66,VLOOKUP(MN$2,职业列表!$B$1:$G$370,6,0))),"★","")</f>
        <v/>
      </c>
      <c r="MO66" s="929" t="str">
        <f>IF(ISNUMBER(SEARCH($A66,VLOOKUP(MO$2,职业列表!$B$1:$G$370,6,0))),"★","")</f>
        <v/>
      </c>
      <c r="MP66" s="929" t="str">
        <f>IF(ISNUMBER(SEARCH($A66,VLOOKUP(MP$2,职业列表!$B$1:$G$370,6,0))),"★","")</f>
        <v/>
      </c>
      <c r="MQ66" s="929" t="str">
        <f>IF(ISNUMBER(SEARCH($A66,VLOOKUP(MQ$2,职业列表!$B$1:$G$370,6,0))),"★","")</f>
        <v/>
      </c>
      <c r="MR66" s="929" t="str">
        <f>IF(ISNUMBER(SEARCH($A66,VLOOKUP(MR$2,职业列表!$B$1:$G$370,6,0))),"★","")</f>
        <v/>
      </c>
      <c r="MS66" s="929" t="str">
        <f>IF(ISNUMBER(SEARCH($A66,VLOOKUP(MS$2,职业列表!$B$1:$G$370,6,0))),"★","")</f>
        <v/>
      </c>
      <c r="MT66" s="929" t="str">
        <f>IF(ISNUMBER(SEARCH($A66,VLOOKUP(MT$2,职业列表!$B$1:$G$370,6,0))),"★","")</f>
        <v/>
      </c>
      <c r="MU66" s="929" t="str">
        <f>IF(ISNUMBER(SEARCH($A66,VLOOKUP(MU$2,职业列表!$B$1:$G$370,6,0))),"★","")</f>
        <v/>
      </c>
      <c r="MV66" s="929" t="str">
        <f>IF(ISNUMBER(SEARCH($A66,VLOOKUP(MV$2,职业列表!$B$1:$G$370,6,0))),"★","")</f>
        <v/>
      </c>
      <c r="MW66" s="929" t="str">
        <f>IF(ISNUMBER(SEARCH($A66,VLOOKUP(MW$2,职业列表!$B$1:$G$370,6,0))),"★","")</f>
        <v/>
      </c>
      <c r="MX66" s="929" t="str">
        <f>IF(ISNUMBER(SEARCH($A66,VLOOKUP(MX$2,职业列表!$B$1:$G$370,6,0))),"★","")</f>
        <v/>
      </c>
      <c r="MY66" s="929" t="str">
        <f>IF(ISNUMBER(SEARCH($A66,VLOOKUP(MY$2,职业列表!$B$1:$G$370,6,0))),"★","")</f>
        <v/>
      </c>
      <c r="MZ66" s="929" t="str">
        <f>IF(ISNUMBER(SEARCH($A66,VLOOKUP(MZ$2,职业列表!$B$1:$G$370,6,0))),"★","")</f>
        <v/>
      </c>
      <c r="NA66" s="929" t="str">
        <f>IF(ISNUMBER(SEARCH($A66,VLOOKUP(NA$2,职业列表!$B$1:$G$370,6,0))),"★","")</f>
        <v/>
      </c>
      <c r="NB66" s="929" t="str">
        <f>IF(ISNUMBER(SEARCH($A66,VLOOKUP(NB$2,职业列表!$B$1:$G$370,6,0))),"★","")</f>
        <v/>
      </c>
      <c r="NC66" s="929" t="str">
        <f>IF(ISNUMBER(SEARCH($A66,VLOOKUP(NC$2,职业列表!$B$1:$G$370,6,0))),"★","")</f>
        <v/>
      </c>
      <c r="ND66" s="929" t="str">
        <f>IF(ISNUMBER(SEARCH($A66,VLOOKUP(ND$2,职业列表!$B$1:$G$370,6,0))),"★","")</f>
        <v/>
      </c>
      <c r="NE66" s="929" t="str">
        <f>IF(ISNUMBER(SEARCH($A66,VLOOKUP(NE$2,职业列表!$B$1:$G$370,6,0))),"★","")</f>
        <v/>
      </c>
    </row>
    <row r="67" customFormat="1" ht="14.5" spans="1:369">
      <c r="A67" s="932" t="s">
        <v>144</v>
      </c>
      <c r="B67" s="939" t="str">
        <f>IF(OR(A67="说服",A67="话术",A67="取悦",A67="恐吓"),"☯",IF(ISNUMBER(SEARCH(A67,VLOOKUP(IX$2,职业列表!$B$1:$G$370,6,0))),"★",""))</f>
        <v/>
      </c>
      <c r="C67" s="939" t="str">
        <f>IF(ISTEXT(IFERROR(VLOOKUP(A67,职业列表!I3:J10,1,FALSE),0)),"★","")</f>
        <v/>
      </c>
      <c r="D67" s="939"/>
      <c r="E67" s="939"/>
      <c r="F67" s="939"/>
      <c r="G67" s="939"/>
      <c r="H67" s="939"/>
      <c r="I67" s="939"/>
      <c r="J67" s="939"/>
      <c r="K67" s="939"/>
      <c r="L67" s="939"/>
      <c r="M67" s="939"/>
      <c r="N67" s="939"/>
      <c r="O67" s="939"/>
      <c r="P67" s="939"/>
      <c r="Q67" s="939"/>
      <c r="R67" s="939"/>
      <c r="S67" s="939"/>
      <c r="T67" s="939"/>
      <c r="U67" s="939"/>
      <c r="V67" s="939"/>
      <c r="W67" s="939"/>
      <c r="X67" s="939"/>
      <c r="Y67" s="939"/>
      <c r="Z67" s="939"/>
      <c r="AA67" s="939"/>
      <c r="AB67" s="939"/>
      <c r="AC67" s="939"/>
      <c r="AD67" s="939"/>
      <c r="AE67" s="939"/>
      <c r="AF67" s="939"/>
      <c r="AG67" s="939"/>
      <c r="AH67" s="939"/>
      <c r="AI67" s="939"/>
      <c r="AJ67" s="939"/>
      <c r="AK67" s="939"/>
      <c r="AL67" s="939"/>
      <c r="AM67" s="939"/>
      <c r="AN67" s="939"/>
      <c r="AO67" s="939"/>
      <c r="AP67" s="939"/>
      <c r="AQ67" s="939"/>
      <c r="AR67" s="939"/>
      <c r="AS67" s="940" t="s">
        <v>74</v>
      </c>
      <c r="AT67" s="939"/>
      <c r="AU67" s="939"/>
      <c r="AV67" s="939"/>
      <c r="AW67" s="939"/>
      <c r="AX67" s="939"/>
      <c r="AY67" s="939"/>
      <c r="AZ67" s="939"/>
      <c r="BA67" s="939"/>
      <c r="BB67" s="939"/>
      <c r="BC67" s="939"/>
      <c r="BD67" s="939"/>
      <c r="BE67" s="939"/>
      <c r="BF67" s="939"/>
      <c r="BG67" s="939"/>
      <c r="BH67" s="939"/>
      <c r="BI67" s="939"/>
      <c r="BJ67" s="939"/>
      <c r="BK67" s="939"/>
      <c r="BL67" s="939"/>
      <c r="BM67" s="939"/>
      <c r="BN67" s="939"/>
      <c r="BO67" s="939"/>
      <c r="BP67" s="939"/>
      <c r="BQ67" s="939"/>
      <c r="BR67" s="939"/>
      <c r="BS67" s="939"/>
      <c r="BT67" s="939"/>
      <c r="BU67" s="939"/>
      <c r="BV67" s="939"/>
      <c r="BW67" s="939"/>
      <c r="BX67" s="939"/>
      <c r="BY67" s="939"/>
      <c r="BZ67" s="939"/>
      <c r="CA67" s="939"/>
      <c r="CB67" s="939"/>
      <c r="CC67" s="939"/>
      <c r="CD67" s="939"/>
      <c r="CE67" s="939"/>
      <c r="CF67" s="939"/>
      <c r="CG67" s="939"/>
      <c r="CH67" s="939"/>
      <c r="CI67" s="939"/>
      <c r="CJ67" s="939"/>
      <c r="CK67" s="939"/>
      <c r="CL67" s="939"/>
      <c r="CM67" s="939"/>
      <c r="CN67" s="939"/>
      <c r="CO67" s="939"/>
      <c r="CP67" s="939"/>
      <c r="CQ67" s="939"/>
      <c r="CR67" s="939"/>
      <c r="CS67" s="939"/>
      <c r="CT67" s="939"/>
      <c r="CU67" s="939"/>
      <c r="CV67" s="939"/>
      <c r="CW67" s="939"/>
      <c r="CX67" s="939"/>
      <c r="CY67" s="939"/>
      <c r="CZ67" s="939"/>
      <c r="DA67" s="939"/>
      <c r="DB67" s="939"/>
      <c r="DC67" s="939"/>
      <c r="DD67" s="939"/>
      <c r="DE67" s="940" t="s">
        <v>2719</v>
      </c>
      <c r="DF67" s="939"/>
      <c r="DG67" s="939"/>
      <c r="DH67" s="939"/>
      <c r="DI67" s="939"/>
      <c r="DJ67" s="939"/>
      <c r="DK67" s="939"/>
      <c r="DL67" s="939"/>
      <c r="DM67" s="939"/>
      <c r="DN67" s="939"/>
      <c r="DO67" s="939"/>
      <c r="DP67" s="939"/>
      <c r="DQ67" s="939"/>
      <c r="DR67" s="939"/>
      <c r="DS67" s="939"/>
      <c r="DT67" s="939"/>
      <c r="DU67" s="939"/>
      <c r="DV67" s="939"/>
      <c r="DW67" s="939"/>
      <c r="DX67" s="939"/>
      <c r="DY67" s="939"/>
      <c r="DZ67" s="939"/>
      <c r="EA67" s="939"/>
      <c r="EB67" s="939"/>
      <c r="EC67" s="939"/>
      <c r="ED67" s="939"/>
      <c r="EE67" s="939"/>
      <c r="EF67" s="939"/>
      <c r="EG67" s="939"/>
      <c r="EH67" s="939"/>
      <c r="EI67" s="939"/>
      <c r="EJ67" s="939"/>
      <c r="EK67" s="939"/>
      <c r="EL67" s="939"/>
      <c r="EM67" s="939"/>
      <c r="EN67" s="939"/>
      <c r="EO67" s="939"/>
      <c r="EP67" s="939"/>
      <c r="EQ67" s="939"/>
      <c r="ER67" s="939"/>
      <c r="ES67" s="939"/>
      <c r="ET67" s="939"/>
      <c r="EU67" s="939"/>
      <c r="EV67" s="939"/>
      <c r="EW67" s="939"/>
      <c r="EX67" s="939"/>
      <c r="EY67" s="939"/>
      <c r="EZ67" s="939"/>
      <c r="FA67" s="939"/>
      <c r="FB67" s="939"/>
      <c r="FC67" s="939"/>
      <c r="FD67" s="939"/>
      <c r="FE67" s="950"/>
      <c r="FF67" s="950"/>
      <c r="FG67" s="950"/>
      <c r="FH67" s="950"/>
      <c r="FI67" s="950"/>
      <c r="FJ67" s="950"/>
      <c r="FK67" s="950"/>
      <c r="FL67" s="950"/>
      <c r="FM67" s="939"/>
      <c r="FN67" s="939"/>
      <c r="FO67" s="939"/>
      <c r="FP67" s="939"/>
      <c r="FQ67" s="939"/>
      <c r="FR67" s="939"/>
      <c r="FS67" s="939"/>
      <c r="FT67" s="939"/>
      <c r="FU67" s="939"/>
      <c r="FV67" s="939"/>
      <c r="FW67" s="939"/>
      <c r="FX67" s="939"/>
      <c r="FY67" s="939"/>
      <c r="FZ67" s="939"/>
      <c r="GA67" s="939"/>
      <c r="GB67" s="939"/>
      <c r="GC67" s="939"/>
      <c r="GD67" s="939"/>
      <c r="GE67" s="939"/>
      <c r="GF67" s="939"/>
      <c r="GG67" s="939"/>
      <c r="GH67" s="939"/>
      <c r="GI67" s="939"/>
      <c r="GJ67" s="939"/>
      <c r="GK67" s="939"/>
      <c r="GL67" s="939"/>
      <c r="GM67" s="939"/>
      <c r="GN67" s="939"/>
      <c r="GO67" s="939"/>
      <c r="GP67" s="939"/>
      <c r="GQ67" s="939"/>
      <c r="GR67" s="939"/>
      <c r="GS67" s="939"/>
      <c r="GT67" s="939"/>
      <c r="GU67" s="939"/>
      <c r="GV67" s="939"/>
      <c r="GW67" s="939"/>
      <c r="GX67" s="939"/>
      <c r="GY67" s="939"/>
      <c r="GZ67" s="939"/>
      <c r="HA67" s="939"/>
      <c r="HB67" s="939"/>
      <c r="HC67" s="939"/>
      <c r="HD67" s="939"/>
      <c r="HE67" s="939"/>
      <c r="HF67" s="939"/>
      <c r="HG67" s="939"/>
      <c r="HH67" s="939"/>
      <c r="HI67" s="939"/>
      <c r="HJ67" s="939"/>
      <c r="HK67" s="939"/>
      <c r="HL67" s="939"/>
      <c r="HM67" s="939"/>
      <c r="HN67" s="939"/>
      <c r="HO67" s="939"/>
      <c r="HP67" s="939"/>
      <c r="HQ67" s="939"/>
      <c r="HR67" s="939"/>
      <c r="HS67" s="939"/>
      <c r="HT67" s="939"/>
      <c r="HU67" s="939"/>
      <c r="HV67" s="939"/>
      <c r="HW67" s="939"/>
      <c r="HX67" s="990"/>
      <c r="HY67" s="1012"/>
      <c r="HZ67" s="1012"/>
      <c r="IA67" s="1012"/>
      <c r="IB67" s="1012"/>
      <c r="IC67" s="1013"/>
      <c r="ID67" s="1013"/>
      <c r="IE67" s="1012"/>
      <c r="IF67" s="1012"/>
      <c r="IG67" s="1012"/>
      <c r="IH67" s="1012"/>
      <c r="II67" s="1012"/>
      <c r="IJ67" s="1012"/>
      <c r="IK67" s="1084"/>
      <c r="IL67" s="1084"/>
      <c r="IM67" s="1084"/>
      <c r="IN67" s="1084"/>
      <c r="IO67" s="1084"/>
      <c r="IP67" s="1084"/>
      <c r="IQ67" s="1084"/>
      <c r="IR67" s="1084"/>
      <c r="IS67" s="1084"/>
      <c r="IT67" s="1084"/>
      <c r="IU67" s="1084"/>
      <c r="IV67" s="1084"/>
      <c r="IW67" s="1048"/>
      <c r="IX67" s="1048"/>
      <c r="IY67" s="1048"/>
      <c r="IZ67" s="1048"/>
      <c r="JA67" s="1048"/>
      <c r="JB67" s="1048"/>
      <c r="JC67" s="1048"/>
      <c r="JD67" s="1048"/>
      <c r="JE67" s="1048"/>
      <c r="JF67" s="1048"/>
      <c r="JG67" s="1048"/>
      <c r="JH67" s="1048"/>
      <c r="JI67" s="1048"/>
      <c r="JJ67" s="1048"/>
      <c r="JK67" s="1048"/>
      <c r="JL67" s="1048"/>
      <c r="JM67" s="1048"/>
      <c r="JN67" s="1048"/>
      <c r="JO67" s="1048"/>
      <c r="JP67" s="1048"/>
      <c r="JQ67" s="1048"/>
      <c r="JR67" s="1048"/>
      <c r="JS67" s="1048"/>
      <c r="JT67" s="1048"/>
      <c r="JU67" s="1048"/>
      <c r="JV67" s="1048"/>
      <c r="JW67" s="1048"/>
      <c r="JX67" s="1048"/>
      <c r="JY67" s="1048"/>
      <c r="JZ67" s="1048"/>
      <c r="KA67" s="1048"/>
      <c r="KB67" s="1048"/>
      <c r="KC67" s="1048"/>
      <c r="KD67" s="1048"/>
      <c r="KE67" s="1048"/>
      <c r="KF67" s="1048"/>
      <c r="KG67" s="1048"/>
      <c r="KH67" s="1048"/>
      <c r="KI67" s="1048"/>
      <c r="KJ67" s="1048"/>
      <c r="KK67" s="1048"/>
      <c r="KL67" s="1048"/>
      <c r="KM67" s="1048"/>
      <c r="KN67" s="1048"/>
      <c r="KO67" s="1048"/>
      <c r="KP67" s="1048"/>
      <c r="KQ67" s="1048"/>
      <c r="KR67" s="1048"/>
      <c r="KS67" s="1048"/>
      <c r="KT67" s="1048"/>
      <c r="KU67" s="1048"/>
      <c r="KV67" s="1048"/>
      <c r="KW67" s="1048"/>
      <c r="KX67" s="1048"/>
      <c r="KY67" s="1048"/>
      <c r="KZ67" s="1048"/>
      <c r="LA67" s="1048"/>
      <c r="LB67" s="1048"/>
      <c r="LC67" s="1048"/>
      <c r="LD67" s="1048"/>
      <c r="LE67" s="1048"/>
      <c r="LF67" s="1048"/>
      <c r="LG67" s="1048"/>
      <c r="LH67" s="1048"/>
      <c r="LI67" s="1048"/>
      <c r="LJ67" s="1048"/>
      <c r="LK67" s="1048"/>
      <c r="LL67" s="1048"/>
      <c r="LM67" s="1048"/>
      <c r="LN67" s="1048"/>
      <c r="LO67" s="1048"/>
      <c r="LP67" s="1048"/>
      <c r="LQ67" s="1048"/>
      <c r="LR67" s="1048"/>
      <c r="LS67" s="1048"/>
      <c r="LT67" s="1048"/>
      <c r="LU67" s="1048"/>
      <c r="LV67" s="1048"/>
      <c r="LW67" s="1048"/>
      <c r="LX67" s="1048"/>
      <c r="LY67" s="1048"/>
      <c r="LZ67" s="1048"/>
      <c r="MA67" s="1048"/>
      <c r="MB67" s="1048"/>
      <c r="MC67" s="1048"/>
      <c r="MD67" s="1048"/>
      <c r="ME67" s="1048"/>
      <c r="MF67" s="1048"/>
      <c r="MG67" s="1048"/>
      <c r="MH67" s="1048"/>
      <c r="MI67" s="1048"/>
      <c r="MJ67" s="1048"/>
      <c r="MK67" s="1048"/>
      <c r="ML67" s="1048"/>
      <c r="MM67" s="1048"/>
      <c r="MN67" s="1048"/>
      <c r="MO67" s="1048"/>
      <c r="MP67" s="1048"/>
      <c r="MQ67" s="1048"/>
      <c r="MR67" s="1048"/>
      <c r="MS67" s="1048"/>
      <c r="MT67" s="1048"/>
      <c r="MU67" s="1048"/>
      <c r="MV67" s="1048"/>
      <c r="MW67" s="1048"/>
      <c r="MX67" s="1048"/>
      <c r="MY67" s="1048"/>
      <c r="MZ67" s="1048"/>
      <c r="NA67" s="1048"/>
      <c r="NB67" s="1048"/>
      <c r="NC67" s="1048"/>
      <c r="ND67" s="1048"/>
      <c r="NE67" s="1048"/>
    </row>
    <row r="68" customFormat="1" ht="14.5" spans="1:369">
      <c r="A68" s="932" t="s">
        <v>146</v>
      </c>
      <c r="B68" s="939" t="str">
        <f>IF(OR(A68="说服",A68="话术",A68="取悦",A68="恐吓"),"☯",IF(ISNUMBER(SEARCH(A68,VLOOKUP(IX$2,职业列表!$B$1:$G$370,6,0))),"★",""))</f>
        <v/>
      </c>
      <c r="C68" s="940" t="str">
        <f>IF(ISTEXT(IFERROR(VLOOKUP(A68,职业列表!I3:J10,1,FALSE),0)),"★","")</f>
        <v/>
      </c>
      <c r="D68" s="939"/>
      <c r="E68" s="939"/>
      <c r="F68" s="93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c r="AL68" s="939"/>
      <c r="AM68" s="939"/>
      <c r="AN68" s="939"/>
      <c r="AO68" s="939"/>
      <c r="AP68" s="950"/>
      <c r="AQ68" s="939"/>
      <c r="AR68" s="939"/>
      <c r="AS68" s="939"/>
      <c r="AT68" s="939"/>
      <c r="AU68" s="939"/>
      <c r="AV68" s="939"/>
      <c r="AW68" s="939"/>
      <c r="AX68" s="939"/>
      <c r="AY68" s="939"/>
      <c r="AZ68" s="939"/>
      <c r="BA68" s="939"/>
      <c r="BB68" s="939"/>
      <c r="BC68" s="939"/>
      <c r="BD68" s="939"/>
      <c r="BE68" s="939"/>
      <c r="BF68" s="939"/>
      <c r="BG68" s="939"/>
      <c r="BH68" s="939"/>
      <c r="BI68" s="939"/>
      <c r="BJ68" s="939"/>
      <c r="BK68" s="939"/>
      <c r="BL68" s="939"/>
      <c r="BM68" s="939"/>
      <c r="BN68" s="939"/>
      <c r="BO68" s="939"/>
      <c r="BP68" s="939"/>
      <c r="BQ68" s="939"/>
      <c r="BR68" s="939"/>
      <c r="BS68" s="939"/>
      <c r="BT68" s="939"/>
      <c r="BU68" s="939"/>
      <c r="BV68" s="939"/>
      <c r="BW68" s="939"/>
      <c r="BX68" s="939"/>
      <c r="BY68" s="939"/>
      <c r="BZ68" s="939"/>
      <c r="CA68" s="939"/>
      <c r="CB68" s="939"/>
      <c r="CC68" s="939"/>
      <c r="CD68" s="939"/>
      <c r="CE68" s="939"/>
      <c r="CF68" s="939"/>
      <c r="CG68" s="939"/>
      <c r="CH68" s="939"/>
      <c r="CI68" s="939"/>
      <c r="CJ68" s="939"/>
      <c r="CK68" s="939"/>
      <c r="CL68" s="939"/>
      <c r="CM68" s="939"/>
      <c r="CN68" s="939"/>
      <c r="CO68" s="939"/>
      <c r="CP68" s="939"/>
      <c r="CQ68" s="939"/>
      <c r="CR68" s="939"/>
      <c r="CS68" s="939"/>
      <c r="CT68" s="939"/>
      <c r="CU68" s="939"/>
      <c r="CV68" s="939"/>
      <c r="CW68" s="939"/>
      <c r="CX68" s="939"/>
      <c r="CY68" s="939"/>
      <c r="CZ68" s="939"/>
      <c r="DA68" s="939"/>
      <c r="DB68" s="939"/>
      <c r="DC68" s="939"/>
      <c r="DD68" s="939"/>
      <c r="DE68" s="939"/>
      <c r="DF68" s="939"/>
      <c r="DG68" s="939"/>
      <c r="DH68" s="939"/>
      <c r="DI68" s="939"/>
      <c r="DJ68" s="939"/>
      <c r="DK68" s="939"/>
      <c r="DL68" s="939"/>
      <c r="DM68" s="939"/>
      <c r="DN68" s="939"/>
      <c r="DO68" s="939"/>
      <c r="DP68" s="939"/>
      <c r="DQ68" s="939"/>
      <c r="DR68" s="939"/>
      <c r="DS68" s="939"/>
      <c r="DT68" s="939"/>
      <c r="DU68" s="939"/>
      <c r="DV68" s="939"/>
      <c r="DW68" s="939"/>
      <c r="DX68" s="939"/>
      <c r="DY68" s="939"/>
      <c r="DZ68" s="939"/>
      <c r="EA68" s="939"/>
      <c r="EB68" s="939"/>
      <c r="EC68" s="939"/>
      <c r="ED68" s="939"/>
      <c r="EE68" s="939"/>
      <c r="EF68" s="939"/>
      <c r="EG68" s="939"/>
      <c r="EH68" s="939"/>
      <c r="EI68" s="939"/>
      <c r="EJ68" s="939"/>
      <c r="EK68" s="939"/>
      <c r="EL68" s="939"/>
      <c r="EM68" s="939"/>
      <c r="EN68" s="939"/>
      <c r="EO68" s="939"/>
      <c r="EP68" s="939"/>
      <c r="EQ68" s="939"/>
      <c r="ER68" s="939"/>
      <c r="ES68" s="939"/>
      <c r="ET68" s="939"/>
      <c r="EU68" s="939"/>
      <c r="EV68" s="939"/>
      <c r="EW68" s="939"/>
      <c r="EX68" s="939"/>
      <c r="EY68" s="939"/>
      <c r="EZ68" s="939"/>
      <c r="FA68" s="939"/>
      <c r="FB68" s="939"/>
      <c r="FC68" s="939"/>
      <c r="FD68" s="939"/>
      <c r="FE68" s="939"/>
      <c r="FF68" s="939"/>
      <c r="FG68" s="939"/>
      <c r="FH68" s="939"/>
      <c r="FI68" s="939"/>
      <c r="FJ68" s="939"/>
      <c r="FK68" s="939"/>
      <c r="FL68" s="939"/>
      <c r="FM68" s="939"/>
      <c r="FN68" s="939"/>
      <c r="FO68" s="939"/>
      <c r="FP68" s="939"/>
      <c r="FQ68" s="939"/>
      <c r="FR68" s="939"/>
      <c r="FS68" s="939"/>
      <c r="FT68" s="939"/>
      <c r="FU68" s="939"/>
      <c r="FV68" s="939"/>
      <c r="FW68" s="939"/>
      <c r="FX68" s="939"/>
      <c r="FY68" s="939"/>
      <c r="FZ68" s="939"/>
      <c r="GA68" s="939"/>
      <c r="GB68" s="939"/>
      <c r="GC68" s="939"/>
      <c r="GD68" s="939"/>
      <c r="GE68" s="939"/>
      <c r="GF68" s="939"/>
      <c r="GG68" s="939"/>
      <c r="GH68" s="939"/>
      <c r="GI68" s="939"/>
      <c r="GJ68" s="939"/>
      <c r="GK68" s="939"/>
      <c r="GL68" s="939"/>
      <c r="GM68" s="939"/>
      <c r="GN68" s="939"/>
      <c r="GO68" s="939"/>
      <c r="GP68" s="939"/>
      <c r="GQ68" s="939"/>
      <c r="GR68" s="939"/>
      <c r="GS68" s="939"/>
      <c r="GT68" s="939"/>
      <c r="GU68" s="939"/>
      <c r="GV68" s="939"/>
      <c r="GW68" s="939"/>
      <c r="GX68" s="939"/>
      <c r="GY68" s="939"/>
      <c r="GZ68" s="939"/>
      <c r="HA68" s="939"/>
      <c r="HB68" s="939"/>
      <c r="HC68" s="939"/>
      <c r="HD68" s="939"/>
      <c r="HE68" s="939"/>
      <c r="HF68" s="939"/>
      <c r="HG68" s="939"/>
      <c r="HH68" s="939"/>
      <c r="HI68" s="939"/>
      <c r="HJ68" s="939"/>
      <c r="HK68" s="939"/>
      <c r="HL68" s="939"/>
      <c r="HM68" s="939"/>
      <c r="HN68" s="939"/>
      <c r="HO68" s="939"/>
      <c r="HP68" s="939"/>
      <c r="HQ68" s="939"/>
      <c r="HR68" s="939"/>
      <c r="HS68" s="939"/>
      <c r="HT68" s="939"/>
      <c r="HU68" s="939"/>
      <c r="HV68" s="939"/>
      <c r="HW68" s="939"/>
      <c r="HX68" s="990"/>
      <c r="HY68" s="1012"/>
      <c r="HZ68" s="1012"/>
      <c r="IA68" s="1012"/>
      <c r="IB68" s="1012"/>
      <c r="IC68" s="1013"/>
      <c r="ID68" s="1013"/>
      <c r="IE68" s="1012"/>
      <c r="IF68" s="1012"/>
      <c r="IG68" s="1012"/>
      <c r="IH68" s="1012"/>
      <c r="II68" s="1012"/>
      <c r="IJ68" s="1012"/>
      <c r="IK68" s="1084"/>
      <c r="IL68" s="1084"/>
      <c r="IM68" s="1084"/>
      <c r="IN68" s="1084"/>
      <c r="IO68" s="1084"/>
      <c r="IP68" s="1084"/>
      <c r="IQ68" s="1084"/>
      <c r="IR68" s="1084"/>
      <c r="IS68" s="1084"/>
      <c r="IT68" s="1084"/>
      <c r="IU68" s="1084"/>
      <c r="IV68" s="1084"/>
      <c r="IW68" s="1048"/>
      <c r="IX68" s="1048"/>
      <c r="IY68" s="1048"/>
      <c r="IZ68" s="1048"/>
      <c r="JA68" s="1048"/>
      <c r="JB68" s="1048"/>
      <c r="JC68" s="1048"/>
      <c r="JD68" s="1048"/>
      <c r="JE68" s="1048"/>
      <c r="JF68" s="1048"/>
      <c r="JG68" s="1048"/>
      <c r="JH68" s="1048"/>
      <c r="JI68" s="1048"/>
      <c r="JJ68" s="1048"/>
      <c r="JK68" s="1048"/>
      <c r="JL68" s="1048"/>
      <c r="JM68" s="1048"/>
      <c r="JN68" s="1048"/>
      <c r="JO68" s="1048"/>
      <c r="JP68" s="1048"/>
      <c r="JQ68" s="1048"/>
      <c r="JR68" s="1048"/>
      <c r="JS68" s="1048"/>
      <c r="JT68" s="1048"/>
      <c r="JU68" s="1048"/>
      <c r="JV68" s="1048"/>
      <c r="JW68" s="1048"/>
      <c r="JX68" s="1048"/>
      <c r="JY68" s="1048"/>
      <c r="JZ68" s="1048"/>
      <c r="KA68" s="1048"/>
      <c r="KB68" s="1048"/>
      <c r="KC68" s="1048"/>
      <c r="KD68" s="1048"/>
      <c r="KE68" s="1048"/>
      <c r="KF68" s="1048"/>
      <c r="KG68" s="1048"/>
      <c r="KH68" s="1048"/>
      <c r="KI68" s="1048"/>
      <c r="KJ68" s="1048"/>
      <c r="KK68" s="1048"/>
      <c r="KL68" s="1048"/>
      <c r="KM68" s="1048"/>
      <c r="KN68" s="1048"/>
      <c r="KO68" s="1048"/>
      <c r="KP68" s="1048"/>
      <c r="KQ68" s="1048"/>
      <c r="KR68" s="1048"/>
      <c r="KS68" s="1048"/>
      <c r="KT68" s="1048"/>
      <c r="KU68" s="1048"/>
      <c r="KV68" s="1048"/>
      <c r="KW68" s="1048"/>
      <c r="KX68" s="1048"/>
      <c r="KY68" s="1048"/>
      <c r="KZ68" s="1048"/>
      <c r="LA68" s="1048"/>
      <c r="LB68" s="1048"/>
      <c r="LC68" s="1048"/>
      <c r="LD68" s="1048"/>
      <c r="LE68" s="1048"/>
      <c r="LF68" s="1048"/>
      <c r="LG68" s="1048"/>
      <c r="LH68" s="1048"/>
      <c r="LI68" s="1048"/>
      <c r="LJ68" s="1048"/>
      <c r="LK68" s="1048"/>
      <c r="LL68" s="1048"/>
      <c r="LM68" s="1048"/>
      <c r="LN68" s="1048"/>
      <c r="LO68" s="1048"/>
      <c r="LP68" s="1048"/>
      <c r="LQ68" s="1048"/>
      <c r="LR68" s="1048"/>
      <c r="LS68" s="1048"/>
      <c r="LT68" s="1048"/>
      <c r="LU68" s="1048"/>
      <c r="LV68" s="1048"/>
      <c r="LW68" s="1048"/>
      <c r="LX68" s="1048"/>
      <c r="LY68" s="1048"/>
      <c r="LZ68" s="1048"/>
      <c r="MA68" s="1048"/>
      <c r="MB68" s="1048"/>
      <c r="MC68" s="1048"/>
      <c r="MD68" s="1048"/>
      <c r="ME68" s="1048"/>
      <c r="MF68" s="1048"/>
      <c r="MG68" s="1048"/>
      <c r="MH68" s="1048"/>
      <c r="MI68" s="1048"/>
      <c r="MJ68" s="1048"/>
      <c r="MK68" s="1048"/>
      <c r="ML68" s="1048"/>
      <c r="MM68" s="1048"/>
      <c r="MN68" s="1048"/>
      <c r="MO68" s="1048"/>
      <c r="MP68" s="1048"/>
      <c r="MQ68" s="1048"/>
      <c r="MR68" s="1048"/>
      <c r="MS68" s="1048"/>
      <c r="MT68" s="1048"/>
      <c r="MU68" s="1048"/>
      <c r="MV68" s="1048"/>
      <c r="MW68" s="1048"/>
      <c r="MX68" s="1048"/>
      <c r="MY68" s="1048"/>
      <c r="MZ68" s="1048"/>
      <c r="NA68" s="1048"/>
      <c r="NB68" s="1048"/>
      <c r="NC68" s="1048"/>
      <c r="ND68" s="1048"/>
      <c r="NE68" s="1048"/>
    </row>
    <row r="69" customFormat="1" ht="14.5" spans="1:369">
      <c r="A69" s="932" t="s">
        <v>148</v>
      </c>
      <c r="B69" s="939" t="str">
        <f>IF(OR(A69="说服",A69="话术",A69="取悦",A69="恐吓"),"☯",IF(ISNUMBER(SEARCH(A69,VLOOKUP(IX$2,职业列表!$B$1:$G$370,6,0))),"★",""))</f>
        <v/>
      </c>
      <c r="C69" s="939" t="str">
        <f>IF(ISTEXT(IFERROR(VLOOKUP(A69,职业列表!I3:J10,1,FALSE),0)),"★","")</f>
        <v/>
      </c>
      <c r="D69" s="939"/>
      <c r="E69" s="939"/>
      <c r="F69" s="939"/>
      <c r="G69" s="939"/>
      <c r="H69" s="939"/>
      <c r="I69" s="939"/>
      <c r="J69" s="939"/>
      <c r="K69" s="939"/>
      <c r="L69" s="939"/>
      <c r="M69" s="939"/>
      <c r="N69" s="939"/>
      <c r="O69" s="939"/>
      <c r="P69" s="939"/>
      <c r="Q69" s="939"/>
      <c r="R69" s="939"/>
      <c r="S69" s="939"/>
      <c r="T69" s="939"/>
      <c r="U69" s="939"/>
      <c r="V69" s="939"/>
      <c r="W69" s="939"/>
      <c r="X69" s="939"/>
      <c r="Y69" s="939"/>
      <c r="Z69" s="939"/>
      <c r="AA69" s="939"/>
      <c r="AB69" s="939"/>
      <c r="AC69" s="939"/>
      <c r="AD69" s="939"/>
      <c r="AE69" s="939"/>
      <c r="AF69" s="939"/>
      <c r="AG69" s="939"/>
      <c r="AH69" s="939"/>
      <c r="AI69" s="939"/>
      <c r="AJ69" s="939"/>
      <c r="AK69" s="939"/>
      <c r="AL69" s="939"/>
      <c r="AM69" s="939"/>
      <c r="AN69" s="939"/>
      <c r="AO69" s="939"/>
      <c r="AP69" s="939"/>
      <c r="AQ69" s="939"/>
      <c r="AR69" s="939"/>
      <c r="AS69" s="950"/>
      <c r="AT69" s="939"/>
      <c r="AU69" s="939"/>
      <c r="AV69" s="939"/>
      <c r="AW69" s="939"/>
      <c r="AX69" s="939"/>
      <c r="AY69" s="939"/>
      <c r="AZ69" s="939"/>
      <c r="BA69" s="939"/>
      <c r="BB69" s="939"/>
      <c r="BC69" s="939"/>
      <c r="BD69" s="939"/>
      <c r="BE69" s="939"/>
      <c r="BF69" s="939"/>
      <c r="BG69" s="939"/>
      <c r="BH69" s="939"/>
      <c r="BI69" s="939"/>
      <c r="BJ69" s="939"/>
      <c r="BK69" s="939"/>
      <c r="BL69" s="939"/>
      <c r="BM69" s="939"/>
      <c r="BN69" s="939"/>
      <c r="BO69" s="939"/>
      <c r="BP69" s="939"/>
      <c r="BQ69" s="939"/>
      <c r="BR69" s="939"/>
      <c r="BS69" s="939"/>
      <c r="BT69" s="939"/>
      <c r="BU69" s="939"/>
      <c r="BV69" s="939"/>
      <c r="BW69" s="939"/>
      <c r="BX69" s="939"/>
      <c r="BY69" s="939"/>
      <c r="BZ69" s="939"/>
      <c r="CA69" s="939"/>
      <c r="CB69" s="939"/>
      <c r="CC69" s="939"/>
      <c r="CD69" s="939"/>
      <c r="CE69" s="939"/>
      <c r="CF69" s="939"/>
      <c r="CG69" s="939"/>
      <c r="CH69" s="939"/>
      <c r="CI69" s="939"/>
      <c r="CJ69" s="939"/>
      <c r="CK69" s="939"/>
      <c r="CL69" s="939"/>
      <c r="CM69" s="939"/>
      <c r="CN69" s="939"/>
      <c r="CO69" s="939"/>
      <c r="CP69" s="939"/>
      <c r="CQ69" s="939"/>
      <c r="CR69" s="939"/>
      <c r="CS69" s="939"/>
      <c r="CT69" s="939"/>
      <c r="CU69" s="939"/>
      <c r="CV69" s="939"/>
      <c r="CW69" s="939"/>
      <c r="CX69" s="939"/>
      <c r="CY69" s="939"/>
      <c r="CZ69" s="939"/>
      <c r="DA69" s="939"/>
      <c r="DB69" s="939"/>
      <c r="DC69" s="939"/>
      <c r="DD69" s="939"/>
      <c r="DE69" s="940"/>
      <c r="DF69" s="939"/>
      <c r="DG69" s="939"/>
      <c r="DH69" s="939"/>
      <c r="DI69" s="939"/>
      <c r="DJ69" s="939"/>
      <c r="DK69" s="939"/>
      <c r="DL69" s="939"/>
      <c r="DM69" s="939"/>
      <c r="DN69" s="939"/>
      <c r="DO69" s="939"/>
      <c r="DP69" s="939"/>
      <c r="DQ69" s="939"/>
      <c r="DR69" s="939"/>
      <c r="DS69" s="939"/>
      <c r="DT69" s="939"/>
      <c r="DU69" s="939"/>
      <c r="DV69" s="939"/>
      <c r="DW69" s="939"/>
      <c r="DX69" s="939"/>
      <c r="DY69" s="939"/>
      <c r="DZ69" s="939"/>
      <c r="EA69" s="939"/>
      <c r="EB69" s="939"/>
      <c r="EC69" s="939"/>
      <c r="ED69" s="939"/>
      <c r="EE69" s="939"/>
      <c r="EF69" s="939"/>
      <c r="EG69" s="939"/>
      <c r="EH69" s="939"/>
      <c r="EI69" s="939"/>
      <c r="EJ69" s="939"/>
      <c r="EK69" s="939"/>
      <c r="EL69" s="939"/>
      <c r="EM69" s="939"/>
      <c r="EN69" s="939"/>
      <c r="EO69" s="939"/>
      <c r="EP69" s="939"/>
      <c r="EQ69" s="939"/>
      <c r="ER69" s="939"/>
      <c r="ES69" s="939"/>
      <c r="ET69" s="939"/>
      <c r="EU69" s="939"/>
      <c r="EV69" s="939"/>
      <c r="EW69" s="939"/>
      <c r="EX69" s="939"/>
      <c r="EY69" s="939"/>
      <c r="EZ69" s="939"/>
      <c r="FA69" s="939"/>
      <c r="FB69" s="939"/>
      <c r="FC69" s="939"/>
      <c r="FD69" s="939"/>
      <c r="FE69" s="939"/>
      <c r="FF69" s="939"/>
      <c r="FG69" s="939"/>
      <c r="FH69" s="939"/>
      <c r="FI69" s="939"/>
      <c r="FJ69" s="939"/>
      <c r="FK69" s="939"/>
      <c r="FL69" s="939"/>
      <c r="FM69" s="939"/>
      <c r="FN69" s="939"/>
      <c r="FO69" s="939"/>
      <c r="FP69" s="939"/>
      <c r="FQ69" s="939"/>
      <c r="FR69" s="939"/>
      <c r="FS69" s="939"/>
      <c r="FT69" s="939"/>
      <c r="FU69" s="939"/>
      <c r="FV69" s="939"/>
      <c r="FW69" s="939"/>
      <c r="FX69" s="939"/>
      <c r="FY69" s="939"/>
      <c r="FZ69" s="939"/>
      <c r="GA69" s="939"/>
      <c r="GB69" s="939"/>
      <c r="GC69" s="939"/>
      <c r="GD69" s="939"/>
      <c r="GE69" s="939"/>
      <c r="GF69" s="939"/>
      <c r="GG69" s="939"/>
      <c r="GH69" s="939"/>
      <c r="GI69" s="939"/>
      <c r="GJ69" s="939"/>
      <c r="GK69" s="939"/>
      <c r="GL69" s="939"/>
      <c r="GM69" s="939"/>
      <c r="GN69" s="939"/>
      <c r="GO69" s="939"/>
      <c r="GP69" s="939"/>
      <c r="GQ69" s="939"/>
      <c r="GR69" s="939"/>
      <c r="GS69" s="939"/>
      <c r="GT69" s="939"/>
      <c r="GU69" s="939"/>
      <c r="GV69" s="939"/>
      <c r="GW69" s="939"/>
      <c r="GX69" s="939"/>
      <c r="GY69" s="939"/>
      <c r="GZ69" s="939"/>
      <c r="HA69" s="939"/>
      <c r="HB69" s="939"/>
      <c r="HC69" s="939"/>
      <c r="HD69" s="939"/>
      <c r="HE69" s="939"/>
      <c r="HF69" s="939"/>
      <c r="HG69" s="939"/>
      <c r="HH69" s="939"/>
      <c r="HI69" s="939"/>
      <c r="HJ69" s="939"/>
      <c r="HK69" s="939"/>
      <c r="HL69" s="939"/>
      <c r="HM69" s="939"/>
      <c r="HN69" s="939"/>
      <c r="HO69" s="939"/>
      <c r="HP69" s="939"/>
      <c r="HQ69" s="939"/>
      <c r="HR69" s="939"/>
      <c r="HS69" s="939"/>
      <c r="HT69" s="939"/>
      <c r="HU69" s="939"/>
      <c r="HV69" s="939"/>
      <c r="HW69" s="939"/>
      <c r="HX69" s="990"/>
      <c r="HY69" s="1012"/>
      <c r="HZ69" s="1012"/>
      <c r="IA69" s="1012"/>
      <c r="IB69" s="1012"/>
      <c r="IC69" s="1013"/>
      <c r="ID69" s="1013"/>
      <c r="IE69" s="1012"/>
      <c r="IF69" s="1012"/>
      <c r="IG69" s="1012"/>
      <c r="IH69" s="1012"/>
      <c r="II69" s="1012"/>
      <c r="IJ69" s="1012"/>
      <c r="IK69" s="1084"/>
      <c r="IL69" s="1084"/>
      <c r="IM69" s="1084"/>
      <c r="IN69" s="1084"/>
      <c r="IO69" s="1084"/>
      <c r="IP69" s="1084"/>
      <c r="IQ69" s="1084"/>
      <c r="IR69" s="1084"/>
      <c r="IS69" s="1084"/>
      <c r="IT69" s="1084"/>
      <c r="IU69" s="1084"/>
      <c r="IV69" s="1084"/>
      <c r="IW69" s="1048"/>
      <c r="IX69" s="1048"/>
      <c r="IY69" s="1048"/>
      <c r="IZ69" s="1048"/>
      <c r="JA69" s="1048"/>
      <c r="JB69" s="1048"/>
      <c r="JC69" s="1048"/>
      <c r="JD69" s="1048"/>
      <c r="JE69" s="1048"/>
      <c r="JF69" s="1048"/>
      <c r="JG69" s="1048"/>
      <c r="JH69" s="1048"/>
      <c r="JI69" s="1048"/>
      <c r="JJ69" s="1048"/>
      <c r="JK69" s="1048"/>
      <c r="JL69" s="1048"/>
      <c r="JM69" s="1048"/>
      <c r="JN69" s="1048"/>
      <c r="JO69" s="1048"/>
      <c r="JP69" s="1048"/>
      <c r="JQ69" s="1048"/>
      <c r="JR69" s="1048"/>
      <c r="JS69" s="1048"/>
      <c r="JT69" s="1048"/>
      <c r="JU69" s="1048"/>
      <c r="JV69" s="1048"/>
      <c r="JW69" s="1048"/>
      <c r="JX69" s="1048"/>
      <c r="JY69" s="1048"/>
      <c r="JZ69" s="1048"/>
      <c r="KA69" s="1048"/>
      <c r="KB69" s="1048"/>
      <c r="KC69" s="1048"/>
      <c r="KD69" s="1048"/>
      <c r="KE69" s="1048"/>
      <c r="KF69" s="1048"/>
      <c r="KG69" s="1048"/>
      <c r="KH69" s="1048"/>
      <c r="KI69" s="1048"/>
      <c r="KJ69" s="1048"/>
      <c r="KK69" s="1048"/>
      <c r="KL69" s="1048"/>
      <c r="KM69" s="1048"/>
      <c r="KN69" s="1048"/>
      <c r="KO69" s="1048"/>
      <c r="KP69" s="1048"/>
      <c r="KQ69" s="1048"/>
      <c r="KR69" s="1048"/>
      <c r="KS69" s="1048"/>
      <c r="KT69" s="1048"/>
      <c r="KU69" s="1048"/>
      <c r="KV69" s="1048"/>
      <c r="KW69" s="1048"/>
      <c r="KX69" s="1048"/>
      <c r="KY69" s="1048"/>
      <c r="KZ69" s="1048"/>
      <c r="LA69" s="1048"/>
      <c r="LB69" s="1048"/>
      <c r="LC69" s="1048"/>
      <c r="LD69" s="1048"/>
      <c r="LE69" s="1048"/>
      <c r="LF69" s="1048"/>
      <c r="LG69" s="1048"/>
      <c r="LH69" s="1048"/>
      <c r="LI69" s="1048"/>
      <c r="LJ69" s="1048"/>
      <c r="LK69" s="1048"/>
      <c r="LL69" s="1048"/>
      <c r="LM69" s="1048"/>
      <c r="LN69" s="1048"/>
      <c r="LO69" s="1048"/>
      <c r="LP69" s="1048"/>
      <c r="LQ69" s="1048"/>
      <c r="LR69" s="1048"/>
      <c r="LS69" s="1048"/>
      <c r="LT69" s="1048"/>
      <c r="LU69" s="1048"/>
      <c r="LV69" s="1048"/>
      <c r="LW69" s="1048"/>
      <c r="LX69" s="1048"/>
      <c r="LY69" s="1048"/>
      <c r="LZ69" s="1048"/>
      <c r="MA69" s="1048"/>
      <c r="MB69" s="1048"/>
      <c r="MC69" s="1048"/>
      <c r="MD69" s="1048"/>
      <c r="ME69" s="1048"/>
      <c r="MF69" s="1048"/>
      <c r="MG69" s="1048"/>
      <c r="MH69" s="1048"/>
      <c r="MI69" s="1048"/>
      <c r="MJ69" s="1048"/>
      <c r="MK69" s="1048"/>
      <c r="ML69" s="1048"/>
      <c r="MM69" s="1048"/>
      <c r="MN69" s="1048"/>
      <c r="MO69" s="1048"/>
      <c r="MP69" s="1048"/>
      <c r="MQ69" s="1048"/>
      <c r="MR69" s="1048"/>
      <c r="MS69" s="1048"/>
      <c r="MT69" s="1048"/>
      <c r="MU69" s="1048"/>
      <c r="MV69" s="1048"/>
      <c r="MW69" s="1048"/>
      <c r="MX69" s="1048"/>
      <c r="MY69" s="1048"/>
      <c r="MZ69" s="1048"/>
      <c r="NA69" s="1048"/>
      <c r="NB69" s="1048"/>
      <c r="NC69" s="1048"/>
      <c r="ND69" s="1048"/>
      <c r="NE69" s="1048"/>
    </row>
    <row r="70" customFormat="1" ht="14.5" spans="1:369">
      <c r="A70" s="932" t="s">
        <v>151</v>
      </c>
      <c r="B70" s="950" t="str">
        <f>IF(OR(A70="说服",A70="话术",A70="取悦",A70="恐吓"),"☯",IF(ISNUMBER(SEARCH(A70,VLOOKUP(IX$2,职业列表!$B$1:$G$370,6,0))),"★",""))</f>
        <v/>
      </c>
      <c r="C70" s="950" t="str">
        <f>IF(ISTEXT(IFERROR(VLOOKUP(A70,职业列表!I3:J10,1,FALSE),0)),"★","")</f>
        <v/>
      </c>
      <c r="D70" s="950"/>
      <c r="E70" s="950"/>
      <c r="F70" s="950"/>
      <c r="G70" s="950"/>
      <c r="H70" s="950"/>
      <c r="I70" s="950"/>
      <c r="J70" s="950"/>
      <c r="K70" s="950"/>
      <c r="L70" s="950"/>
      <c r="M70" s="950"/>
      <c r="N70" s="950"/>
      <c r="O70" s="950"/>
      <c r="P70" s="950"/>
      <c r="Q70" s="950"/>
      <c r="R70" s="950"/>
      <c r="S70" s="950"/>
      <c r="T70" s="950"/>
      <c r="U70" s="950"/>
      <c r="V70" s="950"/>
      <c r="W70" s="950"/>
      <c r="X70" s="950"/>
      <c r="Y70" s="950"/>
      <c r="Z70" s="950"/>
      <c r="AA70" s="950"/>
      <c r="AB70" s="950"/>
      <c r="AC70" s="950"/>
      <c r="AD70" s="950"/>
      <c r="AE70" s="950"/>
      <c r="AF70" s="950"/>
      <c r="AG70" s="950"/>
      <c r="AH70" s="950"/>
      <c r="AI70" s="950"/>
      <c r="AJ70" s="950"/>
      <c r="AK70" s="950"/>
      <c r="AL70" s="950"/>
      <c r="AM70" s="950"/>
      <c r="AN70" s="950"/>
      <c r="AO70" s="950"/>
      <c r="AP70" s="940" t="s">
        <v>74</v>
      </c>
      <c r="AQ70" s="950"/>
      <c r="AR70" s="950"/>
      <c r="AS70" s="950"/>
      <c r="AT70" s="950"/>
      <c r="AU70" s="950"/>
      <c r="AV70" s="950"/>
      <c r="AW70" s="950"/>
      <c r="AX70" s="950"/>
      <c r="AY70" s="950"/>
      <c r="AZ70" s="950"/>
      <c r="BA70" s="950"/>
      <c r="BB70" s="950"/>
      <c r="BC70" s="950"/>
      <c r="BD70" s="950"/>
      <c r="BE70" s="950"/>
      <c r="BF70" s="950"/>
      <c r="BG70" s="950"/>
      <c r="BH70" s="950"/>
      <c r="BI70" s="950"/>
      <c r="BJ70" s="950"/>
      <c r="BK70" s="950"/>
      <c r="BL70" s="950"/>
      <c r="BM70" s="950"/>
      <c r="BN70" s="950"/>
      <c r="BO70" s="950"/>
      <c r="BP70" s="950"/>
      <c r="BQ70" s="950"/>
      <c r="BR70" s="950"/>
      <c r="BS70" s="950"/>
      <c r="BT70" s="950"/>
      <c r="BU70" s="950"/>
      <c r="BV70" s="950"/>
      <c r="BW70" s="950"/>
      <c r="BX70" s="950"/>
      <c r="BY70" s="950"/>
      <c r="BZ70" s="950"/>
      <c r="CA70" s="950"/>
      <c r="CB70" s="950"/>
      <c r="CC70" s="950"/>
      <c r="CD70" s="950"/>
      <c r="CE70" s="950"/>
      <c r="CF70" s="950"/>
      <c r="CG70" s="950"/>
      <c r="CH70" s="950"/>
      <c r="CI70" s="950"/>
      <c r="CJ70" s="950"/>
      <c r="CK70" s="950"/>
      <c r="CL70" s="950"/>
      <c r="CM70" s="950"/>
      <c r="CN70" s="950"/>
      <c r="CO70" s="950"/>
      <c r="CP70" s="950"/>
      <c r="CQ70" s="950"/>
      <c r="CR70" s="950"/>
      <c r="CS70" s="950"/>
      <c r="CT70" s="950"/>
      <c r="CU70" s="950"/>
      <c r="CV70" s="950"/>
      <c r="CW70" s="950"/>
      <c r="CX70" s="950"/>
      <c r="CY70" s="950"/>
      <c r="CZ70" s="950"/>
      <c r="DA70" s="950"/>
      <c r="DB70" s="950"/>
      <c r="DC70" s="950"/>
      <c r="DD70" s="950"/>
      <c r="DE70" s="950"/>
      <c r="DF70" s="950"/>
      <c r="DG70" s="950"/>
      <c r="DH70" s="950"/>
      <c r="DI70" s="950"/>
      <c r="DJ70" s="950"/>
      <c r="DK70" s="950"/>
      <c r="DL70" s="950"/>
      <c r="DM70" s="950"/>
      <c r="DN70" s="950"/>
      <c r="DO70" s="950"/>
      <c r="DP70" s="950"/>
      <c r="DQ70" s="950"/>
      <c r="DR70" s="950"/>
      <c r="DS70" s="950"/>
      <c r="DT70" s="950"/>
      <c r="DU70" s="950"/>
      <c r="DV70" s="950"/>
      <c r="DW70" s="950"/>
      <c r="DX70" s="950"/>
      <c r="DY70" s="950"/>
      <c r="DZ70" s="950"/>
      <c r="EA70" s="950"/>
      <c r="EB70" s="950"/>
      <c r="EC70" s="950"/>
      <c r="ED70" s="950"/>
      <c r="EE70" s="950"/>
      <c r="EF70" s="950"/>
      <c r="EG70" s="950"/>
      <c r="EH70" s="950"/>
      <c r="EI70" s="950"/>
      <c r="EJ70" s="950"/>
      <c r="EK70" s="950"/>
      <c r="EL70" s="950"/>
      <c r="EM70" s="950"/>
      <c r="EN70" s="950"/>
      <c r="EO70" s="950"/>
      <c r="EP70" s="950"/>
      <c r="EQ70" s="950"/>
      <c r="ER70" s="950"/>
      <c r="ES70" s="950"/>
      <c r="ET70" s="950"/>
      <c r="EU70" s="950"/>
      <c r="EV70" s="950"/>
      <c r="EW70" s="950"/>
      <c r="EX70" s="950"/>
      <c r="EY70" s="950"/>
      <c r="EZ70" s="950"/>
      <c r="FA70" s="950"/>
      <c r="FB70" s="950"/>
      <c r="FC70" s="950"/>
      <c r="FD70" s="950"/>
      <c r="FE70" s="950"/>
      <c r="FF70" s="950"/>
      <c r="FG70" s="950"/>
      <c r="FH70" s="950"/>
      <c r="FI70" s="950"/>
      <c r="FJ70" s="950"/>
      <c r="FK70" s="950"/>
      <c r="FL70" s="950"/>
      <c r="FM70" s="950"/>
      <c r="FN70" s="950"/>
      <c r="FO70" s="950"/>
      <c r="FP70" s="950"/>
      <c r="FQ70" s="950"/>
      <c r="FR70" s="950"/>
      <c r="FS70" s="950"/>
      <c r="FT70" s="950"/>
      <c r="FU70" s="950"/>
      <c r="FV70" s="950"/>
      <c r="FW70" s="950"/>
      <c r="FX70" s="950"/>
      <c r="FY70" s="950"/>
      <c r="FZ70" s="950"/>
      <c r="GA70" s="950"/>
      <c r="GB70" s="950"/>
      <c r="GC70" s="950"/>
      <c r="GD70" s="950"/>
      <c r="GE70" s="950"/>
      <c r="GF70" s="950"/>
      <c r="GG70" s="950"/>
      <c r="GH70" s="950"/>
      <c r="GI70" s="950"/>
      <c r="GJ70" s="950"/>
      <c r="GK70" s="950"/>
      <c r="GL70" s="950"/>
      <c r="GM70" s="950"/>
      <c r="GN70" s="950"/>
      <c r="GO70" s="950"/>
      <c r="GP70" s="950"/>
      <c r="GQ70" s="950"/>
      <c r="GR70" s="950"/>
      <c r="GS70" s="950"/>
      <c r="GT70" s="950"/>
      <c r="GU70" s="950"/>
      <c r="GV70" s="950"/>
      <c r="GW70" s="950"/>
      <c r="GX70" s="950"/>
      <c r="GY70" s="950"/>
      <c r="GZ70" s="950"/>
      <c r="HA70" s="950"/>
      <c r="HB70" s="950"/>
      <c r="HC70" s="950"/>
      <c r="HD70" s="950"/>
      <c r="HE70" s="950"/>
      <c r="HF70" s="950"/>
      <c r="HG70" s="950"/>
      <c r="HH70" s="950"/>
      <c r="HI70" s="950"/>
      <c r="HJ70" s="950"/>
      <c r="HK70" s="950"/>
      <c r="HL70" s="950"/>
      <c r="HM70" s="950"/>
      <c r="HN70" s="950"/>
      <c r="HO70" s="950"/>
      <c r="HP70" s="950"/>
      <c r="HQ70" s="950"/>
      <c r="HR70" s="950"/>
      <c r="HS70" s="950"/>
      <c r="HT70" s="950"/>
      <c r="HU70" s="950"/>
      <c r="HV70" s="950"/>
      <c r="HW70" s="950"/>
      <c r="HX70" s="1075"/>
      <c r="HY70" s="929"/>
      <c r="HZ70" s="929"/>
      <c r="IA70" s="929"/>
      <c r="IB70" s="929"/>
      <c r="IC70" s="1011"/>
      <c r="ID70" s="1011"/>
      <c r="IE70" s="929"/>
      <c r="IF70" s="929"/>
      <c r="IG70" s="929"/>
      <c r="IH70" s="929"/>
      <c r="II70" s="929"/>
      <c r="IJ70" s="929"/>
      <c r="IK70" s="1048"/>
      <c r="IL70" s="1048"/>
      <c r="IM70" s="1048"/>
      <c r="IN70" s="1048"/>
      <c r="IO70" s="1048"/>
      <c r="IP70" s="1048"/>
      <c r="IQ70" s="1048"/>
      <c r="IR70" s="1048"/>
      <c r="IS70" s="1048"/>
      <c r="IT70" s="1048"/>
      <c r="IU70" s="1048"/>
      <c r="IV70" s="1048"/>
      <c r="IW70" s="1048"/>
      <c r="IX70" s="1048"/>
      <c r="IY70" s="1048"/>
      <c r="IZ70" s="1048"/>
      <c r="JA70" s="1048"/>
      <c r="JB70" s="1048"/>
      <c r="JC70" s="1048"/>
      <c r="JD70" s="1048"/>
      <c r="JE70" s="1048"/>
      <c r="JF70" s="1048"/>
      <c r="JG70" s="1048"/>
      <c r="JH70" s="1048"/>
      <c r="JI70" s="1048"/>
      <c r="JJ70" s="1048"/>
      <c r="JK70" s="1048"/>
      <c r="JL70" s="1048"/>
      <c r="JM70" s="1048"/>
      <c r="JN70" s="1048"/>
      <c r="JO70" s="1048"/>
      <c r="JP70" s="1048"/>
      <c r="JQ70" s="1048"/>
      <c r="JR70" s="1048"/>
      <c r="JS70" s="1048"/>
      <c r="JT70" s="1048"/>
      <c r="JU70" s="1048"/>
      <c r="JV70" s="1048"/>
      <c r="JW70" s="1048"/>
      <c r="JX70" s="1048"/>
      <c r="JY70" s="1048"/>
      <c r="JZ70" s="1048"/>
      <c r="KA70" s="1048"/>
      <c r="KB70" s="1048"/>
      <c r="KC70" s="1048"/>
      <c r="KD70" s="1048"/>
      <c r="KE70" s="1048"/>
      <c r="KF70" s="1048"/>
      <c r="KG70" s="1048"/>
      <c r="KH70" s="1048"/>
      <c r="KI70" s="1048"/>
      <c r="KJ70" s="1048"/>
      <c r="KK70" s="1048"/>
      <c r="KL70" s="1048"/>
      <c r="KM70" s="1048"/>
      <c r="KN70" s="1048"/>
      <c r="KO70" s="1048"/>
      <c r="KP70" s="1048"/>
      <c r="KQ70" s="1048"/>
      <c r="KR70" s="1048"/>
      <c r="KS70" s="1048"/>
      <c r="KT70" s="1048"/>
      <c r="KU70" s="1048"/>
      <c r="KV70" s="1048"/>
      <c r="KW70" s="1048"/>
      <c r="KX70" s="1048"/>
      <c r="KY70" s="1048"/>
      <c r="KZ70" s="1048"/>
      <c r="LA70" s="1048"/>
      <c r="LB70" s="1048"/>
      <c r="LC70" s="1048"/>
      <c r="LD70" s="1048"/>
      <c r="LE70" s="1048"/>
      <c r="LF70" s="1048"/>
      <c r="LG70" s="1048"/>
      <c r="LH70" s="1048"/>
      <c r="LI70" s="1048"/>
      <c r="LJ70" s="1048"/>
      <c r="LK70" s="1048"/>
      <c r="LL70" s="1048"/>
      <c r="LM70" s="1048"/>
      <c r="LN70" s="1048"/>
      <c r="LO70" s="1048"/>
      <c r="LP70" s="1048"/>
      <c r="LQ70" s="1048"/>
      <c r="LR70" s="1048"/>
      <c r="LS70" s="1048"/>
      <c r="LT70" s="1048"/>
      <c r="LU70" s="1048"/>
      <c r="LV70" s="1048"/>
      <c r="LW70" s="1048"/>
      <c r="LX70" s="1048"/>
      <c r="LY70" s="1048"/>
      <c r="LZ70" s="1048"/>
      <c r="MA70" s="1048"/>
      <c r="MB70" s="1048"/>
      <c r="MC70" s="1048"/>
      <c r="MD70" s="1048"/>
      <c r="ME70" s="1048"/>
      <c r="MF70" s="1048"/>
      <c r="MG70" s="1048"/>
      <c r="MH70" s="1048"/>
      <c r="MI70" s="1048"/>
      <c r="MJ70" s="1048"/>
      <c r="MK70" s="1048"/>
      <c r="ML70" s="1048"/>
      <c r="MM70" s="1048"/>
      <c r="MN70" s="1048"/>
      <c r="MO70" s="1048"/>
      <c r="MP70" s="1048"/>
      <c r="MQ70" s="1048"/>
      <c r="MR70" s="1048"/>
      <c r="MS70" s="1048"/>
      <c r="MT70" s="1048"/>
      <c r="MU70" s="1048"/>
      <c r="MV70" s="1048"/>
      <c r="MW70" s="1048"/>
      <c r="MX70" s="1048"/>
      <c r="MY70" s="1048"/>
      <c r="MZ70" s="1048"/>
      <c r="NA70" s="1048"/>
      <c r="NB70" s="1048"/>
      <c r="NC70" s="1048"/>
      <c r="ND70" s="1048"/>
      <c r="NE70" s="1048"/>
    </row>
    <row r="71" customFormat="1" ht="14.5" spans="1:369">
      <c r="A71" s="932" t="s">
        <v>154</v>
      </c>
      <c r="B71" s="950" t="str">
        <f>IF(OR(A71="说服",A71="话术",A71="取悦",A71="恐吓"),"☯",IF(ISNUMBER(SEARCH(A71,VLOOKUP(IX$2,职业列表!$B$1:$G$370,6,0))),"★",""))</f>
        <v/>
      </c>
      <c r="C71" s="950" t="str">
        <f>IF(ISTEXT(IFERROR(VLOOKUP(A71,职业列表!I3:J10,1,FALSE),0)),"★","")</f>
        <v/>
      </c>
      <c r="D71" s="950"/>
      <c r="E71" s="950"/>
      <c r="F71" s="950"/>
      <c r="G71" s="950"/>
      <c r="H71" s="950"/>
      <c r="I71" s="950"/>
      <c r="J71" s="950"/>
      <c r="K71" s="950"/>
      <c r="L71" s="950"/>
      <c r="M71" s="950"/>
      <c r="N71" s="950"/>
      <c r="O71" s="950"/>
      <c r="P71" s="950"/>
      <c r="Q71" s="950"/>
      <c r="R71" s="950"/>
      <c r="S71" s="950"/>
      <c r="T71" s="950"/>
      <c r="U71" s="950"/>
      <c r="V71" s="950"/>
      <c r="W71" s="950"/>
      <c r="X71" s="950"/>
      <c r="Y71" s="950"/>
      <c r="Z71" s="950"/>
      <c r="AA71" s="950"/>
      <c r="AB71" s="950"/>
      <c r="AC71" s="950"/>
      <c r="AD71" s="950"/>
      <c r="AE71" s="950"/>
      <c r="AF71" s="950"/>
      <c r="AG71" s="950"/>
      <c r="AH71" s="950"/>
      <c r="AI71" s="950"/>
      <c r="AJ71" s="950"/>
      <c r="AK71" s="950"/>
      <c r="AL71" s="950"/>
      <c r="AM71" s="950"/>
      <c r="AN71" s="950"/>
      <c r="AO71" s="950"/>
      <c r="AP71" s="950"/>
      <c r="AQ71" s="950"/>
      <c r="AR71" s="950"/>
      <c r="AS71" s="950"/>
      <c r="AT71" s="950"/>
      <c r="AU71" s="950"/>
      <c r="AV71" s="950"/>
      <c r="AW71" s="950"/>
      <c r="AX71" s="950"/>
      <c r="AY71" s="950"/>
      <c r="AZ71" s="950"/>
      <c r="BA71" s="950"/>
      <c r="BB71" s="950"/>
      <c r="BC71" s="950"/>
      <c r="BD71" s="950"/>
      <c r="BE71" s="950"/>
      <c r="BF71" s="950"/>
      <c r="BG71" s="950"/>
      <c r="BH71" s="950"/>
      <c r="BI71" s="950"/>
      <c r="BJ71" s="950"/>
      <c r="BK71" s="950"/>
      <c r="BL71" s="950"/>
      <c r="BM71" s="950"/>
      <c r="BN71" s="950"/>
      <c r="BO71" s="950"/>
      <c r="BP71" s="950"/>
      <c r="BQ71" s="950"/>
      <c r="BR71" s="950"/>
      <c r="BS71" s="950"/>
      <c r="BT71" s="950"/>
      <c r="BU71" s="950"/>
      <c r="BV71" s="950"/>
      <c r="BW71" s="950"/>
      <c r="BX71" s="950"/>
      <c r="BY71" s="950"/>
      <c r="BZ71" s="950"/>
      <c r="CA71" s="950"/>
      <c r="CB71" s="950"/>
      <c r="CC71" s="950"/>
      <c r="CD71" s="950"/>
      <c r="CE71" s="950"/>
      <c r="CF71" s="950"/>
      <c r="CG71" s="950"/>
      <c r="CH71" s="950"/>
      <c r="CI71" s="950"/>
      <c r="CJ71" s="950"/>
      <c r="CK71" s="950"/>
      <c r="CL71" s="950"/>
      <c r="CM71" s="950"/>
      <c r="CN71" s="950"/>
      <c r="CO71" s="950"/>
      <c r="CP71" s="950"/>
      <c r="CQ71" s="950"/>
      <c r="CR71" s="950"/>
      <c r="CS71" s="950"/>
      <c r="CT71" s="950"/>
      <c r="CU71" s="950"/>
      <c r="CV71" s="950"/>
      <c r="CW71" s="950"/>
      <c r="CX71" s="950"/>
      <c r="CY71" s="950"/>
      <c r="CZ71" s="950"/>
      <c r="DA71" s="950"/>
      <c r="DB71" s="950"/>
      <c r="DC71" s="950"/>
      <c r="DD71" s="950"/>
      <c r="DE71" s="950"/>
      <c r="DF71" s="950"/>
      <c r="DG71" s="950"/>
      <c r="DH71" s="950"/>
      <c r="DI71" s="950"/>
      <c r="DJ71" s="950"/>
      <c r="DK71" s="950"/>
      <c r="DL71" s="950"/>
      <c r="DM71" s="950"/>
      <c r="DN71" s="950"/>
      <c r="DO71" s="950"/>
      <c r="DP71" s="950"/>
      <c r="DQ71" s="950"/>
      <c r="DR71" s="950"/>
      <c r="DS71" s="950"/>
      <c r="DT71" s="950"/>
      <c r="DU71" s="950"/>
      <c r="DV71" s="950"/>
      <c r="DW71" s="950"/>
      <c r="DX71" s="950"/>
      <c r="DY71" s="950"/>
      <c r="DZ71" s="950"/>
      <c r="EA71" s="950"/>
      <c r="EB71" s="950"/>
      <c r="EC71" s="950"/>
      <c r="ED71" s="950"/>
      <c r="EE71" s="950"/>
      <c r="EF71" s="950"/>
      <c r="EG71" s="950"/>
      <c r="EH71" s="950"/>
      <c r="EI71" s="950"/>
      <c r="EJ71" s="950"/>
      <c r="EK71" s="950"/>
      <c r="EL71" s="950"/>
      <c r="EM71" s="950"/>
      <c r="EN71" s="950"/>
      <c r="EO71" s="950"/>
      <c r="EP71" s="950"/>
      <c r="EQ71" s="950"/>
      <c r="ER71" s="950"/>
      <c r="ES71" s="950"/>
      <c r="ET71" s="950"/>
      <c r="EU71" s="950"/>
      <c r="EV71" s="950"/>
      <c r="EW71" s="950"/>
      <c r="EX71" s="950"/>
      <c r="EY71" s="950"/>
      <c r="EZ71" s="950"/>
      <c r="FA71" s="950"/>
      <c r="FB71" s="950"/>
      <c r="FC71" s="950"/>
      <c r="FD71" s="950"/>
      <c r="FE71" s="950"/>
      <c r="FF71" s="950"/>
      <c r="FG71" s="950"/>
      <c r="FH71" s="950"/>
      <c r="FI71" s="950"/>
      <c r="FJ71" s="950"/>
      <c r="FK71" s="950"/>
      <c r="FL71" s="950"/>
      <c r="FM71" s="950"/>
      <c r="FN71" s="950"/>
      <c r="FO71" s="950"/>
      <c r="FP71" s="950"/>
      <c r="FQ71" s="950"/>
      <c r="FR71" s="950"/>
      <c r="FS71" s="950"/>
      <c r="FT71" s="950"/>
      <c r="FU71" s="950"/>
      <c r="FV71" s="950"/>
      <c r="FW71" s="950"/>
      <c r="FX71" s="950"/>
      <c r="FY71" s="950"/>
      <c r="FZ71" s="950"/>
      <c r="GA71" s="950"/>
      <c r="GB71" s="950"/>
      <c r="GC71" s="950"/>
      <c r="GD71" s="950"/>
      <c r="GE71" s="950"/>
      <c r="GF71" s="950"/>
      <c r="GG71" s="950"/>
      <c r="GH71" s="950"/>
      <c r="GI71" s="950"/>
      <c r="GJ71" s="950"/>
      <c r="GK71" s="950"/>
      <c r="GL71" s="950"/>
      <c r="GM71" s="950"/>
      <c r="GN71" s="950"/>
      <c r="GO71" s="950"/>
      <c r="GP71" s="950"/>
      <c r="GQ71" s="950"/>
      <c r="GR71" s="950"/>
      <c r="GS71" s="950"/>
      <c r="GT71" s="950"/>
      <c r="GU71" s="950"/>
      <c r="GV71" s="950"/>
      <c r="GW71" s="950"/>
      <c r="GX71" s="950"/>
      <c r="GY71" s="950"/>
      <c r="GZ71" s="950"/>
      <c r="HA71" s="950"/>
      <c r="HB71" s="950"/>
      <c r="HC71" s="950"/>
      <c r="HD71" s="950"/>
      <c r="HE71" s="950"/>
      <c r="HF71" s="950"/>
      <c r="HG71" s="950"/>
      <c r="HH71" s="950"/>
      <c r="HI71" s="950"/>
      <c r="HJ71" s="950"/>
      <c r="HK71" s="950"/>
      <c r="HL71" s="950"/>
      <c r="HM71" s="950"/>
      <c r="HN71" s="950"/>
      <c r="HO71" s="950"/>
      <c r="HP71" s="950"/>
      <c r="HQ71" s="950"/>
      <c r="HR71" s="950"/>
      <c r="HS71" s="950"/>
      <c r="HT71" s="950"/>
      <c r="HU71" s="950"/>
      <c r="HV71" s="950"/>
      <c r="HW71" s="950"/>
      <c r="HX71" s="1075"/>
      <c r="HY71" s="929"/>
      <c r="HZ71" s="929"/>
      <c r="IA71" s="929"/>
      <c r="IB71" s="929"/>
      <c r="IC71" s="1011"/>
      <c r="ID71" s="1011"/>
      <c r="IE71" s="929"/>
      <c r="IF71" s="929"/>
      <c r="IG71" s="929"/>
      <c r="IH71" s="929"/>
      <c r="II71" s="929"/>
      <c r="IJ71" s="929"/>
      <c r="IK71" s="1048"/>
      <c r="IL71" s="1048"/>
      <c r="IM71" s="1048"/>
      <c r="IN71" s="1048"/>
      <c r="IO71" s="1048"/>
      <c r="IP71" s="1048"/>
      <c r="IQ71" s="1048"/>
      <c r="IR71" s="1048"/>
      <c r="IS71" s="1048"/>
      <c r="IT71" s="1048"/>
      <c r="IU71" s="1048"/>
      <c r="IV71" s="1048"/>
      <c r="IW71" s="1048"/>
      <c r="IX71" s="1048"/>
      <c r="IY71" s="1048"/>
      <c r="IZ71" s="1048"/>
      <c r="JA71" s="1048"/>
      <c r="JB71" s="1048"/>
      <c r="JC71" s="1048"/>
      <c r="JD71" s="1048"/>
      <c r="JE71" s="1048"/>
      <c r="JF71" s="1048"/>
      <c r="JG71" s="1048"/>
      <c r="JH71" s="1048"/>
      <c r="JI71" s="1048"/>
      <c r="JJ71" s="1048"/>
      <c r="JK71" s="1048"/>
      <c r="JL71" s="1048"/>
      <c r="JM71" s="1048"/>
      <c r="JN71" s="1048"/>
      <c r="JO71" s="1048"/>
      <c r="JP71" s="1048"/>
      <c r="JQ71" s="1048"/>
      <c r="JR71" s="1048"/>
      <c r="JS71" s="1048"/>
      <c r="JT71" s="1048"/>
      <c r="JU71" s="1048"/>
      <c r="JV71" s="1048"/>
      <c r="JW71" s="1048"/>
      <c r="JX71" s="1048"/>
      <c r="JY71" s="1048"/>
      <c r="JZ71" s="1048"/>
      <c r="KA71" s="1048"/>
      <c r="KB71" s="1048"/>
      <c r="KC71" s="1048"/>
      <c r="KD71" s="1048"/>
      <c r="KE71" s="1048"/>
      <c r="KF71" s="1048"/>
      <c r="KG71" s="1048"/>
      <c r="KH71" s="1048"/>
      <c r="KI71" s="1048"/>
      <c r="KJ71" s="1048"/>
      <c r="KK71" s="1048"/>
      <c r="KL71" s="1048"/>
      <c r="KM71" s="1048"/>
      <c r="KN71" s="1048"/>
      <c r="KO71" s="1048"/>
      <c r="KP71" s="1048"/>
      <c r="KQ71" s="1048"/>
      <c r="KR71" s="1048"/>
      <c r="KS71" s="1048"/>
      <c r="KT71" s="1048"/>
      <c r="KU71" s="1048"/>
      <c r="KV71" s="1048"/>
      <c r="KW71" s="1048"/>
      <c r="KX71" s="1048"/>
      <c r="KY71" s="1048"/>
      <c r="KZ71" s="1048"/>
      <c r="LA71" s="1048"/>
      <c r="LB71" s="1048"/>
      <c r="LC71" s="1048"/>
      <c r="LD71" s="1048"/>
      <c r="LE71" s="1048"/>
      <c r="LF71" s="1048"/>
      <c r="LG71" s="1048"/>
      <c r="LH71" s="1048"/>
      <c r="LI71" s="1048"/>
      <c r="LJ71" s="1048"/>
      <c r="LK71" s="1048"/>
      <c r="LL71" s="1048"/>
      <c r="LM71" s="1048"/>
      <c r="LN71" s="1048"/>
      <c r="LO71" s="1048"/>
      <c r="LP71" s="1048"/>
      <c r="LQ71" s="1048"/>
      <c r="LR71" s="1048"/>
      <c r="LS71" s="1048"/>
      <c r="LT71" s="1048"/>
      <c r="LU71" s="1048"/>
      <c r="LV71" s="1048"/>
      <c r="LW71" s="1048"/>
      <c r="LX71" s="1048"/>
      <c r="LY71" s="1048"/>
      <c r="LZ71" s="1048"/>
      <c r="MA71" s="1048"/>
      <c r="MB71" s="1048"/>
      <c r="MC71" s="1048"/>
      <c r="MD71" s="1048"/>
      <c r="ME71" s="1048"/>
      <c r="MF71" s="1048"/>
      <c r="MG71" s="1048"/>
      <c r="MH71" s="1048"/>
      <c r="MI71" s="1048"/>
      <c r="MJ71" s="1048"/>
      <c r="MK71" s="1048"/>
      <c r="ML71" s="1048"/>
      <c r="MM71" s="1048"/>
      <c r="MN71" s="1048"/>
      <c r="MO71" s="1048"/>
      <c r="MP71" s="1048"/>
      <c r="MQ71" s="1048"/>
      <c r="MR71" s="1048"/>
      <c r="MS71" s="1048"/>
      <c r="MT71" s="1048"/>
      <c r="MU71" s="1048"/>
      <c r="MV71" s="1048"/>
      <c r="MW71" s="1048"/>
      <c r="MX71" s="1048"/>
      <c r="MY71" s="1048"/>
      <c r="MZ71" s="1048"/>
      <c r="NA71" s="1048"/>
      <c r="NB71" s="1048"/>
      <c r="NC71" s="1048"/>
      <c r="ND71" s="1048"/>
      <c r="NE71" s="1048"/>
    </row>
    <row r="72" customFormat="1" ht="14.5" spans="1:369">
      <c r="A72" s="932" t="s">
        <v>157</v>
      </c>
      <c r="B72" s="950" t="str">
        <f>IF(OR(A72="说服",A72="话术",A72="取悦",A72="恐吓"),"☯",IF(ISNUMBER(SEARCH(A72,VLOOKUP(IX$2,职业列表!$B$1:$G$370,6,0))),"★",""))</f>
        <v/>
      </c>
      <c r="C72" s="950" t="str">
        <f>IF(ISTEXT(IFERROR(VLOOKUP(A72,职业列表!I3:J10,1,FALSE),0)),"★","")</f>
        <v/>
      </c>
      <c r="D72" s="950"/>
      <c r="E72" s="950"/>
      <c r="F72" s="950"/>
      <c r="G72" s="950"/>
      <c r="H72" s="950"/>
      <c r="I72" s="950"/>
      <c r="J72" s="950"/>
      <c r="K72" s="950"/>
      <c r="L72" s="950"/>
      <c r="M72" s="950"/>
      <c r="N72" s="950"/>
      <c r="O72" s="950"/>
      <c r="P72" s="950"/>
      <c r="Q72" s="950"/>
      <c r="R72" s="950"/>
      <c r="S72" s="950"/>
      <c r="T72" s="950"/>
      <c r="U72" s="950"/>
      <c r="V72" s="950"/>
      <c r="W72" s="950"/>
      <c r="X72" s="950"/>
      <c r="Y72" s="950"/>
      <c r="Z72" s="950"/>
      <c r="AA72" s="950"/>
      <c r="AB72" s="950"/>
      <c r="AC72" s="950"/>
      <c r="AD72" s="950"/>
      <c r="AE72" s="950"/>
      <c r="AF72" s="950"/>
      <c r="AG72" s="950"/>
      <c r="AH72" s="950"/>
      <c r="AI72" s="950"/>
      <c r="AJ72" s="950"/>
      <c r="AK72" s="950"/>
      <c r="AL72" s="950"/>
      <c r="AM72" s="950"/>
      <c r="AN72" s="950"/>
      <c r="AO72" s="950"/>
      <c r="AP72" s="950"/>
      <c r="AQ72" s="950"/>
      <c r="AR72" s="950"/>
      <c r="AS72" s="950"/>
      <c r="AT72" s="950"/>
      <c r="AU72" s="950"/>
      <c r="AV72" s="950"/>
      <c r="AW72" s="950"/>
      <c r="AX72" s="950"/>
      <c r="AY72" s="950"/>
      <c r="AZ72" s="950"/>
      <c r="BA72" s="950"/>
      <c r="BB72" s="950"/>
      <c r="BC72" s="950"/>
      <c r="BD72" s="950"/>
      <c r="BE72" s="950"/>
      <c r="BF72" s="950"/>
      <c r="BG72" s="950"/>
      <c r="BH72" s="950"/>
      <c r="BI72" s="950"/>
      <c r="BJ72" s="950"/>
      <c r="BK72" s="950"/>
      <c r="BL72" s="950"/>
      <c r="BM72" s="950"/>
      <c r="BN72" s="950"/>
      <c r="BO72" s="950"/>
      <c r="BP72" s="950"/>
      <c r="BQ72" s="950"/>
      <c r="BR72" s="950"/>
      <c r="BS72" s="950"/>
      <c r="BT72" s="950"/>
      <c r="BU72" s="950"/>
      <c r="BV72" s="950"/>
      <c r="BW72" s="950"/>
      <c r="BX72" s="950"/>
      <c r="BY72" s="950"/>
      <c r="BZ72" s="950"/>
      <c r="CA72" s="950"/>
      <c r="CB72" s="950"/>
      <c r="CC72" s="950"/>
      <c r="CD72" s="950"/>
      <c r="CE72" s="950"/>
      <c r="CF72" s="950"/>
      <c r="CG72" s="950"/>
      <c r="CH72" s="950"/>
      <c r="CI72" s="950"/>
      <c r="CJ72" s="950"/>
      <c r="CK72" s="950"/>
      <c r="CL72" s="950"/>
      <c r="CM72" s="950"/>
      <c r="CN72" s="950"/>
      <c r="CO72" s="950"/>
      <c r="CP72" s="950"/>
      <c r="CQ72" s="950"/>
      <c r="CR72" s="950"/>
      <c r="CS72" s="950"/>
      <c r="CT72" s="950"/>
      <c r="CU72" s="950"/>
      <c r="CV72" s="950"/>
      <c r="CW72" s="950"/>
      <c r="CX72" s="950"/>
      <c r="CY72" s="950"/>
      <c r="CZ72" s="950"/>
      <c r="DA72" s="950"/>
      <c r="DB72" s="950"/>
      <c r="DC72" s="950"/>
      <c r="DD72" s="950"/>
      <c r="DE72" s="950"/>
      <c r="DF72" s="950"/>
      <c r="DG72" s="950"/>
      <c r="DH72" s="950"/>
      <c r="DI72" s="950"/>
      <c r="DJ72" s="950"/>
      <c r="DK72" s="950"/>
      <c r="DL72" s="950"/>
      <c r="DM72" s="950"/>
      <c r="DN72" s="950"/>
      <c r="DO72" s="950"/>
      <c r="DP72" s="950"/>
      <c r="DQ72" s="950"/>
      <c r="DR72" s="950"/>
      <c r="DS72" s="950"/>
      <c r="DT72" s="950"/>
      <c r="DU72" s="950"/>
      <c r="DV72" s="950"/>
      <c r="DW72" s="950"/>
      <c r="DX72" s="950"/>
      <c r="DY72" s="950"/>
      <c r="DZ72" s="950"/>
      <c r="EA72" s="950"/>
      <c r="EB72" s="950"/>
      <c r="EC72" s="950"/>
      <c r="ED72" s="950"/>
      <c r="EE72" s="950"/>
      <c r="EF72" s="950"/>
      <c r="EG72" s="950"/>
      <c r="EH72" s="950"/>
      <c r="EI72" s="950"/>
      <c r="EJ72" s="950"/>
      <c r="EK72" s="950"/>
      <c r="EL72" s="950"/>
      <c r="EM72" s="950"/>
      <c r="EN72" s="950"/>
      <c r="EO72" s="950"/>
      <c r="EP72" s="950"/>
      <c r="EQ72" s="950"/>
      <c r="ER72" s="950"/>
      <c r="ES72" s="950"/>
      <c r="ET72" s="950"/>
      <c r="EU72" s="950"/>
      <c r="EV72" s="950"/>
      <c r="EW72" s="950"/>
      <c r="EX72" s="950"/>
      <c r="EY72" s="950"/>
      <c r="EZ72" s="950"/>
      <c r="FA72" s="950"/>
      <c r="FB72" s="950"/>
      <c r="FC72" s="950"/>
      <c r="FD72" s="950"/>
      <c r="FE72" s="940" t="s">
        <v>74</v>
      </c>
      <c r="FF72" s="940" t="s">
        <v>74</v>
      </c>
      <c r="FG72" s="940" t="s">
        <v>74</v>
      </c>
      <c r="FH72" s="940" t="s">
        <v>74</v>
      </c>
      <c r="FI72" s="939"/>
      <c r="FJ72" s="940" t="s">
        <v>74</v>
      </c>
      <c r="FK72" s="940" t="s">
        <v>74</v>
      </c>
      <c r="FL72" s="940" t="s">
        <v>74</v>
      </c>
      <c r="FM72" s="950"/>
      <c r="FN72" s="950"/>
      <c r="FO72" s="950"/>
      <c r="FP72" s="950"/>
      <c r="FQ72" s="950"/>
      <c r="FR72" s="950"/>
      <c r="FS72" s="950"/>
      <c r="FT72" s="950"/>
      <c r="FU72" s="950"/>
      <c r="FV72" s="950"/>
      <c r="FW72" s="950"/>
      <c r="FX72" s="950"/>
      <c r="FY72" s="950"/>
      <c r="FZ72" s="950"/>
      <c r="GA72" s="950"/>
      <c r="GB72" s="950"/>
      <c r="GC72" s="950"/>
      <c r="GD72" s="950"/>
      <c r="GE72" s="950"/>
      <c r="GF72" s="950"/>
      <c r="GG72" s="950"/>
      <c r="GH72" s="950"/>
      <c r="GI72" s="950"/>
      <c r="GJ72" s="950"/>
      <c r="GK72" s="950"/>
      <c r="GL72" s="950"/>
      <c r="GM72" s="950"/>
      <c r="GN72" s="950"/>
      <c r="GO72" s="950"/>
      <c r="GP72" s="950"/>
      <c r="GQ72" s="950"/>
      <c r="GR72" s="950"/>
      <c r="GS72" s="950"/>
      <c r="GT72" s="950"/>
      <c r="GU72" s="950"/>
      <c r="GV72" s="950"/>
      <c r="GW72" s="950"/>
      <c r="GX72" s="950"/>
      <c r="GY72" s="950"/>
      <c r="GZ72" s="950"/>
      <c r="HA72" s="950"/>
      <c r="HB72" s="950"/>
      <c r="HC72" s="950"/>
      <c r="HD72" s="950"/>
      <c r="HE72" s="950"/>
      <c r="HF72" s="950"/>
      <c r="HG72" s="950"/>
      <c r="HH72" s="950"/>
      <c r="HI72" s="950"/>
      <c r="HJ72" s="950"/>
      <c r="HK72" s="950"/>
      <c r="HL72" s="950"/>
      <c r="HM72" s="950"/>
      <c r="HN72" s="950"/>
      <c r="HO72" s="950"/>
      <c r="HP72" s="950"/>
      <c r="HQ72" s="950"/>
      <c r="HR72" s="950"/>
      <c r="HS72" s="950"/>
      <c r="HT72" s="950"/>
      <c r="HU72" s="950"/>
      <c r="HV72" s="950"/>
      <c r="HW72" s="950"/>
      <c r="HX72" s="1075"/>
      <c r="HY72" s="929"/>
      <c r="HZ72" s="929"/>
      <c r="IA72" s="929"/>
      <c r="IB72" s="929"/>
      <c r="IC72" s="1011"/>
      <c r="ID72" s="1011"/>
      <c r="IE72" s="929"/>
      <c r="IF72" s="929"/>
      <c r="IG72" s="929"/>
      <c r="IH72" s="929"/>
      <c r="II72" s="929"/>
      <c r="IJ72" s="929"/>
      <c r="IK72" s="1048"/>
      <c r="IL72" s="1048"/>
      <c r="IM72" s="1048"/>
      <c r="IN72" s="1048"/>
      <c r="IO72" s="1048"/>
      <c r="IP72" s="1048"/>
      <c r="IQ72" s="1048"/>
      <c r="IR72" s="1048"/>
      <c r="IS72" s="1048"/>
      <c r="IT72" s="1048"/>
      <c r="IU72" s="1048"/>
      <c r="IV72" s="1048"/>
      <c r="IW72" s="1048"/>
      <c r="IX72" s="1048"/>
      <c r="IY72" s="1048"/>
      <c r="IZ72" s="1048"/>
      <c r="JA72" s="1048"/>
      <c r="JB72" s="1048"/>
      <c r="JC72" s="1048"/>
      <c r="JD72" s="1048"/>
      <c r="JE72" s="1048"/>
      <c r="JF72" s="1048"/>
      <c r="JG72" s="1048"/>
      <c r="JH72" s="1048"/>
      <c r="JI72" s="1048"/>
      <c r="JJ72" s="1048"/>
      <c r="JK72" s="1048"/>
      <c r="JL72" s="1048"/>
      <c r="JM72" s="1048"/>
      <c r="JN72" s="1048"/>
      <c r="JO72" s="1048"/>
      <c r="JP72" s="1048"/>
      <c r="JQ72" s="1048"/>
      <c r="JR72" s="1048"/>
      <c r="JS72" s="1048"/>
      <c r="JT72" s="1048"/>
      <c r="JU72" s="1048"/>
      <c r="JV72" s="1048"/>
      <c r="JW72" s="1048"/>
      <c r="JX72" s="1048"/>
      <c r="JY72" s="1048"/>
      <c r="JZ72" s="1048"/>
      <c r="KA72" s="1048"/>
      <c r="KB72" s="1048"/>
      <c r="KC72" s="1048"/>
      <c r="KD72" s="1048"/>
      <c r="KE72" s="1048"/>
      <c r="KF72" s="1048"/>
      <c r="KG72" s="1048"/>
      <c r="KH72" s="1048"/>
      <c r="KI72" s="1048"/>
      <c r="KJ72" s="1048"/>
      <c r="KK72" s="1048"/>
      <c r="KL72" s="1048"/>
      <c r="KM72" s="1048"/>
      <c r="KN72" s="1048"/>
      <c r="KO72" s="1048"/>
      <c r="KP72" s="1048"/>
      <c r="KQ72" s="1048"/>
      <c r="KR72" s="1048"/>
      <c r="KS72" s="1048"/>
      <c r="KT72" s="1048"/>
      <c r="KU72" s="1048"/>
      <c r="KV72" s="1048"/>
      <c r="KW72" s="1048"/>
      <c r="KX72" s="1048"/>
      <c r="KY72" s="1048"/>
      <c r="KZ72" s="1048"/>
      <c r="LA72" s="1048"/>
      <c r="LB72" s="1048"/>
      <c r="LC72" s="1048"/>
      <c r="LD72" s="1048"/>
      <c r="LE72" s="1048"/>
      <c r="LF72" s="1048"/>
      <c r="LG72" s="1048"/>
      <c r="LH72" s="1048"/>
      <c r="LI72" s="1048"/>
      <c r="LJ72" s="1048"/>
      <c r="LK72" s="1048"/>
      <c r="LL72" s="1048"/>
      <c r="LM72" s="1048"/>
      <c r="LN72" s="1048"/>
      <c r="LO72" s="1048"/>
      <c r="LP72" s="1048"/>
      <c r="LQ72" s="1048"/>
      <c r="LR72" s="1048"/>
      <c r="LS72" s="1048"/>
      <c r="LT72" s="1048"/>
      <c r="LU72" s="1048"/>
      <c r="LV72" s="1048"/>
      <c r="LW72" s="1048"/>
      <c r="LX72" s="1048"/>
      <c r="LY72" s="1048"/>
      <c r="LZ72" s="1048"/>
      <c r="MA72" s="1048"/>
      <c r="MB72" s="1048"/>
      <c r="MC72" s="1048"/>
      <c r="MD72" s="1048"/>
      <c r="ME72" s="1048"/>
      <c r="MF72" s="1048"/>
      <c r="MG72" s="1048"/>
      <c r="MH72" s="1048"/>
      <c r="MI72" s="1048"/>
      <c r="MJ72" s="1048"/>
      <c r="MK72" s="1048"/>
      <c r="ML72" s="1048"/>
      <c r="MM72" s="1048"/>
      <c r="MN72" s="1048"/>
      <c r="MO72" s="1048"/>
      <c r="MP72" s="1048"/>
      <c r="MQ72" s="1048"/>
      <c r="MR72" s="1048"/>
      <c r="MS72" s="1048"/>
      <c r="MT72" s="1048"/>
      <c r="MU72" s="1048"/>
      <c r="MV72" s="1048"/>
      <c r="MW72" s="1048"/>
      <c r="MX72" s="1048"/>
      <c r="MY72" s="1048"/>
      <c r="MZ72" s="1048"/>
      <c r="NA72" s="1048"/>
      <c r="NB72" s="1048"/>
      <c r="NC72" s="1048"/>
      <c r="ND72" s="1048"/>
      <c r="NE72" s="1048"/>
    </row>
    <row r="73" customFormat="1" ht="14.5" spans="1:369">
      <c r="A73" s="932" t="str">
        <f>人物卡!AB48</f>
        <v>学识2</v>
      </c>
      <c r="B73" s="950" t="str">
        <f>IF(OR(A73="说服",A73="话术",A73="取悦",A73="恐吓"),"☯",IF(ISNUMBER(SEARCH(A73,VLOOKUP(IX$2,职业列表!$B$1:$G$370,6,0))),"★",""))</f>
        <v/>
      </c>
      <c r="C73" s="939" t="str">
        <f>IF(ISTEXT(IFERROR(VLOOKUP(A73,职业列表!I12:J19,1,FALSE),0)),"★","")</f>
        <v/>
      </c>
      <c r="D73" s="950"/>
      <c r="E73" s="950"/>
      <c r="F73" s="950"/>
      <c r="G73" s="950"/>
      <c r="H73" s="950"/>
      <c r="I73" s="950"/>
      <c r="J73" s="950"/>
      <c r="K73" s="950"/>
      <c r="L73" s="950"/>
      <c r="M73" s="950"/>
      <c r="N73" s="950"/>
      <c r="O73" s="950"/>
      <c r="P73" s="950"/>
      <c r="Q73" s="950"/>
      <c r="R73" s="950"/>
      <c r="S73" s="950"/>
      <c r="T73" s="950"/>
      <c r="U73" s="950"/>
      <c r="V73" s="950"/>
      <c r="W73" s="950"/>
      <c r="X73" s="950"/>
      <c r="Y73" s="950"/>
      <c r="Z73" s="950"/>
      <c r="AA73" s="950"/>
      <c r="AB73" s="950"/>
      <c r="AC73" s="950"/>
      <c r="AD73" s="950"/>
      <c r="AE73" s="950"/>
      <c r="AF73" s="950"/>
      <c r="AG73" s="950"/>
      <c r="AH73" s="950"/>
      <c r="AI73" s="950"/>
      <c r="AJ73" s="950"/>
      <c r="AK73" s="950"/>
      <c r="AL73" s="950"/>
      <c r="AM73" s="950"/>
      <c r="AN73" s="950"/>
      <c r="AO73" s="950"/>
      <c r="AP73" s="950"/>
      <c r="AQ73" s="950"/>
      <c r="AR73" s="950"/>
      <c r="AS73" s="950"/>
      <c r="AT73" s="950"/>
      <c r="AU73" s="950"/>
      <c r="AV73" s="950"/>
      <c r="AW73" s="950"/>
      <c r="AX73" s="950"/>
      <c r="AY73" s="950"/>
      <c r="AZ73" s="950"/>
      <c r="BA73" s="950"/>
      <c r="BB73" s="950"/>
      <c r="BC73" s="950"/>
      <c r="BD73" s="950"/>
      <c r="BE73" s="950"/>
      <c r="BF73" s="950"/>
      <c r="BG73" s="950"/>
      <c r="BH73" s="950"/>
      <c r="BI73" s="950"/>
      <c r="BJ73" s="950"/>
      <c r="BK73" s="950"/>
      <c r="BL73" s="950"/>
      <c r="BM73" s="950"/>
      <c r="BN73" s="950"/>
      <c r="BO73" s="950"/>
      <c r="BP73" s="950"/>
      <c r="BQ73" s="950"/>
      <c r="BR73" s="950"/>
      <c r="BS73" s="950"/>
      <c r="BT73" s="950"/>
      <c r="BU73" s="950"/>
      <c r="BV73" s="950"/>
      <c r="BW73" s="950"/>
      <c r="BX73" s="950"/>
      <c r="BY73" s="950"/>
      <c r="BZ73" s="950"/>
      <c r="CA73" s="950"/>
      <c r="CB73" s="950"/>
      <c r="CC73" s="950"/>
      <c r="CD73" s="950"/>
      <c r="CE73" s="950"/>
      <c r="CF73" s="950"/>
      <c r="CG73" s="950"/>
      <c r="CH73" s="950"/>
      <c r="CI73" s="950"/>
      <c r="CJ73" s="950"/>
      <c r="CK73" s="950"/>
      <c r="CL73" s="950"/>
      <c r="CM73" s="950"/>
      <c r="CN73" s="950"/>
      <c r="CO73" s="950"/>
      <c r="CP73" s="950"/>
      <c r="CQ73" s="950"/>
      <c r="CR73" s="950"/>
      <c r="CS73" s="950"/>
      <c r="CT73" s="950"/>
      <c r="CU73" s="950"/>
      <c r="CV73" s="950"/>
      <c r="CW73" s="950"/>
      <c r="CX73" s="950"/>
      <c r="CY73" s="950"/>
      <c r="CZ73" s="950"/>
      <c r="DA73" s="950"/>
      <c r="DB73" s="950"/>
      <c r="DC73" s="950"/>
      <c r="DD73" s="950"/>
      <c r="DE73" s="950"/>
      <c r="DF73" s="950"/>
      <c r="DG73" s="950"/>
      <c r="DH73" s="950"/>
      <c r="DI73" s="950"/>
      <c r="DJ73" s="950"/>
      <c r="DK73" s="950"/>
      <c r="DL73" s="950"/>
      <c r="DM73" s="950"/>
      <c r="DN73" s="950"/>
      <c r="DO73" s="950"/>
      <c r="DP73" s="950"/>
      <c r="DQ73" s="950"/>
      <c r="DR73" s="950"/>
      <c r="DS73" s="950"/>
      <c r="DT73" s="950"/>
      <c r="DU73" s="950"/>
      <c r="DV73" s="950"/>
      <c r="DW73" s="950"/>
      <c r="DX73" s="950"/>
      <c r="DY73" s="950"/>
      <c r="DZ73" s="950"/>
      <c r="EA73" s="950"/>
      <c r="EB73" s="950"/>
      <c r="EC73" s="950"/>
      <c r="ED73" s="950"/>
      <c r="EE73" s="950"/>
      <c r="EF73" s="950"/>
      <c r="EG73" s="950"/>
      <c r="EH73" s="950"/>
      <c r="EI73" s="950"/>
      <c r="EJ73" s="950"/>
      <c r="EK73" s="950"/>
      <c r="EL73" s="950"/>
      <c r="EM73" s="950"/>
      <c r="EN73" s="950"/>
      <c r="EO73" s="950"/>
      <c r="EP73" s="950"/>
      <c r="EQ73" s="950"/>
      <c r="ER73" s="950"/>
      <c r="ES73" s="950"/>
      <c r="ET73" s="950"/>
      <c r="EU73" s="950"/>
      <c r="EV73" s="950"/>
      <c r="EW73" s="950"/>
      <c r="EX73" s="950"/>
      <c r="EY73" s="950"/>
      <c r="EZ73" s="950"/>
      <c r="FA73" s="950"/>
      <c r="FB73" s="950"/>
      <c r="FC73" s="950"/>
      <c r="FD73" s="950"/>
      <c r="FE73" s="940"/>
      <c r="FF73" s="940"/>
      <c r="FG73" s="940"/>
      <c r="FH73" s="940"/>
      <c r="FI73" s="939"/>
      <c r="FJ73" s="940"/>
      <c r="FK73" s="940"/>
      <c r="FL73" s="940"/>
      <c r="FM73" s="950"/>
      <c r="FN73" s="950"/>
      <c r="FO73" s="950"/>
      <c r="FP73" s="950"/>
      <c r="FQ73" s="950"/>
      <c r="FR73" s="950"/>
      <c r="FS73" s="950"/>
      <c r="FT73" s="950"/>
      <c r="FU73" s="950"/>
      <c r="FV73" s="950"/>
      <c r="FW73" s="950"/>
      <c r="FX73" s="950"/>
      <c r="FY73" s="950"/>
      <c r="FZ73" s="950"/>
      <c r="GA73" s="950"/>
      <c r="GB73" s="950"/>
      <c r="GC73" s="950"/>
      <c r="GD73" s="950"/>
      <c r="GE73" s="950"/>
      <c r="GF73" s="950"/>
      <c r="GG73" s="950"/>
      <c r="GH73" s="950"/>
      <c r="GI73" s="950"/>
      <c r="GJ73" s="950"/>
      <c r="GK73" s="950"/>
      <c r="GL73" s="950"/>
      <c r="GM73" s="950"/>
      <c r="GN73" s="950"/>
      <c r="GO73" s="950"/>
      <c r="GP73" s="950"/>
      <c r="GQ73" s="950"/>
      <c r="GR73" s="950"/>
      <c r="GS73" s="950"/>
      <c r="GT73" s="950"/>
      <c r="GU73" s="950"/>
      <c r="GV73" s="950"/>
      <c r="GW73" s="950"/>
      <c r="GX73" s="950"/>
      <c r="GY73" s="950"/>
      <c r="GZ73" s="950"/>
      <c r="HA73" s="950"/>
      <c r="HB73" s="950"/>
      <c r="HC73" s="950"/>
      <c r="HD73" s="950"/>
      <c r="HE73" s="950"/>
      <c r="HF73" s="950"/>
      <c r="HG73" s="950"/>
      <c r="HH73" s="950"/>
      <c r="HI73" s="950"/>
      <c r="HJ73" s="950"/>
      <c r="HK73" s="950"/>
      <c r="HL73" s="950"/>
      <c r="HM73" s="950"/>
      <c r="HN73" s="950"/>
      <c r="HO73" s="950"/>
      <c r="HP73" s="950"/>
      <c r="HQ73" s="950"/>
      <c r="HR73" s="950"/>
      <c r="HS73" s="950"/>
      <c r="HT73" s="950"/>
      <c r="HU73" s="950"/>
      <c r="HV73" s="950"/>
      <c r="HW73" s="950"/>
      <c r="HX73" s="1075"/>
      <c r="HY73" s="929"/>
      <c r="HZ73" s="929"/>
      <c r="IA73" s="929"/>
      <c r="IB73" s="929"/>
      <c r="IC73" s="1011"/>
      <c r="ID73" s="1011"/>
      <c r="IE73" s="929"/>
      <c r="IF73" s="929"/>
      <c r="IG73" s="929"/>
      <c r="IH73" s="929"/>
      <c r="II73" s="929"/>
      <c r="IJ73" s="929"/>
      <c r="IK73" s="1048"/>
      <c r="IL73" s="1048"/>
      <c r="IM73" s="1048"/>
      <c r="IN73" s="1048"/>
      <c r="IO73" s="1048"/>
      <c r="IP73" s="1048"/>
      <c r="IQ73" s="1048"/>
      <c r="IR73" s="1048"/>
      <c r="IS73" s="1048"/>
      <c r="IT73" s="1048"/>
      <c r="IU73" s="1048"/>
      <c r="IV73" s="1048"/>
      <c r="IW73" s="1048"/>
      <c r="IX73" s="1048"/>
      <c r="IY73" s="1048"/>
      <c r="IZ73" s="1048"/>
      <c r="JA73" s="1048"/>
      <c r="JB73" s="1048"/>
      <c r="JC73" s="1048"/>
      <c r="JD73" s="1048"/>
      <c r="JE73" s="1048"/>
      <c r="JF73" s="1048"/>
      <c r="JG73" s="1048"/>
      <c r="JH73" s="1048"/>
      <c r="JI73" s="1048"/>
      <c r="JJ73" s="1048"/>
      <c r="JK73" s="1048"/>
      <c r="JL73" s="1048"/>
      <c r="JM73" s="1048"/>
      <c r="JN73" s="1048"/>
      <c r="JO73" s="1048"/>
      <c r="JP73" s="1048"/>
      <c r="JQ73" s="1048"/>
      <c r="JR73" s="1048"/>
      <c r="JS73" s="1048"/>
      <c r="JT73" s="1048"/>
      <c r="JU73" s="1048"/>
      <c r="JV73" s="1048"/>
      <c r="JW73" s="1048"/>
      <c r="JX73" s="1048"/>
      <c r="JY73" s="1048"/>
      <c r="JZ73" s="1048"/>
      <c r="KA73" s="1048"/>
      <c r="KB73" s="1048"/>
      <c r="KC73" s="1048"/>
      <c r="KD73" s="1048"/>
      <c r="KE73" s="1048"/>
      <c r="KF73" s="1048"/>
      <c r="KG73" s="1048"/>
      <c r="KH73" s="1048"/>
      <c r="KI73" s="1048"/>
      <c r="KJ73" s="1048"/>
      <c r="KK73" s="1048"/>
      <c r="KL73" s="1048"/>
      <c r="KM73" s="1048"/>
      <c r="KN73" s="1048"/>
      <c r="KO73" s="1048"/>
      <c r="KP73" s="1048"/>
      <c r="KQ73" s="1048"/>
      <c r="KR73" s="1048"/>
      <c r="KS73" s="1048"/>
      <c r="KT73" s="1048"/>
      <c r="KU73" s="1048"/>
      <c r="KV73" s="1048"/>
      <c r="KW73" s="1048"/>
      <c r="KX73" s="1048"/>
      <c r="KY73" s="1048"/>
      <c r="KZ73" s="1048"/>
      <c r="LA73" s="1048"/>
      <c r="LB73" s="1048"/>
      <c r="LC73" s="1048"/>
      <c r="LD73" s="1048"/>
      <c r="LE73" s="1048"/>
      <c r="LF73" s="1048"/>
      <c r="LG73" s="1048"/>
      <c r="LH73" s="1048"/>
      <c r="LI73" s="1048"/>
      <c r="LJ73" s="1048"/>
      <c r="LK73" s="1048"/>
      <c r="LL73" s="1048"/>
      <c r="LM73" s="1048"/>
      <c r="LN73" s="1048"/>
      <c r="LO73" s="1048"/>
      <c r="LP73" s="1048"/>
      <c r="LQ73" s="1048"/>
      <c r="LR73" s="1048"/>
      <c r="LS73" s="1048"/>
      <c r="LT73" s="1048"/>
      <c r="LU73" s="1048"/>
      <c r="LV73" s="1048"/>
      <c r="LW73" s="1048"/>
      <c r="LX73" s="1048"/>
      <c r="LY73" s="1048"/>
      <c r="LZ73" s="1048"/>
      <c r="MA73" s="1048"/>
      <c r="MB73" s="1048"/>
      <c r="MC73" s="1048"/>
      <c r="MD73" s="1048"/>
      <c r="ME73" s="1048"/>
      <c r="MF73" s="1048"/>
      <c r="MG73" s="1048"/>
      <c r="MH73" s="1048"/>
      <c r="MI73" s="1048"/>
      <c r="MJ73" s="1048"/>
      <c r="MK73" s="1048"/>
      <c r="ML73" s="1048"/>
      <c r="MM73" s="1048"/>
      <c r="MN73" s="1048"/>
      <c r="MO73" s="1048"/>
      <c r="MP73" s="1048"/>
      <c r="MQ73" s="1048"/>
      <c r="MR73" s="1048"/>
      <c r="MS73" s="1048"/>
      <c r="MT73" s="1048"/>
      <c r="MU73" s="1048"/>
      <c r="MV73" s="1048"/>
      <c r="MW73" s="1048"/>
      <c r="MX73" s="1048"/>
      <c r="MY73" s="1048"/>
      <c r="MZ73" s="1048"/>
      <c r="NA73" s="1048"/>
      <c r="NB73" s="1048"/>
      <c r="NC73" s="1048"/>
      <c r="ND73" s="1048"/>
      <c r="NE73" s="1048"/>
    </row>
    <row r="74" customFormat="1" ht="14.5" spans="1:369">
      <c r="A74" s="1059" t="s">
        <v>75</v>
      </c>
      <c r="B74" s="1060" t="s">
        <v>74</v>
      </c>
      <c r="C74" s="1061" t="str">
        <f>IF(ISTEXT(IFERROR(VLOOKUP(A74,职业列表!I12:J19,1,FALSE),0)),"★","")</f>
        <v/>
      </c>
      <c r="D74" s="1060"/>
      <c r="E74" s="1060"/>
      <c r="F74" s="1060"/>
      <c r="G74" s="1060"/>
      <c r="H74" s="1060"/>
      <c r="I74" s="1060"/>
      <c r="J74" s="1060"/>
      <c r="K74" s="1060"/>
      <c r="L74" s="1060"/>
      <c r="M74" s="1060"/>
      <c r="N74" s="1060"/>
      <c r="O74" s="1060"/>
      <c r="P74" s="1060"/>
      <c r="Q74" s="1060"/>
      <c r="R74" s="1060"/>
      <c r="S74" s="1060"/>
      <c r="T74" s="1060"/>
      <c r="U74" s="1060"/>
      <c r="V74" s="1060"/>
      <c r="W74" s="1060"/>
      <c r="X74" s="1060"/>
      <c r="Y74" s="1060"/>
      <c r="Z74" s="1060"/>
      <c r="AA74" s="1060"/>
      <c r="AB74" s="1060"/>
      <c r="AC74" s="1060"/>
      <c r="AD74" s="1060"/>
      <c r="AE74" s="1060"/>
      <c r="AF74" s="1060"/>
      <c r="AG74" s="1060"/>
      <c r="AH74" s="1060"/>
      <c r="AI74" s="1060"/>
      <c r="AJ74" s="1060"/>
      <c r="AK74" s="1060"/>
      <c r="AL74" s="1060"/>
      <c r="AM74" s="1060"/>
      <c r="AN74" s="1060"/>
      <c r="AO74" s="1060"/>
      <c r="AP74" s="1060"/>
      <c r="AQ74" s="1060"/>
      <c r="AR74" s="1060"/>
      <c r="AS74" s="1060"/>
      <c r="AT74" s="1060"/>
      <c r="AU74" s="1060"/>
      <c r="AV74" s="1060"/>
      <c r="AW74" s="1060"/>
      <c r="AX74" s="1060"/>
      <c r="AY74" s="1060"/>
      <c r="AZ74" s="1060"/>
      <c r="BA74" s="1060"/>
      <c r="BB74" s="1060"/>
      <c r="BC74" s="1060"/>
      <c r="BD74" s="1060"/>
      <c r="BE74" s="1060"/>
      <c r="BF74" s="1060"/>
      <c r="BG74" s="1060"/>
      <c r="BH74" s="1060"/>
      <c r="BI74" s="1060"/>
      <c r="BJ74" s="1060"/>
      <c r="BK74" s="1060"/>
      <c r="BL74" s="1060"/>
      <c r="BM74" s="1060"/>
      <c r="BN74" s="1060"/>
      <c r="BO74" s="1060"/>
      <c r="BP74" s="1060"/>
      <c r="BQ74" s="1060"/>
      <c r="BR74" s="1060"/>
      <c r="BS74" s="1060"/>
      <c r="BT74" s="1060"/>
      <c r="BU74" s="1060"/>
      <c r="BV74" s="1060"/>
      <c r="BW74" s="1060"/>
      <c r="BX74" s="1060"/>
      <c r="BY74" s="1060"/>
      <c r="BZ74" s="1060"/>
      <c r="CA74" s="1060"/>
      <c r="CB74" s="1060"/>
      <c r="CC74" s="1060"/>
      <c r="CD74" s="1060"/>
      <c r="CE74" s="1060"/>
      <c r="CF74" s="1060"/>
      <c r="CG74" s="1060"/>
      <c r="CH74" s="1060"/>
      <c r="CI74" s="1060"/>
      <c r="CJ74" s="1060"/>
      <c r="CK74" s="1060"/>
      <c r="CL74" s="1060"/>
      <c r="CM74" s="1060"/>
      <c r="CN74" s="1060"/>
      <c r="CO74" s="1060"/>
      <c r="CP74" s="1060"/>
      <c r="CQ74" s="1060"/>
      <c r="CR74" s="1060"/>
      <c r="CS74" s="1060"/>
      <c r="CT74" s="1060"/>
      <c r="CU74" s="1060"/>
      <c r="CV74" s="1060"/>
      <c r="CW74" s="1060"/>
      <c r="CX74" s="1060"/>
      <c r="CY74" s="1060"/>
      <c r="CZ74" s="1060"/>
      <c r="DA74" s="1060"/>
      <c r="DB74" s="1060"/>
      <c r="DC74" s="1060"/>
      <c r="DD74" s="1060"/>
      <c r="DE74" s="1060"/>
      <c r="DF74" s="1060"/>
      <c r="DG74" s="1060"/>
      <c r="DH74" s="1060"/>
      <c r="DI74" s="1060"/>
      <c r="DJ74" s="1060"/>
      <c r="DK74" s="1060"/>
      <c r="DL74" s="1060"/>
      <c r="DM74" s="1060"/>
      <c r="DN74" s="1060"/>
      <c r="DO74" s="1060"/>
      <c r="DP74" s="1060"/>
      <c r="DQ74" s="1060"/>
      <c r="DR74" s="1060"/>
      <c r="DS74" s="1060"/>
      <c r="DT74" s="1060"/>
      <c r="DU74" s="1060"/>
      <c r="DV74" s="1060"/>
      <c r="DW74" s="1060"/>
      <c r="DX74" s="1060"/>
      <c r="DY74" s="1060"/>
      <c r="DZ74" s="1060"/>
      <c r="EA74" s="1060"/>
      <c r="EB74" s="1060"/>
      <c r="EC74" s="1060"/>
      <c r="ED74" s="1060"/>
      <c r="EE74" s="1060"/>
      <c r="EF74" s="1060"/>
      <c r="EG74" s="1060"/>
      <c r="EH74" s="1060"/>
      <c r="EI74" s="1060"/>
      <c r="EJ74" s="1060"/>
      <c r="EK74" s="1060"/>
      <c r="EL74" s="1060"/>
      <c r="EM74" s="1060"/>
      <c r="EN74" s="1060"/>
      <c r="EO74" s="1060"/>
      <c r="EP74" s="1060"/>
      <c r="EQ74" s="1060"/>
      <c r="ER74" s="1060"/>
      <c r="ES74" s="1060"/>
      <c r="ET74" s="1060"/>
      <c r="EU74" s="1060"/>
      <c r="EV74" s="1060"/>
      <c r="EW74" s="1060"/>
      <c r="EX74" s="1060"/>
      <c r="EY74" s="1060"/>
      <c r="EZ74" s="1060"/>
      <c r="FA74" s="1060"/>
      <c r="FB74" s="1060"/>
      <c r="FC74" s="1060"/>
      <c r="FD74" s="1060"/>
      <c r="FE74" s="1060"/>
      <c r="FF74" s="1060"/>
      <c r="FG74" s="1060"/>
      <c r="FH74" s="1060"/>
      <c r="FI74" s="1060"/>
      <c r="FJ74" s="1060"/>
      <c r="FK74" s="1060"/>
      <c r="FL74" s="1060"/>
      <c r="FM74" s="1060"/>
      <c r="FN74" s="1060"/>
      <c r="FO74" s="1060"/>
      <c r="FP74" s="1060"/>
      <c r="FQ74" s="1060"/>
      <c r="FR74" s="1060"/>
      <c r="FS74" s="1060"/>
      <c r="FT74" s="1060"/>
      <c r="FU74" s="1060"/>
      <c r="FV74" s="1060"/>
      <c r="FW74" s="1060"/>
      <c r="FX74" s="1060"/>
      <c r="FY74" s="1060"/>
      <c r="FZ74" s="1060"/>
      <c r="GA74" s="1060"/>
      <c r="GB74" s="1060"/>
      <c r="GC74" s="1060"/>
      <c r="GD74" s="1060"/>
      <c r="GE74" s="1060"/>
      <c r="GF74" s="1060"/>
      <c r="GG74" s="1060"/>
      <c r="GH74" s="1060"/>
      <c r="GI74" s="1060"/>
      <c r="GJ74" s="1060"/>
      <c r="GK74" s="1060"/>
      <c r="GL74" s="1060"/>
      <c r="GM74" s="1060"/>
      <c r="GN74" s="1060"/>
      <c r="GO74" s="1060"/>
      <c r="GP74" s="1060"/>
      <c r="GQ74" s="1060"/>
      <c r="GR74" s="1060"/>
      <c r="GS74" s="1060"/>
      <c r="GT74" s="1060"/>
      <c r="GU74" s="1060"/>
      <c r="GV74" s="1060"/>
      <c r="GW74" s="1060"/>
      <c r="GX74" s="1060"/>
      <c r="GY74" s="1060"/>
      <c r="GZ74" s="1060"/>
      <c r="HA74" s="1060"/>
      <c r="HB74" s="1060"/>
      <c r="HC74" s="1060"/>
      <c r="HD74" s="1060"/>
      <c r="HE74" s="1060"/>
      <c r="HF74" s="1060"/>
      <c r="HG74" s="1060"/>
      <c r="HH74" s="1060"/>
      <c r="HI74" s="1060"/>
      <c r="HJ74" s="1060"/>
      <c r="HK74" s="1060"/>
      <c r="HL74" s="1060"/>
      <c r="HM74" s="1060"/>
      <c r="HN74" s="1060"/>
      <c r="HO74" s="1060"/>
      <c r="HP74" s="1060"/>
      <c r="HQ74" s="1060"/>
      <c r="HR74" s="1060"/>
      <c r="HS74" s="1060"/>
      <c r="HT74" s="1060"/>
      <c r="HU74" s="1060"/>
      <c r="HV74" s="1060"/>
      <c r="HW74" s="1060"/>
      <c r="HX74" s="1076"/>
      <c r="HY74" s="1062"/>
      <c r="HZ74" s="1062"/>
      <c r="IA74" s="1062"/>
      <c r="IB74" s="1062"/>
      <c r="IC74" s="1077"/>
      <c r="ID74" s="1077"/>
      <c r="IE74" s="1062"/>
      <c r="IF74" s="1062"/>
      <c r="IG74" s="1062"/>
      <c r="IH74" s="1062"/>
      <c r="II74" s="1062"/>
      <c r="IJ74" s="1062"/>
      <c r="IK74" s="1085"/>
      <c r="IL74" s="1085"/>
      <c r="IM74" s="1085"/>
      <c r="IN74" s="1085"/>
      <c r="IO74" s="1085"/>
      <c r="IP74" s="1085"/>
      <c r="IQ74" s="1085"/>
      <c r="IR74" s="1085"/>
      <c r="IS74" s="1085"/>
      <c r="IT74" s="1085"/>
      <c r="IU74" s="1085"/>
      <c r="IV74" s="1085"/>
      <c r="IW74" s="1085"/>
      <c r="IX74" s="1085"/>
      <c r="IY74" s="1085"/>
      <c r="IZ74" s="1085"/>
      <c r="JA74" s="1085"/>
      <c r="JB74" s="1085"/>
      <c r="JC74" s="1085"/>
      <c r="JD74" s="1085"/>
      <c r="JE74" s="1085"/>
      <c r="JF74" s="1085"/>
      <c r="JG74" s="1085"/>
      <c r="JH74" s="1085"/>
      <c r="JI74" s="1085"/>
      <c r="JJ74" s="1085"/>
      <c r="JK74" s="1085"/>
      <c r="JL74" s="1085"/>
      <c r="JM74" s="1085"/>
      <c r="JN74" s="1085"/>
      <c r="JO74" s="1085"/>
      <c r="JP74" s="1085"/>
      <c r="JQ74" s="1085"/>
      <c r="JR74" s="1085"/>
      <c r="JS74" s="1085"/>
      <c r="JT74" s="1085"/>
      <c r="JU74" s="1085"/>
      <c r="JV74" s="1085"/>
      <c r="JW74" s="1085"/>
      <c r="JX74" s="1085"/>
      <c r="JY74" s="1085"/>
      <c r="JZ74" s="1085"/>
      <c r="KA74" s="1085"/>
      <c r="KB74" s="1085"/>
      <c r="KC74" s="1085"/>
      <c r="KD74" s="1085"/>
      <c r="KE74" s="1085"/>
      <c r="KF74" s="1085"/>
      <c r="KG74" s="1085"/>
      <c r="KH74" s="1085"/>
      <c r="KI74" s="1085"/>
      <c r="KJ74" s="1085"/>
      <c r="KK74" s="1085"/>
      <c r="KL74" s="1085"/>
      <c r="KM74" s="1085"/>
      <c r="KN74" s="1085"/>
      <c r="KO74" s="1085"/>
      <c r="KP74" s="1085"/>
      <c r="KQ74" s="1085"/>
      <c r="KR74" s="1085"/>
      <c r="KS74" s="1085"/>
      <c r="KT74" s="1085"/>
      <c r="KU74" s="1085"/>
      <c r="KV74" s="1085"/>
      <c r="KW74" s="1085"/>
      <c r="KX74" s="1085"/>
      <c r="KY74" s="1085"/>
      <c r="KZ74" s="1085"/>
      <c r="LA74" s="1085"/>
      <c r="LB74" s="1085"/>
      <c r="LC74" s="1085"/>
      <c r="LD74" s="1085"/>
      <c r="LE74" s="1085"/>
      <c r="LF74" s="1085"/>
      <c r="LG74" s="1085"/>
      <c r="LH74" s="1085"/>
      <c r="LI74" s="1085"/>
      <c r="LJ74" s="1085"/>
      <c r="LK74" s="1085"/>
      <c r="LL74" s="1085"/>
      <c r="LM74" s="1085"/>
      <c r="LN74" s="1085"/>
      <c r="LO74" s="1085"/>
      <c r="LP74" s="1085"/>
      <c r="LQ74" s="1085"/>
      <c r="LR74" s="1085"/>
      <c r="LS74" s="1085"/>
      <c r="LT74" s="1085"/>
      <c r="LU74" s="1085"/>
      <c r="LV74" s="1085"/>
      <c r="LW74" s="1085"/>
      <c r="LX74" s="1085"/>
      <c r="LY74" s="1085"/>
      <c r="LZ74" s="1085"/>
      <c r="MA74" s="1085"/>
      <c r="MB74" s="1085"/>
      <c r="MC74" s="1085"/>
      <c r="MD74" s="1085"/>
      <c r="ME74" s="1085"/>
      <c r="MF74" s="1085"/>
      <c r="MG74" s="1085"/>
      <c r="MH74" s="1085"/>
      <c r="MI74" s="1085"/>
      <c r="MJ74" s="1085"/>
      <c r="MK74" s="1085"/>
      <c r="ML74" s="1085"/>
      <c r="MM74" s="1085"/>
      <c r="MN74" s="1085"/>
      <c r="MO74" s="1085"/>
      <c r="MP74" s="1085"/>
      <c r="MQ74" s="1085"/>
      <c r="MR74" s="1085"/>
      <c r="MS74" s="1085"/>
      <c r="MT74" s="1085"/>
      <c r="MU74" s="1085"/>
      <c r="MV74" s="1085"/>
      <c r="MW74" s="1085"/>
      <c r="MX74" s="1085"/>
      <c r="MY74" s="1085"/>
      <c r="MZ74" s="1085"/>
      <c r="NA74" s="1085"/>
      <c r="NB74" s="1085"/>
      <c r="NC74" s="1085"/>
      <c r="ND74" s="1085"/>
      <c r="NE74" s="1085"/>
    </row>
    <row r="75" customFormat="1" ht="14.5" spans="1:369">
      <c r="A75" s="1059" t="s">
        <v>181</v>
      </c>
      <c r="B75" s="1060" t="str">
        <f>IF(OR(A75="说服",A75="话术",A75="取悦",A75="恐吓"),"☯",IF(ISNUMBER(SEARCH(A75,VLOOKUP(IX$2,职业列表!$B$1:$G$370,6,0))),"★",""))</f>
        <v/>
      </c>
      <c r="C75" s="1061" t="str">
        <f>IF(ISTEXT(IFERROR(VLOOKUP(A75,职业列表!I12:J19,1,FALSE),0)),"★","")</f>
        <v/>
      </c>
      <c r="D75" s="1060"/>
      <c r="E75" s="1060"/>
      <c r="F75" s="1060"/>
      <c r="G75" s="1060"/>
      <c r="H75" s="1060"/>
      <c r="I75" s="1060"/>
      <c r="J75" s="1060"/>
      <c r="K75" s="1060"/>
      <c r="L75" s="1060"/>
      <c r="M75" s="1060"/>
      <c r="N75" s="1060"/>
      <c r="O75" s="1060"/>
      <c r="P75" s="1060"/>
      <c r="Q75" s="1060"/>
      <c r="R75" s="1060"/>
      <c r="S75" s="1060"/>
      <c r="T75" s="1060"/>
      <c r="U75" s="1060"/>
      <c r="V75" s="1060"/>
      <c r="W75" s="1060"/>
      <c r="X75" s="1060"/>
      <c r="Y75" s="1060"/>
      <c r="Z75" s="1060"/>
      <c r="AA75" s="1060"/>
      <c r="AB75" s="1060"/>
      <c r="AC75" s="1060"/>
      <c r="AD75" s="1060"/>
      <c r="AE75" s="1060"/>
      <c r="AF75" s="1060"/>
      <c r="AG75" s="1060"/>
      <c r="AH75" s="1060"/>
      <c r="AI75" s="1060"/>
      <c r="AJ75" s="1060"/>
      <c r="AK75" s="1060"/>
      <c r="AL75" s="1060"/>
      <c r="AM75" s="1060"/>
      <c r="AN75" s="1060"/>
      <c r="AO75" s="1060"/>
      <c r="AP75" s="1060"/>
      <c r="AQ75" s="1060"/>
      <c r="AR75" s="1060"/>
      <c r="AS75" s="1060"/>
      <c r="AT75" s="1060"/>
      <c r="AU75" s="1060"/>
      <c r="AV75" s="1060"/>
      <c r="AW75" s="1060"/>
      <c r="AX75" s="1060"/>
      <c r="AY75" s="1060"/>
      <c r="AZ75" s="1060"/>
      <c r="BA75" s="1060"/>
      <c r="BB75" s="1060"/>
      <c r="BC75" s="1060"/>
      <c r="BD75" s="1060"/>
      <c r="BE75" s="1060"/>
      <c r="BF75" s="1060"/>
      <c r="BG75" s="1060"/>
      <c r="BH75" s="1060"/>
      <c r="BI75" s="1060"/>
      <c r="BJ75" s="1060"/>
      <c r="BK75" s="1060"/>
      <c r="BL75" s="1060"/>
      <c r="BM75" s="1060"/>
      <c r="BN75" s="1060"/>
      <c r="BO75" s="1060"/>
      <c r="BP75" s="1060"/>
      <c r="BQ75" s="1060"/>
      <c r="BR75" s="1060"/>
      <c r="BS75" s="1060"/>
      <c r="BT75" s="1060"/>
      <c r="BU75" s="1060"/>
      <c r="BV75" s="1060"/>
      <c r="BW75" s="1060"/>
      <c r="BX75" s="1060"/>
      <c r="BY75" s="1060"/>
      <c r="BZ75" s="1060"/>
      <c r="CA75" s="1060"/>
      <c r="CB75" s="1060"/>
      <c r="CC75" s="1060"/>
      <c r="CD75" s="1060"/>
      <c r="CE75" s="1060"/>
      <c r="CF75" s="1060"/>
      <c r="CG75" s="1060"/>
      <c r="CH75" s="1060"/>
      <c r="CI75" s="1060"/>
      <c r="CJ75" s="1060"/>
      <c r="CK75" s="1060"/>
      <c r="CL75" s="1060"/>
      <c r="CM75" s="1060"/>
      <c r="CN75" s="1060"/>
      <c r="CO75" s="1060"/>
      <c r="CP75" s="1060"/>
      <c r="CQ75" s="1060"/>
      <c r="CR75" s="1060"/>
      <c r="CS75" s="1060"/>
      <c r="CT75" s="1060"/>
      <c r="CU75" s="1060"/>
      <c r="CV75" s="1060"/>
      <c r="CW75" s="1060"/>
      <c r="CX75" s="1060"/>
      <c r="CY75" s="1060"/>
      <c r="CZ75" s="1060"/>
      <c r="DA75" s="1060"/>
      <c r="DB75" s="1060"/>
      <c r="DC75" s="1060"/>
      <c r="DD75" s="1060"/>
      <c r="DE75" s="1060"/>
      <c r="DF75" s="1060"/>
      <c r="DG75" s="1060"/>
      <c r="DH75" s="1060"/>
      <c r="DI75" s="1060"/>
      <c r="DJ75" s="1060"/>
      <c r="DK75" s="1060"/>
      <c r="DL75" s="1060"/>
      <c r="DM75" s="1060"/>
      <c r="DN75" s="1060"/>
      <c r="DO75" s="1060"/>
      <c r="DP75" s="1060"/>
      <c r="DQ75" s="1060"/>
      <c r="DR75" s="1060"/>
      <c r="DS75" s="1060"/>
      <c r="DT75" s="1060"/>
      <c r="DU75" s="1060"/>
      <c r="DV75" s="1060"/>
      <c r="DW75" s="1060"/>
      <c r="DX75" s="1060"/>
      <c r="DY75" s="1060"/>
      <c r="DZ75" s="1060"/>
      <c r="EA75" s="1060"/>
      <c r="EB75" s="1060"/>
      <c r="EC75" s="1060"/>
      <c r="ED75" s="1060"/>
      <c r="EE75" s="1060"/>
      <c r="EF75" s="1060"/>
      <c r="EG75" s="1060"/>
      <c r="EH75" s="1060"/>
      <c r="EI75" s="1060"/>
      <c r="EJ75" s="1060"/>
      <c r="EK75" s="1060"/>
      <c r="EL75" s="1060"/>
      <c r="EM75" s="1060"/>
      <c r="EN75" s="1060"/>
      <c r="EO75" s="1060"/>
      <c r="EP75" s="1060"/>
      <c r="EQ75" s="1060"/>
      <c r="ER75" s="1060"/>
      <c r="ES75" s="1060"/>
      <c r="ET75" s="1060"/>
      <c r="EU75" s="1060"/>
      <c r="EV75" s="1060"/>
      <c r="EW75" s="1060"/>
      <c r="EX75" s="1060"/>
      <c r="EY75" s="1060"/>
      <c r="EZ75" s="1060"/>
      <c r="FA75" s="1060"/>
      <c r="FB75" s="1060"/>
      <c r="FC75" s="1060"/>
      <c r="FD75" s="1060"/>
      <c r="FE75" s="1060"/>
      <c r="FF75" s="1060"/>
      <c r="FG75" s="1060"/>
      <c r="FH75" s="1060"/>
      <c r="FI75" s="1060"/>
      <c r="FJ75" s="1060"/>
      <c r="FK75" s="1060"/>
      <c r="FL75" s="1060"/>
      <c r="FM75" s="1060"/>
      <c r="FN75" s="1060"/>
      <c r="FO75" s="1060"/>
      <c r="FP75" s="1060"/>
      <c r="FQ75" s="1060"/>
      <c r="FR75" s="1060"/>
      <c r="FS75" s="1060"/>
      <c r="FT75" s="1060"/>
      <c r="FU75" s="1060"/>
      <c r="FV75" s="1060"/>
      <c r="FW75" s="1060"/>
      <c r="FX75" s="1060"/>
      <c r="FY75" s="1060"/>
      <c r="FZ75" s="1060"/>
      <c r="GA75" s="1060"/>
      <c r="GB75" s="1060"/>
      <c r="GC75" s="1060"/>
      <c r="GD75" s="1060"/>
      <c r="GE75" s="1060"/>
      <c r="GF75" s="1060"/>
      <c r="GG75" s="1060"/>
      <c r="GH75" s="1060"/>
      <c r="GI75" s="1060"/>
      <c r="GJ75" s="1060"/>
      <c r="GK75" s="1060"/>
      <c r="GL75" s="1060"/>
      <c r="GM75" s="1060"/>
      <c r="GN75" s="1060"/>
      <c r="GO75" s="1060"/>
      <c r="GP75" s="1060"/>
      <c r="GQ75" s="1060"/>
      <c r="GR75" s="1060"/>
      <c r="GS75" s="1060"/>
      <c r="GT75" s="1060"/>
      <c r="GU75" s="1060"/>
      <c r="GV75" s="1060"/>
      <c r="GW75" s="1060"/>
      <c r="GX75" s="1060"/>
      <c r="GY75" s="1060"/>
      <c r="GZ75" s="1060"/>
      <c r="HA75" s="1060"/>
      <c r="HB75" s="1060"/>
      <c r="HC75" s="1060"/>
      <c r="HD75" s="1060"/>
      <c r="HE75" s="1060"/>
      <c r="HF75" s="1060"/>
      <c r="HG75" s="1060"/>
      <c r="HH75" s="1060"/>
      <c r="HI75" s="1060"/>
      <c r="HJ75" s="1060"/>
      <c r="HK75" s="1060"/>
      <c r="HL75" s="1060"/>
      <c r="HM75" s="1060"/>
      <c r="HN75" s="1060"/>
      <c r="HO75" s="1060"/>
      <c r="HP75" s="1060"/>
      <c r="HQ75" s="1060"/>
      <c r="HR75" s="1060"/>
      <c r="HS75" s="1060"/>
      <c r="HT75" s="1060"/>
      <c r="HU75" s="1060"/>
      <c r="HV75" s="1060"/>
      <c r="HW75" s="1060"/>
      <c r="HX75" s="1076"/>
      <c r="HY75" s="1062"/>
      <c r="HZ75" s="1062"/>
      <c r="IA75" s="1062"/>
      <c r="IB75" s="1062"/>
      <c r="IC75" s="1077"/>
      <c r="ID75" s="1077"/>
      <c r="IE75" s="1062"/>
      <c r="IF75" s="1062"/>
      <c r="IG75" s="1062"/>
      <c r="IH75" s="1062"/>
      <c r="II75" s="1062"/>
      <c r="IJ75" s="1062"/>
      <c r="IK75" s="1085"/>
      <c r="IL75" s="1085"/>
      <c r="IM75" s="1085"/>
      <c r="IN75" s="1085"/>
      <c r="IO75" s="1085"/>
      <c r="IP75" s="1085"/>
      <c r="IQ75" s="1085"/>
      <c r="IR75" s="1085"/>
      <c r="IS75" s="1085"/>
      <c r="IT75" s="1085"/>
      <c r="IU75" s="1085"/>
      <c r="IV75" s="1085"/>
      <c r="IW75" s="1085"/>
      <c r="IX75" s="1085"/>
      <c r="IY75" s="1085"/>
      <c r="IZ75" s="1085"/>
      <c r="JA75" s="1085"/>
      <c r="JB75" s="1085"/>
      <c r="JC75" s="1085"/>
      <c r="JD75" s="1085"/>
      <c r="JE75" s="1085"/>
      <c r="JF75" s="1085"/>
      <c r="JG75" s="1085"/>
      <c r="JH75" s="1085"/>
      <c r="JI75" s="1085"/>
      <c r="JJ75" s="1085"/>
      <c r="JK75" s="1085"/>
      <c r="JL75" s="1085"/>
      <c r="JM75" s="1085"/>
      <c r="JN75" s="1085"/>
      <c r="JO75" s="1085"/>
      <c r="JP75" s="1085"/>
      <c r="JQ75" s="1085"/>
      <c r="JR75" s="1085"/>
      <c r="JS75" s="1085"/>
      <c r="JT75" s="1085"/>
      <c r="JU75" s="1085"/>
      <c r="JV75" s="1085"/>
      <c r="JW75" s="1085"/>
      <c r="JX75" s="1085"/>
      <c r="JY75" s="1085"/>
      <c r="JZ75" s="1085"/>
      <c r="KA75" s="1085"/>
      <c r="KB75" s="1085"/>
      <c r="KC75" s="1085"/>
      <c r="KD75" s="1085"/>
      <c r="KE75" s="1085"/>
      <c r="KF75" s="1085"/>
      <c r="KG75" s="1085"/>
      <c r="KH75" s="1085"/>
      <c r="KI75" s="1085"/>
      <c r="KJ75" s="1085"/>
      <c r="KK75" s="1085"/>
      <c r="KL75" s="1085"/>
      <c r="KM75" s="1085"/>
      <c r="KN75" s="1085"/>
      <c r="KO75" s="1085"/>
      <c r="KP75" s="1085"/>
      <c r="KQ75" s="1085"/>
      <c r="KR75" s="1085"/>
      <c r="KS75" s="1085"/>
      <c r="KT75" s="1085"/>
      <c r="KU75" s="1085"/>
      <c r="KV75" s="1085"/>
      <c r="KW75" s="1085"/>
      <c r="KX75" s="1085"/>
      <c r="KY75" s="1085"/>
      <c r="KZ75" s="1085"/>
      <c r="LA75" s="1085"/>
      <c r="LB75" s="1085"/>
      <c r="LC75" s="1085"/>
      <c r="LD75" s="1085"/>
      <c r="LE75" s="1085"/>
      <c r="LF75" s="1085"/>
      <c r="LG75" s="1085"/>
      <c r="LH75" s="1085"/>
      <c r="LI75" s="1085"/>
      <c r="LJ75" s="1085"/>
      <c r="LK75" s="1085"/>
      <c r="LL75" s="1085"/>
      <c r="LM75" s="1085"/>
      <c r="LN75" s="1085"/>
      <c r="LO75" s="1085"/>
      <c r="LP75" s="1085"/>
      <c r="LQ75" s="1085"/>
      <c r="LR75" s="1085"/>
      <c r="LS75" s="1085"/>
      <c r="LT75" s="1085"/>
      <c r="LU75" s="1085"/>
      <c r="LV75" s="1085"/>
      <c r="LW75" s="1085"/>
      <c r="LX75" s="1085"/>
      <c r="LY75" s="1085"/>
      <c r="LZ75" s="1085"/>
      <c r="MA75" s="1085"/>
      <c r="MB75" s="1085"/>
      <c r="MC75" s="1085"/>
      <c r="MD75" s="1085"/>
      <c r="ME75" s="1085"/>
      <c r="MF75" s="1085"/>
      <c r="MG75" s="1085"/>
      <c r="MH75" s="1085"/>
      <c r="MI75" s="1085"/>
      <c r="MJ75" s="1085"/>
      <c r="MK75" s="1085"/>
      <c r="ML75" s="1085"/>
      <c r="MM75" s="1085"/>
      <c r="MN75" s="1085"/>
      <c r="MO75" s="1085"/>
      <c r="MP75" s="1085"/>
      <c r="MQ75" s="1085"/>
      <c r="MR75" s="1085"/>
      <c r="MS75" s="1085"/>
      <c r="MT75" s="1085"/>
      <c r="MU75" s="1085"/>
      <c r="MV75" s="1085"/>
      <c r="MW75" s="1085"/>
      <c r="MX75" s="1085"/>
      <c r="MY75" s="1085"/>
      <c r="MZ75" s="1085"/>
      <c r="NA75" s="1085"/>
      <c r="NB75" s="1085"/>
      <c r="NC75" s="1085"/>
      <c r="ND75" s="1085"/>
      <c r="NE75" s="1085"/>
    </row>
    <row r="76" customFormat="1" spans="1:369">
      <c r="A76" s="1059" t="s">
        <v>164</v>
      </c>
      <c r="B76" s="1062" t="str">
        <f>IF(OR(A76="说服",A76="话术",A76="取悦",A76="恐吓"),"☯",IF(ISNUMBER(SEARCH(A76,VLOOKUP(IX$2,职业列表!$B$1:$G$370,6,0))),"★",""))</f>
        <v/>
      </c>
      <c r="C76" s="1061" t="str">
        <f>IF(ISTEXT(IFERROR(VLOOKUP(A76,职业列表!I12:J19,1,FALSE),0)),"★","")</f>
        <v/>
      </c>
      <c r="D76" s="1062"/>
      <c r="E76" s="1062"/>
      <c r="F76" s="1062"/>
      <c r="G76" s="1062"/>
      <c r="H76" s="1062"/>
      <c r="I76" s="1062"/>
      <c r="J76" s="1062"/>
      <c r="K76" s="1062"/>
      <c r="L76" s="1062"/>
      <c r="M76" s="1062"/>
      <c r="N76" s="1062"/>
      <c r="O76" s="1062"/>
      <c r="P76" s="1062"/>
      <c r="Q76" s="1062"/>
      <c r="R76" s="1062"/>
      <c r="S76" s="1062"/>
      <c r="T76" s="1062"/>
      <c r="U76" s="1062"/>
      <c r="V76" s="1062"/>
      <c r="W76" s="1062"/>
      <c r="X76" s="1062"/>
      <c r="Y76" s="1062"/>
      <c r="Z76" s="1062"/>
      <c r="AA76" s="1062"/>
      <c r="AB76" s="1062"/>
      <c r="AC76" s="1062"/>
      <c r="AD76" s="1062"/>
      <c r="AE76" s="1062"/>
      <c r="AF76" s="1062"/>
      <c r="AG76" s="1062"/>
      <c r="AH76" s="1062"/>
      <c r="AI76" s="1062"/>
      <c r="AJ76" s="1062"/>
      <c r="AK76" s="1062"/>
      <c r="AL76" s="1062"/>
      <c r="AM76" s="1062"/>
      <c r="AN76" s="1062"/>
      <c r="AO76" s="1062"/>
      <c r="AP76" s="1062"/>
      <c r="AQ76" s="1062"/>
      <c r="AR76" s="1062"/>
      <c r="AS76" s="1062"/>
      <c r="AT76" s="1062"/>
      <c r="AU76" s="1062"/>
      <c r="AV76" s="1062"/>
      <c r="AW76" s="1062"/>
      <c r="AX76" s="1062"/>
      <c r="AY76" s="1062"/>
      <c r="AZ76" s="1062"/>
      <c r="BA76" s="1062"/>
      <c r="BB76" s="1062"/>
      <c r="BC76" s="1062"/>
      <c r="BD76" s="1062"/>
      <c r="BE76" s="1062"/>
      <c r="BF76" s="1062"/>
      <c r="BG76" s="1062"/>
      <c r="BH76" s="1062"/>
      <c r="BI76" s="1062"/>
      <c r="BJ76" s="1062"/>
      <c r="BK76" s="1062"/>
      <c r="BL76" s="1062"/>
      <c r="BM76" s="1062"/>
      <c r="BN76" s="1062"/>
      <c r="BO76" s="1062"/>
      <c r="BP76" s="1062"/>
      <c r="BQ76" s="1062"/>
      <c r="BR76" s="1062"/>
      <c r="BS76" s="1062"/>
      <c r="BT76" s="1062"/>
      <c r="BU76" s="1062"/>
      <c r="BV76" s="1062"/>
      <c r="BW76" s="1062"/>
      <c r="BX76" s="1062"/>
      <c r="BY76" s="1062"/>
      <c r="BZ76" s="1062"/>
      <c r="CA76" s="1062"/>
      <c r="CB76" s="1062"/>
      <c r="CC76" s="1062"/>
      <c r="CD76" s="1062"/>
      <c r="CE76" s="1062"/>
      <c r="CF76" s="1062"/>
      <c r="CG76" s="1062"/>
      <c r="CH76" s="1062"/>
      <c r="CI76" s="1062"/>
      <c r="CJ76" s="1062"/>
      <c r="CK76" s="1062"/>
      <c r="CL76" s="1062"/>
      <c r="CM76" s="1062"/>
      <c r="CN76" s="1062"/>
      <c r="CO76" s="1062"/>
      <c r="CP76" s="1062"/>
      <c r="CQ76" s="1062"/>
      <c r="CR76" s="1062"/>
      <c r="CS76" s="1062"/>
      <c r="CT76" s="1062"/>
      <c r="CU76" s="1062"/>
      <c r="CV76" s="1062"/>
      <c r="CW76" s="1062"/>
      <c r="CX76" s="1062"/>
      <c r="CY76" s="1062"/>
      <c r="CZ76" s="1062"/>
      <c r="DA76" s="1062"/>
      <c r="DB76" s="1062"/>
      <c r="DC76" s="1062"/>
      <c r="DD76" s="1062"/>
      <c r="DE76" s="1062"/>
      <c r="DF76" s="1062"/>
      <c r="DG76" s="1062"/>
      <c r="DH76" s="1062"/>
      <c r="DI76" s="1062"/>
      <c r="DJ76" s="1062"/>
      <c r="DK76" s="1062"/>
      <c r="DL76" s="1062"/>
      <c r="DM76" s="1062"/>
      <c r="DN76" s="1062"/>
      <c r="DO76" s="1062"/>
      <c r="DP76" s="1062"/>
      <c r="DQ76" s="1062"/>
      <c r="DR76" s="1062"/>
      <c r="DS76" s="1062"/>
      <c r="DT76" s="1062"/>
      <c r="DU76" s="1062"/>
      <c r="DV76" s="1062"/>
      <c r="DW76" s="1062"/>
      <c r="DX76" s="1062"/>
      <c r="DY76" s="1062"/>
      <c r="DZ76" s="1062"/>
      <c r="EA76" s="1062"/>
      <c r="EB76" s="1062"/>
      <c r="EC76" s="1062"/>
      <c r="ED76" s="1062"/>
      <c r="EE76" s="1062"/>
      <c r="EF76" s="1062"/>
      <c r="EG76" s="1062"/>
      <c r="EH76" s="1062"/>
      <c r="EI76" s="1062"/>
      <c r="EJ76" s="1062"/>
      <c r="EK76" s="1062"/>
      <c r="EL76" s="1062"/>
      <c r="EM76" s="1062"/>
      <c r="EN76" s="1062"/>
      <c r="EO76" s="1062"/>
      <c r="EP76" s="1062"/>
      <c r="EQ76" s="1062"/>
      <c r="ER76" s="1062"/>
      <c r="ES76" s="1062"/>
      <c r="ET76" s="1062"/>
      <c r="EU76" s="1062"/>
      <c r="EV76" s="1062"/>
      <c r="EW76" s="1062"/>
      <c r="EX76" s="1062"/>
      <c r="EY76" s="1062"/>
      <c r="EZ76" s="1062"/>
      <c r="FA76" s="1062"/>
      <c r="FB76" s="1062"/>
      <c r="FC76" s="1062"/>
      <c r="FD76" s="1062"/>
      <c r="FE76" s="1062"/>
      <c r="FF76" s="1062"/>
      <c r="FG76" s="1062"/>
      <c r="FH76" s="1062"/>
      <c r="FI76" s="1062"/>
      <c r="FJ76" s="1062"/>
      <c r="FK76" s="1062"/>
      <c r="FL76" s="1062"/>
      <c r="FM76" s="1062"/>
      <c r="FN76" s="1062"/>
      <c r="FO76" s="1062"/>
      <c r="FP76" s="1062"/>
      <c r="FQ76" s="1062"/>
      <c r="FR76" s="1062"/>
      <c r="FS76" s="1062"/>
      <c r="FT76" s="1062"/>
      <c r="FU76" s="1062"/>
      <c r="FV76" s="1062"/>
      <c r="FW76" s="1062"/>
      <c r="FX76" s="1062"/>
      <c r="FY76" s="1062"/>
      <c r="FZ76" s="1062"/>
      <c r="GA76" s="1062"/>
      <c r="GB76" s="1062"/>
      <c r="GC76" s="1062"/>
      <c r="GD76" s="1062"/>
      <c r="GE76" s="1062"/>
      <c r="GF76" s="1062"/>
      <c r="GG76" s="1062"/>
      <c r="GH76" s="1062"/>
      <c r="GI76" s="1062"/>
      <c r="GJ76" s="1062"/>
      <c r="GK76" s="1062"/>
      <c r="GL76" s="1062"/>
      <c r="GM76" s="1062"/>
      <c r="GN76" s="1062"/>
      <c r="GO76" s="1062"/>
      <c r="GP76" s="1062"/>
      <c r="GQ76" s="1062"/>
      <c r="GR76" s="1062"/>
      <c r="GS76" s="1062"/>
      <c r="GT76" s="1062"/>
      <c r="GU76" s="1062"/>
      <c r="GV76" s="1062"/>
      <c r="GW76" s="1062"/>
      <c r="GX76" s="1062"/>
      <c r="GY76" s="1062"/>
      <c r="GZ76" s="1062"/>
      <c r="HA76" s="1062"/>
      <c r="HB76" s="1062"/>
      <c r="HC76" s="1062"/>
      <c r="HD76" s="1062"/>
      <c r="HE76" s="1062"/>
      <c r="HF76" s="1062"/>
      <c r="HG76" s="1062"/>
      <c r="HH76" s="1062"/>
      <c r="HI76" s="1062"/>
      <c r="HJ76" s="1062"/>
      <c r="HK76" s="1062"/>
      <c r="HL76" s="1062"/>
      <c r="HM76" s="1062"/>
      <c r="HN76" s="1062"/>
      <c r="HO76" s="1062"/>
      <c r="HP76" s="1062"/>
      <c r="HQ76" s="1062"/>
      <c r="HR76" s="1062"/>
      <c r="HS76" s="1062"/>
      <c r="HT76" s="1062"/>
      <c r="HU76" s="1062"/>
      <c r="HV76" s="1062"/>
      <c r="HW76" s="1062"/>
      <c r="HX76" s="1077"/>
      <c r="HY76" s="1062"/>
      <c r="HZ76" s="1062"/>
      <c r="IA76" s="1062"/>
      <c r="IB76" s="1062"/>
      <c r="IC76" s="1077"/>
      <c r="ID76" s="1077"/>
      <c r="IE76" s="1062"/>
      <c r="IF76" s="1062"/>
      <c r="IG76" s="1062"/>
      <c r="IH76" s="1062"/>
      <c r="II76" s="1062"/>
      <c r="IJ76" s="1062"/>
      <c r="IK76" s="1085"/>
      <c r="IL76" s="1085"/>
      <c r="IM76" s="1085"/>
      <c r="IN76" s="1085"/>
      <c r="IO76" s="1085"/>
      <c r="IP76" s="1085"/>
      <c r="IQ76" s="1085"/>
      <c r="IR76" s="1085"/>
      <c r="IS76" s="1085"/>
      <c r="IT76" s="1085"/>
      <c r="IU76" s="1085"/>
      <c r="IV76" s="1085"/>
      <c r="IW76" s="1085"/>
      <c r="IX76" s="1085"/>
      <c r="IY76" s="1085"/>
      <c r="IZ76" s="1085"/>
      <c r="JA76" s="1085"/>
      <c r="JB76" s="1085"/>
      <c r="JC76" s="1085"/>
      <c r="JD76" s="1085"/>
      <c r="JE76" s="1085"/>
      <c r="JF76" s="1085"/>
      <c r="JG76" s="1085"/>
      <c r="JH76" s="1085"/>
      <c r="JI76" s="1085"/>
      <c r="JJ76" s="1085"/>
      <c r="JK76" s="1085"/>
      <c r="JL76" s="1085"/>
      <c r="JM76" s="1085"/>
      <c r="JN76" s="1085"/>
      <c r="JO76" s="1085"/>
      <c r="JP76" s="1085"/>
      <c r="JQ76" s="1085"/>
      <c r="JR76" s="1085"/>
      <c r="JS76" s="1085"/>
      <c r="JT76" s="1085"/>
      <c r="JU76" s="1085"/>
      <c r="JV76" s="1085"/>
      <c r="JW76" s="1085"/>
      <c r="JX76" s="1085"/>
      <c r="JY76" s="1085"/>
      <c r="JZ76" s="1085"/>
      <c r="KA76" s="1085"/>
      <c r="KB76" s="1085"/>
      <c r="KC76" s="1085"/>
      <c r="KD76" s="1085"/>
      <c r="KE76" s="1085"/>
      <c r="KF76" s="1085"/>
      <c r="KG76" s="1085"/>
      <c r="KH76" s="1085"/>
      <c r="KI76" s="1085"/>
      <c r="KJ76" s="1085"/>
      <c r="KK76" s="1085"/>
      <c r="KL76" s="1085"/>
      <c r="KM76" s="1085"/>
      <c r="KN76" s="1085"/>
      <c r="KO76" s="1085"/>
      <c r="KP76" s="1085"/>
      <c r="KQ76" s="1085"/>
      <c r="KR76" s="1085"/>
      <c r="KS76" s="1085"/>
      <c r="KT76" s="1085"/>
      <c r="KU76" s="1085"/>
      <c r="KV76" s="1085"/>
      <c r="KW76" s="1085"/>
      <c r="KX76" s="1085"/>
      <c r="KY76" s="1085"/>
      <c r="KZ76" s="1085"/>
      <c r="LA76" s="1085"/>
      <c r="LB76" s="1085"/>
      <c r="LC76" s="1085"/>
      <c r="LD76" s="1085"/>
      <c r="LE76" s="1085"/>
      <c r="LF76" s="1085"/>
      <c r="LG76" s="1085"/>
      <c r="LH76" s="1085"/>
      <c r="LI76" s="1085"/>
      <c r="LJ76" s="1085"/>
      <c r="LK76" s="1085"/>
      <c r="LL76" s="1085"/>
      <c r="LM76" s="1085"/>
      <c r="LN76" s="1085"/>
      <c r="LO76" s="1085"/>
      <c r="LP76" s="1085"/>
      <c r="LQ76" s="1085"/>
      <c r="LR76" s="1085"/>
      <c r="LS76" s="1085"/>
      <c r="LT76" s="1085"/>
      <c r="LU76" s="1085"/>
      <c r="LV76" s="1085"/>
      <c r="LW76" s="1085"/>
      <c r="LX76" s="1085"/>
      <c r="LY76" s="1085"/>
      <c r="LZ76" s="1085"/>
      <c r="MA76" s="1085"/>
      <c r="MB76" s="1085"/>
      <c r="MC76" s="1085"/>
      <c r="MD76" s="1085"/>
      <c r="ME76" s="1085"/>
      <c r="MF76" s="1085"/>
      <c r="MG76" s="1085"/>
      <c r="MH76" s="1085"/>
      <c r="MI76" s="1085"/>
      <c r="MJ76" s="1085"/>
      <c r="MK76" s="1085"/>
      <c r="ML76" s="1085"/>
      <c r="MM76" s="1085"/>
      <c r="MN76" s="1085"/>
      <c r="MO76" s="1085"/>
      <c r="MP76" s="1085"/>
      <c r="MQ76" s="1085"/>
      <c r="MR76" s="1085"/>
      <c r="MS76" s="1085"/>
      <c r="MT76" s="1085"/>
      <c r="MU76" s="1085"/>
      <c r="MV76" s="1085"/>
      <c r="MW76" s="1085"/>
      <c r="MX76" s="1085"/>
      <c r="MY76" s="1085"/>
      <c r="MZ76" s="1085"/>
      <c r="NA76" s="1085"/>
      <c r="NB76" s="1085"/>
      <c r="NC76" s="1085"/>
      <c r="ND76" s="1085"/>
      <c r="NE76" s="1085"/>
    </row>
    <row r="77" customFormat="1" spans="1:369">
      <c r="A77" s="1059" t="s">
        <v>166</v>
      </c>
      <c r="B77" s="1062" t="str">
        <f>IF(OR(A77="说服",A77="话术",A77="取悦",A77="恐吓"),"☯",IF(ISNUMBER(SEARCH(A77,VLOOKUP(IX$2,职业列表!$B$1:$G$370,6,0))),"★",""))</f>
        <v/>
      </c>
      <c r="C77" s="1061" t="str">
        <f>IF(ISTEXT(IFERROR(VLOOKUP(A77,职业列表!I12:J19,1,FALSE),0)),"★","")</f>
        <v/>
      </c>
      <c r="D77" s="1062"/>
      <c r="E77" s="1062"/>
      <c r="F77" s="1062"/>
      <c r="G77" s="1062"/>
      <c r="H77" s="1062"/>
      <c r="I77" s="1062"/>
      <c r="J77" s="1062"/>
      <c r="K77" s="1062"/>
      <c r="L77" s="1062"/>
      <c r="M77" s="1062"/>
      <c r="N77" s="1062"/>
      <c r="O77" s="1062"/>
      <c r="P77" s="1062"/>
      <c r="Q77" s="1062"/>
      <c r="R77" s="1062"/>
      <c r="S77" s="1062"/>
      <c r="T77" s="1062"/>
      <c r="U77" s="1062"/>
      <c r="V77" s="1062"/>
      <c r="W77" s="1062"/>
      <c r="X77" s="1062"/>
      <c r="Y77" s="1062"/>
      <c r="Z77" s="1062"/>
      <c r="AA77" s="1062"/>
      <c r="AB77" s="1062"/>
      <c r="AC77" s="1062"/>
      <c r="AD77" s="1062"/>
      <c r="AE77" s="1062"/>
      <c r="AF77" s="1062"/>
      <c r="AG77" s="1062"/>
      <c r="AH77" s="1062"/>
      <c r="AI77" s="1062"/>
      <c r="AJ77" s="1062"/>
      <c r="AK77" s="1062"/>
      <c r="AL77" s="1062"/>
      <c r="AM77" s="1062"/>
      <c r="AN77" s="1062"/>
      <c r="AO77" s="1062"/>
      <c r="AP77" s="1062"/>
      <c r="AQ77" s="1062"/>
      <c r="AR77" s="1062"/>
      <c r="AS77" s="1062"/>
      <c r="AT77" s="1062"/>
      <c r="AU77" s="1062"/>
      <c r="AV77" s="1062"/>
      <c r="AW77" s="1062"/>
      <c r="AX77" s="1062"/>
      <c r="AY77" s="1062"/>
      <c r="AZ77" s="1062"/>
      <c r="BA77" s="1062"/>
      <c r="BB77" s="1062"/>
      <c r="BC77" s="1062"/>
      <c r="BD77" s="1062"/>
      <c r="BE77" s="1062"/>
      <c r="BF77" s="1062"/>
      <c r="BG77" s="1062"/>
      <c r="BH77" s="1062"/>
      <c r="BI77" s="1062"/>
      <c r="BJ77" s="1062"/>
      <c r="BK77" s="1062"/>
      <c r="BL77" s="1062"/>
      <c r="BM77" s="1062"/>
      <c r="BN77" s="1062"/>
      <c r="BO77" s="1062"/>
      <c r="BP77" s="1062"/>
      <c r="BQ77" s="1062"/>
      <c r="BR77" s="1062"/>
      <c r="BS77" s="1062"/>
      <c r="BT77" s="1062"/>
      <c r="BU77" s="1062"/>
      <c r="BV77" s="1062"/>
      <c r="BW77" s="1062"/>
      <c r="BX77" s="1062"/>
      <c r="BY77" s="1062"/>
      <c r="BZ77" s="1062"/>
      <c r="CA77" s="1062"/>
      <c r="CB77" s="1062"/>
      <c r="CC77" s="1062"/>
      <c r="CD77" s="1062"/>
      <c r="CE77" s="1062"/>
      <c r="CF77" s="1062"/>
      <c r="CG77" s="1062"/>
      <c r="CH77" s="1062"/>
      <c r="CI77" s="1062"/>
      <c r="CJ77" s="1062"/>
      <c r="CK77" s="1062"/>
      <c r="CL77" s="1062"/>
      <c r="CM77" s="1062"/>
      <c r="CN77" s="1062"/>
      <c r="CO77" s="1062"/>
      <c r="CP77" s="1062"/>
      <c r="CQ77" s="1062"/>
      <c r="CR77" s="1062"/>
      <c r="CS77" s="1062"/>
      <c r="CT77" s="1062"/>
      <c r="CU77" s="1062"/>
      <c r="CV77" s="1062"/>
      <c r="CW77" s="1062"/>
      <c r="CX77" s="1062"/>
      <c r="CY77" s="1062"/>
      <c r="CZ77" s="1062"/>
      <c r="DA77" s="1062"/>
      <c r="DB77" s="1062"/>
      <c r="DC77" s="1062"/>
      <c r="DD77" s="1062"/>
      <c r="DE77" s="1062"/>
      <c r="DF77" s="1062"/>
      <c r="DG77" s="1062"/>
      <c r="DH77" s="1062"/>
      <c r="DI77" s="1062"/>
      <c r="DJ77" s="1062"/>
      <c r="DK77" s="1062"/>
      <c r="DL77" s="1062"/>
      <c r="DM77" s="1062"/>
      <c r="DN77" s="1062"/>
      <c r="DO77" s="1062"/>
      <c r="DP77" s="1062"/>
      <c r="DQ77" s="1062"/>
      <c r="DR77" s="1062"/>
      <c r="DS77" s="1062"/>
      <c r="DT77" s="1062"/>
      <c r="DU77" s="1062"/>
      <c r="DV77" s="1062"/>
      <c r="DW77" s="1062"/>
      <c r="DX77" s="1062"/>
      <c r="DY77" s="1062"/>
      <c r="DZ77" s="1062"/>
      <c r="EA77" s="1062"/>
      <c r="EB77" s="1062"/>
      <c r="EC77" s="1062"/>
      <c r="ED77" s="1062"/>
      <c r="EE77" s="1062"/>
      <c r="EF77" s="1062"/>
      <c r="EG77" s="1062"/>
      <c r="EH77" s="1062"/>
      <c r="EI77" s="1062"/>
      <c r="EJ77" s="1062"/>
      <c r="EK77" s="1062"/>
      <c r="EL77" s="1062"/>
      <c r="EM77" s="1062"/>
      <c r="EN77" s="1062"/>
      <c r="EO77" s="1062"/>
      <c r="EP77" s="1062"/>
      <c r="EQ77" s="1062"/>
      <c r="ER77" s="1062"/>
      <c r="ES77" s="1062"/>
      <c r="ET77" s="1062"/>
      <c r="EU77" s="1062"/>
      <c r="EV77" s="1062"/>
      <c r="EW77" s="1062"/>
      <c r="EX77" s="1062"/>
      <c r="EY77" s="1062"/>
      <c r="EZ77" s="1062"/>
      <c r="FA77" s="1062"/>
      <c r="FB77" s="1062"/>
      <c r="FC77" s="1062"/>
      <c r="FD77" s="1062"/>
      <c r="FE77" s="1062"/>
      <c r="FF77" s="1062"/>
      <c r="FG77" s="1062"/>
      <c r="FH77" s="1062"/>
      <c r="FI77" s="1062"/>
      <c r="FJ77" s="1062"/>
      <c r="FK77" s="1062"/>
      <c r="FL77" s="1062"/>
      <c r="FM77" s="1062"/>
      <c r="FN77" s="1062"/>
      <c r="FO77" s="1062"/>
      <c r="FP77" s="1062"/>
      <c r="FQ77" s="1062"/>
      <c r="FR77" s="1062"/>
      <c r="FS77" s="1062"/>
      <c r="FT77" s="1062"/>
      <c r="FU77" s="1062"/>
      <c r="FV77" s="1062"/>
      <c r="FW77" s="1062"/>
      <c r="FX77" s="1062"/>
      <c r="FY77" s="1062"/>
      <c r="FZ77" s="1062"/>
      <c r="GA77" s="1062"/>
      <c r="GB77" s="1062"/>
      <c r="GC77" s="1062"/>
      <c r="GD77" s="1062"/>
      <c r="GE77" s="1062"/>
      <c r="GF77" s="1062"/>
      <c r="GG77" s="1062"/>
      <c r="GH77" s="1062"/>
      <c r="GI77" s="1062"/>
      <c r="GJ77" s="1062"/>
      <c r="GK77" s="1062"/>
      <c r="GL77" s="1062"/>
      <c r="GM77" s="1062"/>
      <c r="GN77" s="1062"/>
      <c r="GO77" s="1062"/>
      <c r="GP77" s="1062"/>
      <c r="GQ77" s="1062"/>
      <c r="GR77" s="1062"/>
      <c r="GS77" s="1062"/>
      <c r="GT77" s="1062"/>
      <c r="GU77" s="1062"/>
      <c r="GV77" s="1062"/>
      <c r="GW77" s="1062"/>
      <c r="GX77" s="1062"/>
      <c r="GY77" s="1062"/>
      <c r="GZ77" s="1062"/>
      <c r="HA77" s="1062"/>
      <c r="HB77" s="1062"/>
      <c r="HC77" s="1062"/>
      <c r="HD77" s="1062"/>
      <c r="HE77" s="1062"/>
      <c r="HF77" s="1062"/>
      <c r="HG77" s="1062"/>
      <c r="HH77" s="1062"/>
      <c r="HI77" s="1062"/>
      <c r="HJ77" s="1062"/>
      <c r="HK77" s="1062"/>
      <c r="HL77" s="1062"/>
      <c r="HM77" s="1062"/>
      <c r="HN77" s="1062"/>
      <c r="HO77" s="1062"/>
      <c r="HP77" s="1062"/>
      <c r="HQ77" s="1062"/>
      <c r="HR77" s="1062"/>
      <c r="HS77" s="1062"/>
      <c r="HT77" s="1062"/>
      <c r="HU77" s="1062"/>
      <c r="HV77" s="1062"/>
      <c r="HW77" s="1062"/>
      <c r="HX77" s="1077"/>
      <c r="HY77" s="1062"/>
      <c r="HZ77" s="1062"/>
      <c r="IA77" s="1062"/>
      <c r="IB77" s="1062"/>
      <c r="IC77" s="1077"/>
      <c r="ID77" s="1077"/>
      <c r="IE77" s="1062"/>
      <c r="IF77" s="1062"/>
      <c r="IG77" s="1062"/>
      <c r="IH77" s="1062"/>
      <c r="II77" s="1062"/>
      <c r="IJ77" s="1062"/>
      <c r="IK77" s="1085"/>
      <c r="IL77" s="1085"/>
      <c r="IM77" s="1085"/>
      <c r="IN77" s="1085"/>
      <c r="IO77" s="1085"/>
      <c r="IP77" s="1085"/>
      <c r="IQ77" s="1085"/>
      <c r="IR77" s="1085"/>
      <c r="IS77" s="1085"/>
      <c r="IT77" s="1085"/>
      <c r="IU77" s="1085"/>
      <c r="IV77" s="1085"/>
      <c r="IW77" s="1085"/>
      <c r="IX77" s="1085"/>
      <c r="IY77" s="1085"/>
      <c r="IZ77" s="1085"/>
      <c r="JA77" s="1085"/>
      <c r="JB77" s="1085"/>
      <c r="JC77" s="1085"/>
      <c r="JD77" s="1085"/>
      <c r="JE77" s="1085"/>
      <c r="JF77" s="1085"/>
      <c r="JG77" s="1085"/>
      <c r="JH77" s="1085"/>
      <c r="JI77" s="1085"/>
      <c r="JJ77" s="1085"/>
      <c r="JK77" s="1085"/>
      <c r="JL77" s="1085"/>
      <c r="JM77" s="1085"/>
      <c r="JN77" s="1085"/>
      <c r="JO77" s="1085"/>
      <c r="JP77" s="1085"/>
      <c r="JQ77" s="1085"/>
      <c r="JR77" s="1085"/>
      <c r="JS77" s="1085"/>
      <c r="JT77" s="1085"/>
      <c r="JU77" s="1085"/>
      <c r="JV77" s="1085"/>
      <c r="JW77" s="1085"/>
      <c r="JX77" s="1085"/>
      <c r="JY77" s="1085"/>
      <c r="JZ77" s="1085"/>
      <c r="KA77" s="1085"/>
      <c r="KB77" s="1085"/>
      <c r="KC77" s="1085"/>
      <c r="KD77" s="1085"/>
      <c r="KE77" s="1085"/>
      <c r="KF77" s="1085"/>
      <c r="KG77" s="1085"/>
      <c r="KH77" s="1085"/>
      <c r="KI77" s="1085"/>
      <c r="KJ77" s="1085"/>
      <c r="KK77" s="1085"/>
      <c r="KL77" s="1085"/>
      <c r="KM77" s="1085"/>
      <c r="KN77" s="1085"/>
      <c r="KO77" s="1085"/>
      <c r="KP77" s="1085"/>
      <c r="KQ77" s="1085"/>
      <c r="KR77" s="1085"/>
      <c r="KS77" s="1085"/>
      <c r="KT77" s="1085"/>
      <c r="KU77" s="1085"/>
      <c r="KV77" s="1085"/>
      <c r="KW77" s="1085"/>
      <c r="KX77" s="1085"/>
      <c r="KY77" s="1085"/>
      <c r="KZ77" s="1085"/>
      <c r="LA77" s="1085"/>
      <c r="LB77" s="1085"/>
      <c r="LC77" s="1085"/>
      <c r="LD77" s="1085"/>
      <c r="LE77" s="1085"/>
      <c r="LF77" s="1085"/>
      <c r="LG77" s="1085"/>
      <c r="LH77" s="1085"/>
      <c r="LI77" s="1085"/>
      <c r="LJ77" s="1085"/>
      <c r="LK77" s="1085"/>
      <c r="LL77" s="1085"/>
      <c r="LM77" s="1085"/>
      <c r="LN77" s="1085"/>
      <c r="LO77" s="1085"/>
      <c r="LP77" s="1085"/>
      <c r="LQ77" s="1085"/>
      <c r="LR77" s="1085"/>
      <c r="LS77" s="1085"/>
      <c r="LT77" s="1085"/>
      <c r="LU77" s="1085"/>
      <c r="LV77" s="1085"/>
      <c r="LW77" s="1085"/>
      <c r="LX77" s="1085"/>
      <c r="LY77" s="1085"/>
      <c r="LZ77" s="1085"/>
      <c r="MA77" s="1085"/>
      <c r="MB77" s="1085"/>
      <c r="MC77" s="1085"/>
      <c r="MD77" s="1085"/>
      <c r="ME77" s="1085"/>
      <c r="MF77" s="1085"/>
      <c r="MG77" s="1085"/>
      <c r="MH77" s="1085"/>
      <c r="MI77" s="1085"/>
      <c r="MJ77" s="1085"/>
      <c r="MK77" s="1085"/>
      <c r="ML77" s="1085"/>
      <c r="MM77" s="1085"/>
      <c r="MN77" s="1085"/>
      <c r="MO77" s="1085"/>
      <c r="MP77" s="1085"/>
      <c r="MQ77" s="1085"/>
      <c r="MR77" s="1085"/>
      <c r="MS77" s="1085"/>
      <c r="MT77" s="1085"/>
      <c r="MU77" s="1085"/>
      <c r="MV77" s="1085"/>
      <c r="MW77" s="1085"/>
      <c r="MX77" s="1085"/>
      <c r="MY77" s="1085"/>
      <c r="MZ77" s="1085"/>
      <c r="NA77" s="1085"/>
      <c r="NB77" s="1085"/>
      <c r="NC77" s="1085"/>
      <c r="ND77" s="1085"/>
      <c r="NE77" s="1085"/>
    </row>
    <row r="78" customFormat="1" spans="1:369">
      <c r="A78" s="1059" t="s">
        <v>169</v>
      </c>
      <c r="B78" s="1062" t="str">
        <f>IF(OR(A78="说服",A78="话术",A78="取悦",A78="恐吓"),"☯",IF(ISNUMBER(SEARCH(A78,VLOOKUP(IX$2,职业列表!$B$1:$G$370,6,0))),"★",""))</f>
        <v/>
      </c>
      <c r="C78" s="1061" t="str">
        <f>IF(ISTEXT(IFERROR(VLOOKUP(A78,职业列表!I12:J19,1,FALSE),0)),"★","")</f>
        <v/>
      </c>
      <c r="D78" s="1062"/>
      <c r="E78" s="1062"/>
      <c r="F78" s="1062"/>
      <c r="G78" s="1062"/>
      <c r="H78" s="1062"/>
      <c r="I78" s="1062"/>
      <c r="J78" s="1062"/>
      <c r="K78" s="1062"/>
      <c r="L78" s="1062"/>
      <c r="M78" s="1062"/>
      <c r="N78" s="1062"/>
      <c r="O78" s="1062"/>
      <c r="P78" s="1062"/>
      <c r="Q78" s="1062"/>
      <c r="R78" s="1062"/>
      <c r="S78" s="1062"/>
      <c r="T78" s="1062"/>
      <c r="U78" s="1062"/>
      <c r="V78" s="1062"/>
      <c r="W78" s="1062"/>
      <c r="X78" s="1062"/>
      <c r="Y78" s="1062"/>
      <c r="Z78" s="1062"/>
      <c r="AA78" s="1062"/>
      <c r="AB78" s="1062"/>
      <c r="AC78" s="1062"/>
      <c r="AD78" s="1062"/>
      <c r="AE78" s="1062"/>
      <c r="AF78" s="1062"/>
      <c r="AG78" s="1062"/>
      <c r="AH78" s="1062"/>
      <c r="AI78" s="1062"/>
      <c r="AJ78" s="1062"/>
      <c r="AK78" s="1062"/>
      <c r="AL78" s="1062"/>
      <c r="AM78" s="1062"/>
      <c r="AN78" s="1062"/>
      <c r="AO78" s="1062"/>
      <c r="AP78" s="1062"/>
      <c r="AQ78" s="1062"/>
      <c r="AR78" s="1062"/>
      <c r="AS78" s="1062"/>
      <c r="AT78" s="1062"/>
      <c r="AU78" s="1062"/>
      <c r="AV78" s="1062"/>
      <c r="AW78" s="1062"/>
      <c r="AX78" s="1062"/>
      <c r="AY78" s="1062"/>
      <c r="AZ78" s="1062"/>
      <c r="BA78" s="1062"/>
      <c r="BB78" s="1062"/>
      <c r="BC78" s="1062"/>
      <c r="BD78" s="1062"/>
      <c r="BE78" s="1062"/>
      <c r="BF78" s="1062"/>
      <c r="BG78" s="1062"/>
      <c r="BH78" s="1062"/>
      <c r="BI78" s="1062"/>
      <c r="BJ78" s="1062"/>
      <c r="BK78" s="1062"/>
      <c r="BL78" s="1062"/>
      <c r="BM78" s="1062"/>
      <c r="BN78" s="1062"/>
      <c r="BO78" s="1062"/>
      <c r="BP78" s="1062"/>
      <c r="BQ78" s="1062"/>
      <c r="BR78" s="1062"/>
      <c r="BS78" s="1062"/>
      <c r="BT78" s="1062"/>
      <c r="BU78" s="1062"/>
      <c r="BV78" s="1062"/>
      <c r="BW78" s="1062"/>
      <c r="BX78" s="1062"/>
      <c r="BY78" s="1062"/>
      <c r="BZ78" s="1062"/>
      <c r="CA78" s="1062"/>
      <c r="CB78" s="1062"/>
      <c r="CC78" s="1062"/>
      <c r="CD78" s="1062"/>
      <c r="CE78" s="1062"/>
      <c r="CF78" s="1062"/>
      <c r="CG78" s="1062"/>
      <c r="CH78" s="1062"/>
      <c r="CI78" s="1062"/>
      <c r="CJ78" s="1062"/>
      <c r="CK78" s="1062"/>
      <c r="CL78" s="1062"/>
      <c r="CM78" s="1062"/>
      <c r="CN78" s="1062"/>
      <c r="CO78" s="1062"/>
      <c r="CP78" s="1062"/>
      <c r="CQ78" s="1062"/>
      <c r="CR78" s="1062"/>
      <c r="CS78" s="1062"/>
      <c r="CT78" s="1062"/>
      <c r="CU78" s="1062"/>
      <c r="CV78" s="1062"/>
      <c r="CW78" s="1062"/>
      <c r="CX78" s="1062"/>
      <c r="CY78" s="1062"/>
      <c r="CZ78" s="1062"/>
      <c r="DA78" s="1062"/>
      <c r="DB78" s="1062"/>
      <c r="DC78" s="1062"/>
      <c r="DD78" s="1062"/>
      <c r="DE78" s="1062"/>
      <c r="DF78" s="1062"/>
      <c r="DG78" s="1062"/>
      <c r="DH78" s="1062"/>
      <c r="DI78" s="1062"/>
      <c r="DJ78" s="1062"/>
      <c r="DK78" s="1062"/>
      <c r="DL78" s="1062"/>
      <c r="DM78" s="1062"/>
      <c r="DN78" s="1062"/>
      <c r="DO78" s="1062"/>
      <c r="DP78" s="1062"/>
      <c r="DQ78" s="1062"/>
      <c r="DR78" s="1062"/>
      <c r="DS78" s="1062"/>
      <c r="DT78" s="1062"/>
      <c r="DU78" s="1062"/>
      <c r="DV78" s="1062"/>
      <c r="DW78" s="1062"/>
      <c r="DX78" s="1062"/>
      <c r="DY78" s="1062"/>
      <c r="DZ78" s="1062"/>
      <c r="EA78" s="1062"/>
      <c r="EB78" s="1062"/>
      <c r="EC78" s="1062"/>
      <c r="ED78" s="1062"/>
      <c r="EE78" s="1062"/>
      <c r="EF78" s="1062"/>
      <c r="EG78" s="1062"/>
      <c r="EH78" s="1062"/>
      <c r="EI78" s="1062"/>
      <c r="EJ78" s="1062"/>
      <c r="EK78" s="1062"/>
      <c r="EL78" s="1062"/>
      <c r="EM78" s="1062"/>
      <c r="EN78" s="1062"/>
      <c r="EO78" s="1062"/>
      <c r="EP78" s="1062"/>
      <c r="EQ78" s="1062"/>
      <c r="ER78" s="1062"/>
      <c r="ES78" s="1062"/>
      <c r="ET78" s="1062"/>
      <c r="EU78" s="1062"/>
      <c r="EV78" s="1062"/>
      <c r="EW78" s="1062"/>
      <c r="EX78" s="1062"/>
      <c r="EY78" s="1062"/>
      <c r="EZ78" s="1062"/>
      <c r="FA78" s="1062"/>
      <c r="FB78" s="1062"/>
      <c r="FC78" s="1062"/>
      <c r="FD78" s="1062"/>
      <c r="FE78" s="1062"/>
      <c r="FF78" s="1062"/>
      <c r="FG78" s="1062"/>
      <c r="FH78" s="1062"/>
      <c r="FI78" s="1062"/>
      <c r="FJ78" s="1062"/>
      <c r="FK78" s="1062"/>
      <c r="FL78" s="1062"/>
      <c r="FM78" s="1062"/>
      <c r="FN78" s="1062"/>
      <c r="FO78" s="1062"/>
      <c r="FP78" s="1062"/>
      <c r="FQ78" s="1062"/>
      <c r="FR78" s="1062"/>
      <c r="FS78" s="1062"/>
      <c r="FT78" s="1062"/>
      <c r="FU78" s="1062"/>
      <c r="FV78" s="1062"/>
      <c r="FW78" s="1062"/>
      <c r="FX78" s="1062"/>
      <c r="FY78" s="1062"/>
      <c r="FZ78" s="1062"/>
      <c r="GA78" s="1062"/>
      <c r="GB78" s="1062"/>
      <c r="GC78" s="1062"/>
      <c r="GD78" s="1062"/>
      <c r="GE78" s="1062"/>
      <c r="GF78" s="1062"/>
      <c r="GG78" s="1062"/>
      <c r="GH78" s="1062"/>
      <c r="GI78" s="1062"/>
      <c r="GJ78" s="1062"/>
      <c r="GK78" s="1062"/>
      <c r="GL78" s="1062"/>
      <c r="GM78" s="1062"/>
      <c r="GN78" s="1062"/>
      <c r="GO78" s="1062"/>
      <c r="GP78" s="1062"/>
      <c r="GQ78" s="1062"/>
      <c r="GR78" s="1062"/>
      <c r="GS78" s="1062"/>
      <c r="GT78" s="1062"/>
      <c r="GU78" s="1062"/>
      <c r="GV78" s="1062"/>
      <c r="GW78" s="1062"/>
      <c r="GX78" s="1062"/>
      <c r="GY78" s="1062"/>
      <c r="GZ78" s="1062"/>
      <c r="HA78" s="1062"/>
      <c r="HB78" s="1062"/>
      <c r="HC78" s="1062"/>
      <c r="HD78" s="1062"/>
      <c r="HE78" s="1062"/>
      <c r="HF78" s="1062"/>
      <c r="HG78" s="1062"/>
      <c r="HH78" s="1062"/>
      <c r="HI78" s="1062"/>
      <c r="HJ78" s="1062"/>
      <c r="HK78" s="1062"/>
      <c r="HL78" s="1062"/>
      <c r="HM78" s="1062"/>
      <c r="HN78" s="1062"/>
      <c r="HO78" s="1062"/>
      <c r="HP78" s="1062"/>
      <c r="HQ78" s="1062"/>
      <c r="HR78" s="1062"/>
      <c r="HS78" s="1062"/>
      <c r="HT78" s="1062"/>
      <c r="HU78" s="1062"/>
      <c r="HV78" s="1062"/>
      <c r="HW78" s="1062"/>
      <c r="HX78" s="1077"/>
      <c r="HY78" s="1062"/>
      <c r="HZ78" s="1062"/>
      <c r="IA78" s="1062"/>
      <c r="IB78" s="1062"/>
      <c r="IC78" s="1077"/>
      <c r="ID78" s="1077"/>
      <c r="IE78" s="1062"/>
      <c r="IF78" s="1062"/>
      <c r="IG78" s="1062"/>
      <c r="IH78" s="1062"/>
      <c r="II78" s="1062"/>
      <c r="IJ78" s="1062"/>
      <c r="IK78" s="1085"/>
      <c r="IL78" s="1085"/>
      <c r="IM78" s="1085"/>
      <c r="IN78" s="1085"/>
      <c r="IO78" s="1085"/>
      <c r="IP78" s="1085"/>
      <c r="IQ78" s="1085"/>
      <c r="IR78" s="1085"/>
      <c r="IS78" s="1085"/>
      <c r="IT78" s="1085"/>
      <c r="IU78" s="1085"/>
      <c r="IV78" s="1085"/>
      <c r="IW78" s="1085"/>
      <c r="IX78" s="1085"/>
      <c r="IY78" s="1085"/>
      <c r="IZ78" s="1085"/>
      <c r="JA78" s="1085"/>
      <c r="JB78" s="1085"/>
      <c r="JC78" s="1085"/>
      <c r="JD78" s="1085"/>
      <c r="JE78" s="1085"/>
      <c r="JF78" s="1085"/>
      <c r="JG78" s="1085"/>
      <c r="JH78" s="1085"/>
      <c r="JI78" s="1085"/>
      <c r="JJ78" s="1085"/>
      <c r="JK78" s="1085"/>
      <c r="JL78" s="1085"/>
      <c r="JM78" s="1085"/>
      <c r="JN78" s="1085"/>
      <c r="JO78" s="1085"/>
      <c r="JP78" s="1085"/>
      <c r="JQ78" s="1085"/>
      <c r="JR78" s="1085"/>
      <c r="JS78" s="1085"/>
      <c r="JT78" s="1085"/>
      <c r="JU78" s="1085"/>
      <c r="JV78" s="1085"/>
      <c r="JW78" s="1085"/>
      <c r="JX78" s="1085"/>
      <c r="JY78" s="1085"/>
      <c r="JZ78" s="1085"/>
      <c r="KA78" s="1085"/>
      <c r="KB78" s="1085"/>
      <c r="KC78" s="1085"/>
      <c r="KD78" s="1085"/>
      <c r="KE78" s="1085"/>
      <c r="KF78" s="1085"/>
      <c r="KG78" s="1085"/>
      <c r="KH78" s="1085"/>
      <c r="KI78" s="1085"/>
      <c r="KJ78" s="1085"/>
      <c r="KK78" s="1085"/>
      <c r="KL78" s="1085"/>
      <c r="KM78" s="1085"/>
      <c r="KN78" s="1085"/>
      <c r="KO78" s="1085"/>
      <c r="KP78" s="1085"/>
      <c r="KQ78" s="1085"/>
      <c r="KR78" s="1085"/>
      <c r="KS78" s="1085"/>
      <c r="KT78" s="1085"/>
      <c r="KU78" s="1085"/>
      <c r="KV78" s="1085"/>
      <c r="KW78" s="1085"/>
      <c r="KX78" s="1085"/>
      <c r="KY78" s="1085"/>
      <c r="KZ78" s="1085"/>
      <c r="LA78" s="1085"/>
      <c r="LB78" s="1085"/>
      <c r="LC78" s="1085"/>
      <c r="LD78" s="1085"/>
      <c r="LE78" s="1085"/>
      <c r="LF78" s="1085"/>
      <c r="LG78" s="1085"/>
      <c r="LH78" s="1085"/>
      <c r="LI78" s="1085"/>
      <c r="LJ78" s="1085"/>
      <c r="LK78" s="1085"/>
      <c r="LL78" s="1085"/>
      <c r="LM78" s="1085"/>
      <c r="LN78" s="1085"/>
      <c r="LO78" s="1085"/>
      <c r="LP78" s="1085"/>
      <c r="LQ78" s="1085"/>
      <c r="LR78" s="1085"/>
      <c r="LS78" s="1085"/>
      <c r="LT78" s="1085"/>
      <c r="LU78" s="1085"/>
      <c r="LV78" s="1085"/>
      <c r="LW78" s="1085"/>
      <c r="LX78" s="1085"/>
      <c r="LY78" s="1085"/>
      <c r="LZ78" s="1085"/>
      <c r="MA78" s="1085"/>
      <c r="MB78" s="1085"/>
      <c r="MC78" s="1085"/>
      <c r="MD78" s="1085"/>
      <c r="ME78" s="1085"/>
      <c r="MF78" s="1085"/>
      <c r="MG78" s="1085"/>
      <c r="MH78" s="1085"/>
      <c r="MI78" s="1085"/>
      <c r="MJ78" s="1085"/>
      <c r="MK78" s="1085"/>
      <c r="ML78" s="1085"/>
      <c r="MM78" s="1085"/>
      <c r="MN78" s="1085"/>
      <c r="MO78" s="1085"/>
      <c r="MP78" s="1085"/>
      <c r="MQ78" s="1085"/>
      <c r="MR78" s="1085"/>
      <c r="MS78" s="1085"/>
      <c r="MT78" s="1085"/>
      <c r="MU78" s="1085"/>
      <c r="MV78" s="1085"/>
      <c r="MW78" s="1085"/>
      <c r="MX78" s="1085"/>
      <c r="MY78" s="1085"/>
      <c r="MZ78" s="1085"/>
      <c r="NA78" s="1085"/>
      <c r="NB78" s="1085"/>
      <c r="NC78" s="1085"/>
      <c r="ND78" s="1085"/>
      <c r="NE78" s="1085"/>
    </row>
    <row r="79" customFormat="1" ht="14.5" spans="1:369">
      <c r="A79" s="1059" t="s">
        <v>174</v>
      </c>
      <c r="B79" s="1062" t="str">
        <f>IF(OR(A79="说服",A79="话术",A79="取悦",A79="恐吓"),"☯",IF(ISNUMBER(SEARCH(A79,VLOOKUP(IX$2,职业列表!$B$1:$G$370,6,0))),"★",""))</f>
        <v/>
      </c>
      <c r="C79" s="1060" t="str">
        <f>IF(ISTEXT(IFERROR(VLOOKUP(A79,职业列表!I12:J19,1,FALSE),0)),"★","")</f>
        <v/>
      </c>
      <c r="D79" s="1062"/>
      <c r="E79" s="1062"/>
      <c r="F79" s="1062"/>
      <c r="G79" s="1062"/>
      <c r="H79" s="1062"/>
      <c r="I79" s="1062"/>
      <c r="J79" s="1062"/>
      <c r="K79" s="1062"/>
      <c r="L79" s="1062"/>
      <c r="M79" s="1062"/>
      <c r="N79" s="1062"/>
      <c r="O79" s="1062"/>
      <c r="P79" s="1062"/>
      <c r="Q79" s="1062"/>
      <c r="R79" s="1062"/>
      <c r="S79" s="1062"/>
      <c r="T79" s="1062"/>
      <c r="U79" s="1062"/>
      <c r="V79" s="1062"/>
      <c r="W79" s="1062"/>
      <c r="X79" s="1062"/>
      <c r="Y79" s="1062"/>
      <c r="Z79" s="1062"/>
      <c r="AA79" s="1062"/>
      <c r="AB79" s="1062"/>
      <c r="AC79" s="1062"/>
      <c r="AD79" s="1062"/>
      <c r="AE79" s="1062"/>
      <c r="AF79" s="1062"/>
      <c r="AG79" s="1062"/>
      <c r="AH79" s="1062"/>
      <c r="AI79" s="1062"/>
      <c r="AJ79" s="1062"/>
      <c r="AK79" s="1062"/>
      <c r="AL79" s="1062"/>
      <c r="AM79" s="1062"/>
      <c r="AN79" s="1062"/>
      <c r="AO79" s="1062"/>
      <c r="AP79" s="1062"/>
      <c r="AQ79" s="1062"/>
      <c r="AR79" s="1062"/>
      <c r="AS79" s="1062"/>
      <c r="AT79" s="1062"/>
      <c r="AU79" s="1062"/>
      <c r="AV79" s="1062"/>
      <c r="AW79" s="1062"/>
      <c r="AX79" s="1062"/>
      <c r="AY79" s="1062"/>
      <c r="AZ79" s="1062"/>
      <c r="BA79" s="1062"/>
      <c r="BB79" s="1062"/>
      <c r="BC79" s="1062"/>
      <c r="BD79" s="1062"/>
      <c r="BE79" s="1062"/>
      <c r="BF79" s="1062"/>
      <c r="BG79" s="1062"/>
      <c r="BH79" s="1062"/>
      <c r="BI79" s="1062"/>
      <c r="BJ79" s="1062"/>
      <c r="BK79" s="1062"/>
      <c r="BL79" s="1062"/>
      <c r="BM79" s="1062"/>
      <c r="BN79" s="1062"/>
      <c r="BO79" s="1062"/>
      <c r="BP79" s="1062"/>
      <c r="BQ79" s="1062"/>
      <c r="BR79" s="1062"/>
      <c r="BS79" s="1062"/>
      <c r="BT79" s="1062"/>
      <c r="BU79" s="1062"/>
      <c r="BV79" s="1062"/>
      <c r="BW79" s="1062"/>
      <c r="BX79" s="1062"/>
      <c r="BY79" s="1062"/>
      <c r="BZ79" s="1062"/>
      <c r="CA79" s="1062"/>
      <c r="CB79" s="1062"/>
      <c r="CC79" s="1062"/>
      <c r="CD79" s="1062"/>
      <c r="CE79" s="1062"/>
      <c r="CF79" s="1062"/>
      <c r="CG79" s="1062"/>
      <c r="CH79" s="1062"/>
      <c r="CI79" s="1062"/>
      <c r="CJ79" s="1062"/>
      <c r="CK79" s="1062"/>
      <c r="CL79" s="1062"/>
      <c r="CM79" s="1062"/>
      <c r="CN79" s="1062"/>
      <c r="CO79" s="1062"/>
      <c r="CP79" s="1062"/>
      <c r="CQ79" s="1062"/>
      <c r="CR79" s="1062"/>
      <c r="CS79" s="1062"/>
      <c r="CT79" s="1062"/>
      <c r="CU79" s="1062"/>
      <c r="CV79" s="1062"/>
      <c r="CW79" s="1062"/>
      <c r="CX79" s="1062"/>
      <c r="CY79" s="1062"/>
      <c r="CZ79" s="1062"/>
      <c r="DA79" s="1062"/>
      <c r="DB79" s="1062"/>
      <c r="DC79" s="1062"/>
      <c r="DD79" s="1062"/>
      <c r="DE79" s="1062"/>
      <c r="DF79" s="1062"/>
      <c r="DG79" s="1062"/>
      <c r="DH79" s="1062"/>
      <c r="DI79" s="1062"/>
      <c r="DJ79" s="1062"/>
      <c r="DK79" s="1062"/>
      <c r="DL79" s="1062"/>
      <c r="DM79" s="1062"/>
      <c r="DN79" s="1062"/>
      <c r="DO79" s="1062"/>
      <c r="DP79" s="1062"/>
      <c r="DQ79" s="1062"/>
      <c r="DR79" s="1062"/>
      <c r="DS79" s="1062"/>
      <c r="DT79" s="1062"/>
      <c r="DU79" s="1062"/>
      <c r="DV79" s="1062"/>
      <c r="DW79" s="1062"/>
      <c r="DX79" s="1062"/>
      <c r="DY79" s="1062"/>
      <c r="DZ79" s="1062"/>
      <c r="EA79" s="1062"/>
      <c r="EB79" s="1062"/>
      <c r="EC79" s="1062"/>
      <c r="ED79" s="1062"/>
      <c r="EE79" s="1062"/>
      <c r="EF79" s="1062"/>
      <c r="EG79" s="1062"/>
      <c r="EH79" s="1062"/>
      <c r="EI79" s="1062"/>
      <c r="EJ79" s="1062"/>
      <c r="EK79" s="1062"/>
      <c r="EL79" s="1062"/>
      <c r="EM79" s="1062"/>
      <c r="EN79" s="1062"/>
      <c r="EO79" s="1062"/>
      <c r="EP79" s="1062"/>
      <c r="EQ79" s="1062"/>
      <c r="ER79" s="1062"/>
      <c r="ES79" s="1062"/>
      <c r="ET79" s="1062"/>
      <c r="EU79" s="1062"/>
      <c r="EV79" s="1062"/>
      <c r="EW79" s="1062"/>
      <c r="EX79" s="1062"/>
      <c r="EY79" s="1062"/>
      <c r="EZ79" s="1062"/>
      <c r="FA79" s="1062"/>
      <c r="FB79" s="1062"/>
      <c r="FC79" s="1062"/>
      <c r="FD79" s="1062"/>
      <c r="FE79" s="1062"/>
      <c r="FF79" s="1062"/>
      <c r="FG79" s="1062"/>
      <c r="FH79" s="1062"/>
      <c r="FI79" s="1062"/>
      <c r="FJ79" s="1062"/>
      <c r="FK79" s="1062"/>
      <c r="FL79" s="1062"/>
      <c r="FM79" s="1062"/>
      <c r="FN79" s="1062"/>
      <c r="FO79" s="1062"/>
      <c r="FP79" s="1062"/>
      <c r="FQ79" s="1062"/>
      <c r="FR79" s="1062"/>
      <c r="FS79" s="1062"/>
      <c r="FT79" s="1062"/>
      <c r="FU79" s="1062"/>
      <c r="FV79" s="1062"/>
      <c r="FW79" s="1062"/>
      <c r="FX79" s="1062"/>
      <c r="FY79" s="1062"/>
      <c r="FZ79" s="1062"/>
      <c r="GA79" s="1062"/>
      <c r="GB79" s="1062"/>
      <c r="GC79" s="1062"/>
      <c r="GD79" s="1062"/>
      <c r="GE79" s="1062"/>
      <c r="GF79" s="1062"/>
      <c r="GG79" s="1062"/>
      <c r="GH79" s="1062"/>
      <c r="GI79" s="1062"/>
      <c r="GJ79" s="1062"/>
      <c r="GK79" s="1062"/>
      <c r="GL79" s="1062"/>
      <c r="GM79" s="1062"/>
      <c r="GN79" s="1062"/>
      <c r="GO79" s="1062"/>
      <c r="GP79" s="1062"/>
      <c r="GQ79" s="1062"/>
      <c r="GR79" s="1062"/>
      <c r="GS79" s="1062"/>
      <c r="GT79" s="1062"/>
      <c r="GU79" s="1062"/>
      <c r="GV79" s="1062"/>
      <c r="GW79" s="1062"/>
      <c r="GX79" s="1062"/>
      <c r="GY79" s="1062"/>
      <c r="GZ79" s="1062"/>
      <c r="HA79" s="1062"/>
      <c r="HB79" s="1062"/>
      <c r="HC79" s="1062"/>
      <c r="HD79" s="1062"/>
      <c r="HE79" s="1062"/>
      <c r="HF79" s="1062"/>
      <c r="HG79" s="1062"/>
      <c r="HH79" s="1062"/>
      <c r="HI79" s="1062"/>
      <c r="HJ79" s="1062"/>
      <c r="HK79" s="1062"/>
      <c r="HL79" s="1062"/>
      <c r="HM79" s="1062"/>
      <c r="HN79" s="1062"/>
      <c r="HO79" s="1062"/>
      <c r="HP79" s="1062"/>
      <c r="HQ79" s="1062"/>
      <c r="HR79" s="1062"/>
      <c r="HS79" s="1062"/>
      <c r="HT79" s="1062"/>
      <c r="HU79" s="1062"/>
      <c r="HV79" s="1062"/>
      <c r="HW79" s="1062"/>
      <c r="HX79" s="1077"/>
      <c r="HY79" s="1062"/>
      <c r="HZ79" s="1062"/>
      <c r="IA79" s="1062"/>
      <c r="IB79" s="1062"/>
      <c r="IC79" s="1077"/>
      <c r="ID79" s="1077"/>
      <c r="IE79" s="1062"/>
      <c r="IF79" s="1062"/>
      <c r="IG79" s="1062"/>
      <c r="IH79" s="1062"/>
      <c r="II79" s="1062"/>
      <c r="IJ79" s="1062"/>
      <c r="IK79" s="1085"/>
      <c r="IL79" s="1085"/>
      <c r="IM79" s="1085"/>
      <c r="IN79" s="1085"/>
      <c r="IO79" s="1085"/>
      <c r="IP79" s="1085"/>
      <c r="IQ79" s="1085"/>
      <c r="IR79" s="1085"/>
      <c r="IS79" s="1085"/>
      <c r="IT79" s="1085"/>
      <c r="IU79" s="1085"/>
      <c r="IV79" s="1085"/>
      <c r="IW79" s="1085"/>
      <c r="IX79" s="1085"/>
      <c r="IY79" s="1085"/>
      <c r="IZ79" s="1085"/>
      <c r="JA79" s="1085"/>
      <c r="JB79" s="1085"/>
      <c r="JC79" s="1085"/>
      <c r="JD79" s="1085"/>
      <c r="JE79" s="1085"/>
      <c r="JF79" s="1085"/>
      <c r="JG79" s="1085"/>
      <c r="JH79" s="1085"/>
      <c r="JI79" s="1085"/>
      <c r="JJ79" s="1085"/>
      <c r="JK79" s="1085"/>
      <c r="JL79" s="1085"/>
      <c r="JM79" s="1085"/>
      <c r="JN79" s="1085"/>
      <c r="JO79" s="1085"/>
      <c r="JP79" s="1085"/>
      <c r="JQ79" s="1085"/>
      <c r="JR79" s="1085"/>
      <c r="JS79" s="1085"/>
      <c r="JT79" s="1085"/>
      <c r="JU79" s="1085"/>
      <c r="JV79" s="1085"/>
      <c r="JW79" s="1085"/>
      <c r="JX79" s="1085"/>
      <c r="JY79" s="1085"/>
      <c r="JZ79" s="1085"/>
      <c r="KA79" s="1085"/>
      <c r="KB79" s="1085"/>
      <c r="KC79" s="1085"/>
      <c r="KD79" s="1085"/>
      <c r="KE79" s="1085"/>
      <c r="KF79" s="1085"/>
      <c r="KG79" s="1085"/>
      <c r="KH79" s="1085"/>
      <c r="KI79" s="1085"/>
      <c r="KJ79" s="1085"/>
      <c r="KK79" s="1085"/>
      <c r="KL79" s="1085"/>
      <c r="KM79" s="1085"/>
      <c r="KN79" s="1085"/>
      <c r="KO79" s="1085"/>
      <c r="KP79" s="1085"/>
      <c r="KQ79" s="1085"/>
      <c r="KR79" s="1085"/>
      <c r="KS79" s="1085"/>
      <c r="KT79" s="1085"/>
      <c r="KU79" s="1085"/>
      <c r="KV79" s="1085"/>
      <c r="KW79" s="1085"/>
      <c r="KX79" s="1085"/>
      <c r="KY79" s="1085"/>
      <c r="KZ79" s="1085"/>
      <c r="LA79" s="1085"/>
      <c r="LB79" s="1085"/>
      <c r="LC79" s="1085"/>
      <c r="LD79" s="1085"/>
      <c r="LE79" s="1085"/>
      <c r="LF79" s="1085"/>
      <c r="LG79" s="1085"/>
      <c r="LH79" s="1085"/>
      <c r="LI79" s="1085"/>
      <c r="LJ79" s="1085"/>
      <c r="LK79" s="1085"/>
      <c r="LL79" s="1085"/>
      <c r="LM79" s="1085"/>
      <c r="LN79" s="1085"/>
      <c r="LO79" s="1085"/>
      <c r="LP79" s="1085"/>
      <c r="LQ79" s="1085"/>
      <c r="LR79" s="1085"/>
      <c r="LS79" s="1085"/>
      <c r="LT79" s="1085"/>
      <c r="LU79" s="1085"/>
      <c r="LV79" s="1085"/>
      <c r="LW79" s="1085"/>
      <c r="LX79" s="1085"/>
      <c r="LY79" s="1085"/>
      <c r="LZ79" s="1085"/>
      <c r="MA79" s="1085"/>
      <c r="MB79" s="1085"/>
      <c r="MC79" s="1085"/>
      <c r="MD79" s="1085"/>
      <c r="ME79" s="1085"/>
      <c r="MF79" s="1085"/>
      <c r="MG79" s="1085"/>
      <c r="MH79" s="1085"/>
      <c r="MI79" s="1085"/>
      <c r="MJ79" s="1085"/>
      <c r="MK79" s="1085"/>
      <c r="ML79" s="1085"/>
      <c r="MM79" s="1085"/>
      <c r="MN79" s="1085"/>
      <c r="MO79" s="1085"/>
      <c r="MP79" s="1085"/>
      <c r="MQ79" s="1085"/>
      <c r="MR79" s="1085"/>
      <c r="MS79" s="1085"/>
      <c r="MT79" s="1085"/>
      <c r="MU79" s="1085"/>
      <c r="MV79" s="1085"/>
      <c r="MW79" s="1085"/>
      <c r="MX79" s="1085"/>
      <c r="MY79" s="1085"/>
      <c r="MZ79" s="1085"/>
      <c r="NA79" s="1085"/>
      <c r="NB79" s="1085"/>
      <c r="NC79" s="1085"/>
      <c r="ND79" s="1085"/>
      <c r="NE79" s="1085"/>
    </row>
    <row r="80" customFormat="1" ht="14.5" spans="1:369">
      <c r="A80" s="1059" t="s">
        <v>176</v>
      </c>
      <c r="B80" s="1062" t="str">
        <f>IF(OR(A80="说服",A80="话术",A80="取悦",A80="恐吓"),"☯",IF(ISNUMBER(SEARCH(A80,VLOOKUP(IX$2,职业列表!$B$1:$G$370,6,0))),"★",""))</f>
        <v/>
      </c>
      <c r="C80" s="1060" t="str">
        <f>IF(ISTEXT(IFERROR(VLOOKUP(A80,职业列表!I12:J19,1,FALSE),0)),"★","")</f>
        <v/>
      </c>
      <c r="D80" s="1062"/>
      <c r="E80" s="1062"/>
      <c r="F80" s="1062"/>
      <c r="G80" s="1062"/>
      <c r="H80" s="1062"/>
      <c r="I80" s="1062"/>
      <c r="J80" s="1062"/>
      <c r="K80" s="1062"/>
      <c r="L80" s="1062"/>
      <c r="M80" s="1062"/>
      <c r="N80" s="1062"/>
      <c r="O80" s="1062"/>
      <c r="P80" s="1062"/>
      <c r="Q80" s="1062"/>
      <c r="R80" s="1062"/>
      <c r="S80" s="1062"/>
      <c r="T80" s="1062"/>
      <c r="U80" s="1062"/>
      <c r="V80" s="1062"/>
      <c r="W80" s="1062"/>
      <c r="X80" s="1062"/>
      <c r="Y80" s="1062"/>
      <c r="Z80" s="1062"/>
      <c r="AA80" s="1062"/>
      <c r="AB80" s="1062"/>
      <c r="AC80" s="1062"/>
      <c r="AD80" s="1062"/>
      <c r="AE80" s="1062"/>
      <c r="AF80" s="1062"/>
      <c r="AG80" s="1062"/>
      <c r="AH80" s="1062"/>
      <c r="AI80" s="1062"/>
      <c r="AJ80" s="1062"/>
      <c r="AK80" s="1062"/>
      <c r="AL80" s="1062"/>
      <c r="AM80" s="1062"/>
      <c r="AN80" s="1062"/>
      <c r="AO80" s="1062"/>
      <c r="AP80" s="1062"/>
      <c r="AQ80" s="1062"/>
      <c r="AR80" s="1062"/>
      <c r="AS80" s="1062"/>
      <c r="AT80" s="1062"/>
      <c r="AU80" s="1062"/>
      <c r="AV80" s="1062"/>
      <c r="AW80" s="1062"/>
      <c r="AX80" s="1062"/>
      <c r="AY80" s="1062"/>
      <c r="AZ80" s="1062"/>
      <c r="BA80" s="1062"/>
      <c r="BB80" s="1062"/>
      <c r="BC80" s="1062"/>
      <c r="BD80" s="1062"/>
      <c r="BE80" s="1062"/>
      <c r="BF80" s="1062"/>
      <c r="BG80" s="1062"/>
      <c r="BH80" s="1062"/>
      <c r="BI80" s="1062"/>
      <c r="BJ80" s="1062"/>
      <c r="BK80" s="1062"/>
      <c r="BL80" s="1062"/>
      <c r="BM80" s="1062"/>
      <c r="BN80" s="1062"/>
      <c r="BO80" s="1062"/>
      <c r="BP80" s="1062"/>
      <c r="BQ80" s="1062"/>
      <c r="BR80" s="1062"/>
      <c r="BS80" s="1062"/>
      <c r="BT80" s="1062"/>
      <c r="BU80" s="1062"/>
      <c r="BV80" s="1062"/>
      <c r="BW80" s="1062"/>
      <c r="BX80" s="1062"/>
      <c r="BY80" s="1062"/>
      <c r="BZ80" s="1062"/>
      <c r="CA80" s="1062"/>
      <c r="CB80" s="1062"/>
      <c r="CC80" s="1062"/>
      <c r="CD80" s="1062"/>
      <c r="CE80" s="1062"/>
      <c r="CF80" s="1062"/>
      <c r="CG80" s="1062"/>
      <c r="CH80" s="1062"/>
      <c r="CI80" s="1062"/>
      <c r="CJ80" s="1062"/>
      <c r="CK80" s="1062"/>
      <c r="CL80" s="1062"/>
      <c r="CM80" s="1062"/>
      <c r="CN80" s="1062"/>
      <c r="CO80" s="1062"/>
      <c r="CP80" s="1062"/>
      <c r="CQ80" s="1062"/>
      <c r="CR80" s="1062"/>
      <c r="CS80" s="1062"/>
      <c r="CT80" s="1062"/>
      <c r="CU80" s="1062"/>
      <c r="CV80" s="1062"/>
      <c r="CW80" s="1062"/>
      <c r="CX80" s="1062"/>
      <c r="CY80" s="1062"/>
      <c r="CZ80" s="1062"/>
      <c r="DA80" s="1062"/>
      <c r="DB80" s="1062"/>
      <c r="DC80" s="1062"/>
      <c r="DD80" s="1062"/>
      <c r="DE80" s="1062"/>
      <c r="DF80" s="1062"/>
      <c r="DG80" s="1062"/>
      <c r="DH80" s="1062"/>
      <c r="DI80" s="1062"/>
      <c r="DJ80" s="1062"/>
      <c r="DK80" s="1062"/>
      <c r="DL80" s="1062"/>
      <c r="DM80" s="1062"/>
      <c r="DN80" s="1062"/>
      <c r="DO80" s="1062"/>
      <c r="DP80" s="1062"/>
      <c r="DQ80" s="1062"/>
      <c r="DR80" s="1062"/>
      <c r="DS80" s="1062"/>
      <c r="DT80" s="1062"/>
      <c r="DU80" s="1062"/>
      <c r="DV80" s="1062"/>
      <c r="DW80" s="1062"/>
      <c r="DX80" s="1062"/>
      <c r="DY80" s="1062"/>
      <c r="DZ80" s="1062"/>
      <c r="EA80" s="1062"/>
      <c r="EB80" s="1062"/>
      <c r="EC80" s="1062"/>
      <c r="ED80" s="1062"/>
      <c r="EE80" s="1062"/>
      <c r="EF80" s="1062"/>
      <c r="EG80" s="1062"/>
      <c r="EH80" s="1062"/>
      <c r="EI80" s="1062"/>
      <c r="EJ80" s="1062"/>
      <c r="EK80" s="1062"/>
      <c r="EL80" s="1062"/>
      <c r="EM80" s="1062"/>
      <c r="EN80" s="1062"/>
      <c r="EO80" s="1062"/>
      <c r="EP80" s="1062"/>
      <c r="EQ80" s="1062"/>
      <c r="ER80" s="1062"/>
      <c r="ES80" s="1062"/>
      <c r="ET80" s="1062"/>
      <c r="EU80" s="1062"/>
      <c r="EV80" s="1062"/>
      <c r="EW80" s="1062"/>
      <c r="EX80" s="1062"/>
      <c r="EY80" s="1062"/>
      <c r="EZ80" s="1062"/>
      <c r="FA80" s="1062"/>
      <c r="FB80" s="1062"/>
      <c r="FC80" s="1062"/>
      <c r="FD80" s="1062"/>
      <c r="FE80" s="1062"/>
      <c r="FF80" s="1062"/>
      <c r="FG80" s="1062"/>
      <c r="FH80" s="1062"/>
      <c r="FI80" s="1062"/>
      <c r="FJ80" s="1062"/>
      <c r="FK80" s="1062"/>
      <c r="FL80" s="1062"/>
      <c r="FM80" s="1062"/>
      <c r="FN80" s="1062"/>
      <c r="FO80" s="1062"/>
      <c r="FP80" s="1062"/>
      <c r="FQ80" s="1062"/>
      <c r="FR80" s="1062"/>
      <c r="FS80" s="1062"/>
      <c r="FT80" s="1062"/>
      <c r="FU80" s="1062"/>
      <c r="FV80" s="1062"/>
      <c r="FW80" s="1062"/>
      <c r="FX80" s="1062"/>
      <c r="FY80" s="1062"/>
      <c r="FZ80" s="1062"/>
      <c r="GA80" s="1062"/>
      <c r="GB80" s="1062"/>
      <c r="GC80" s="1062"/>
      <c r="GD80" s="1062"/>
      <c r="GE80" s="1062"/>
      <c r="GF80" s="1062"/>
      <c r="GG80" s="1062"/>
      <c r="GH80" s="1062"/>
      <c r="GI80" s="1062"/>
      <c r="GJ80" s="1062"/>
      <c r="GK80" s="1062"/>
      <c r="GL80" s="1062"/>
      <c r="GM80" s="1062"/>
      <c r="GN80" s="1062"/>
      <c r="GO80" s="1062"/>
      <c r="GP80" s="1062"/>
      <c r="GQ80" s="1062"/>
      <c r="GR80" s="1062"/>
      <c r="GS80" s="1062"/>
      <c r="GT80" s="1062"/>
      <c r="GU80" s="1062"/>
      <c r="GV80" s="1062"/>
      <c r="GW80" s="1062"/>
      <c r="GX80" s="1062"/>
      <c r="GY80" s="1062"/>
      <c r="GZ80" s="1062"/>
      <c r="HA80" s="1062"/>
      <c r="HB80" s="1062"/>
      <c r="HC80" s="1062"/>
      <c r="HD80" s="1062"/>
      <c r="HE80" s="1062"/>
      <c r="HF80" s="1062"/>
      <c r="HG80" s="1062"/>
      <c r="HH80" s="1062"/>
      <c r="HI80" s="1062"/>
      <c r="HJ80" s="1062"/>
      <c r="HK80" s="1062"/>
      <c r="HL80" s="1062"/>
      <c r="HM80" s="1062"/>
      <c r="HN80" s="1062"/>
      <c r="HO80" s="1062"/>
      <c r="HP80" s="1062"/>
      <c r="HQ80" s="1062"/>
      <c r="HR80" s="1062"/>
      <c r="HS80" s="1062"/>
      <c r="HT80" s="1062"/>
      <c r="HU80" s="1062"/>
      <c r="HV80" s="1062"/>
      <c r="HW80" s="1062"/>
      <c r="HX80" s="1077"/>
      <c r="HY80" s="1062"/>
      <c r="HZ80" s="1062"/>
      <c r="IA80" s="1062"/>
      <c r="IB80" s="1062"/>
      <c r="IC80" s="1077"/>
      <c r="ID80" s="1077"/>
      <c r="IE80" s="1062"/>
      <c r="IF80" s="1062"/>
      <c r="IG80" s="1062"/>
      <c r="IH80" s="1062"/>
      <c r="II80" s="1062"/>
      <c r="IJ80" s="1062"/>
      <c r="IK80" s="1085"/>
      <c r="IL80" s="1085"/>
      <c r="IM80" s="1085"/>
      <c r="IN80" s="1085"/>
      <c r="IO80" s="1085"/>
      <c r="IP80" s="1085"/>
      <c r="IQ80" s="1085"/>
      <c r="IR80" s="1085"/>
      <c r="IS80" s="1085"/>
      <c r="IT80" s="1085"/>
      <c r="IU80" s="1085"/>
      <c r="IV80" s="1085"/>
      <c r="IW80" s="1085"/>
      <c r="IX80" s="1085"/>
      <c r="IY80" s="1085"/>
      <c r="IZ80" s="1085"/>
      <c r="JA80" s="1085"/>
      <c r="JB80" s="1085"/>
      <c r="JC80" s="1085"/>
      <c r="JD80" s="1085"/>
      <c r="JE80" s="1085"/>
      <c r="JF80" s="1085"/>
      <c r="JG80" s="1085"/>
      <c r="JH80" s="1085"/>
      <c r="JI80" s="1085"/>
      <c r="JJ80" s="1085"/>
      <c r="JK80" s="1085"/>
      <c r="JL80" s="1085"/>
      <c r="JM80" s="1085"/>
      <c r="JN80" s="1085"/>
      <c r="JO80" s="1085"/>
      <c r="JP80" s="1085"/>
      <c r="JQ80" s="1085"/>
      <c r="JR80" s="1085"/>
      <c r="JS80" s="1085"/>
      <c r="JT80" s="1085"/>
      <c r="JU80" s="1085"/>
      <c r="JV80" s="1085"/>
      <c r="JW80" s="1085"/>
      <c r="JX80" s="1085"/>
      <c r="JY80" s="1085"/>
      <c r="JZ80" s="1085"/>
      <c r="KA80" s="1085"/>
      <c r="KB80" s="1085"/>
      <c r="KC80" s="1085"/>
      <c r="KD80" s="1085"/>
      <c r="KE80" s="1085"/>
      <c r="KF80" s="1085"/>
      <c r="KG80" s="1085"/>
      <c r="KH80" s="1085"/>
      <c r="KI80" s="1085"/>
      <c r="KJ80" s="1085"/>
      <c r="KK80" s="1085"/>
      <c r="KL80" s="1085"/>
      <c r="KM80" s="1085"/>
      <c r="KN80" s="1085"/>
      <c r="KO80" s="1085"/>
      <c r="KP80" s="1085"/>
      <c r="KQ80" s="1085"/>
      <c r="KR80" s="1085"/>
      <c r="KS80" s="1085"/>
      <c r="KT80" s="1085"/>
      <c r="KU80" s="1085"/>
      <c r="KV80" s="1085"/>
      <c r="KW80" s="1085"/>
      <c r="KX80" s="1085"/>
      <c r="KY80" s="1085"/>
      <c r="KZ80" s="1085"/>
      <c r="LA80" s="1085"/>
      <c r="LB80" s="1085"/>
      <c r="LC80" s="1085"/>
      <c r="LD80" s="1085"/>
      <c r="LE80" s="1085"/>
      <c r="LF80" s="1085"/>
      <c r="LG80" s="1085"/>
      <c r="LH80" s="1085"/>
      <c r="LI80" s="1085"/>
      <c r="LJ80" s="1085"/>
      <c r="LK80" s="1085"/>
      <c r="LL80" s="1085"/>
      <c r="LM80" s="1085"/>
      <c r="LN80" s="1085"/>
      <c r="LO80" s="1085"/>
      <c r="LP80" s="1085"/>
      <c r="LQ80" s="1085"/>
      <c r="LR80" s="1085"/>
      <c r="LS80" s="1085"/>
      <c r="LT80" s="1085"/>
      <c r="LU80" s="1085"/>
      <c r="LV80" s="1085"/>
      <c r="LW80" s="1085"/>
      <c r="LX80" s="1085"/>
      <c r="LY80" s="1085"/>
      <c r="LZ80" s="1085"/>
      <c r="MA80" s="1085"/>
      <c r="MB80" s="1085"/>
      <c r="MC80" s="1085"/>
      <c r="MD80" s="1085"/>
      <c r="ME80" s="1085"/>
      <c r="MF80" s="1085"/>
      <c r="MG80" s="1085"/>
      <c r="MH80" s="1085"/>
      <c r="MI80" s="1085"/>
      <c r="MJ80" s="1085"/>
      <c r="MK80" s="1085"/>
      <c r="ML80" s="1085"/>
      <c r="MM80" s="1085"/>
      <c r="MN80" s="1085"/>
      <c r="MO80" s="1085"/>
      <c r="MP80" s="1085"/>
      <c r="MQ80" s="1085"/>
      <c r="MR80" s="1085"/>
      <c r="MS80" s="1085"/>
      <c r="MT80" s="1085"/>
      <c r="MU80" s="1085"/>
      <c r="MV80" s="1085"/>
      <c r="MW80" s="1085"/>
      <c r="MX80" s="1085"/>
      <c r="MY80" s="1085"/>
      <c r="MZ80" s="1085"/>
      <c r="NA80" s="1085"/>
      <c r="NB80" s="1085"/>
      <c r="NC80" s="1085"/>
      <c r="ND80" s="1085"/>
      <c r="NE80" s="1085"/>
    </row>
    <row r="81" customFormat="1" ht="14.5" spans="1:369">
      <c r="A81" s="1059" t="s">
        <v>178</v>
      </c>
      <c r="B81" s="1062" t="str">
        <f>IF(OR(A81="说服",A81="话术",A81="取悦",A81="恐吓"),"☯",IF(ISNUMBER(SEARCH(A81,VLOOKUP(IX$2,职业列表!$B$1:$G$370,6,0))),"★",""))</f>
        <v/>
      </c>
      <c r="C81" s="1060" t="str">
        <f>IF(ISTEXT(IFERROR(VLOOKUP(A81,职业列表!I12:J19,1,FALSE),0)),"★","")</f>
        <v/>
      </c>
      <c r="D81" s="1062"/>
      <c r="E81" s="1062"/>
      <c r="F81" s="1062"/>
      <c r="G81" s="1062"/>
      <c r="H81" s="1062"/>
      <c r="I81" s="1062"/>
      <c r="J81" s="1062"/>
      <c r="K81" s="1062"/>
      <c r="L81" s="1062"/>
      <c r="M81" s="1062"/>
      <c r="N81" s="1062"/>
      <c r="O81" s="1062"/>
      <c r="P81" s="1062"/>
      <c r="Q81" s="1062"/>
      <c r="R81" s="1062"/>
      <c r="S81" s="1062"/>
      <c r="T81" s="1062"/>
      <c r="U81" s="1062"/>
      <c r="V81" s="1062"/>
      <c r="W81" s="1062"/>
      <c r="X81" s="1062"/>
      <c r="Y81" s="1062"/>
      <c r="Z81" s="1062"/>
      <c r="AA81" s="1062"/>
      <c r="AB81" s="1062"/>
      <c r="AC81" s="1062"/>
      <c r="AD81" s="1062"/>
      <c r="AE81" s="1062"/>
      <c r="AF81" s="1062"/>
      <c r="AG81" s="1062"/>
      <c r="AH81" s="1062"/>
      <c r="AI81" s="1062"/>
      <c r="AJ81" s="1062"/>
      <c r="AK81" s="1062"/>
      <c r="AL81" s="1062"/>
      <c r="AM81" s="1062"/>
      <c r="AN81" s="1062"/>
      <c r="AO81" s="1062"/>
      <c r="AP81" s="1062"/>
      <c r="AQ81" s="1062"/>
      <c r="AR81" s="1062"/>
      <c r="AS81" s="1062"/>
      <c r="AT81" s="1062"/>
      <c r="AU81" s="1062"/>
      <c r="AV81" s="1062"/>
      <c r="AW81" s="1062"/>
      <c r="AX81" s="1062"/>
      <c r="AY81" s="1062"/>
      <c r="AZ81" s="1062"/>
      <c r="BA81" s="1062"/>
      <c r="BB81" s="1062"/>
      <c r="BC81" s="1062"/>
      <c r="BD81" s="1062"/>
      <c r="BE81" s="1062"/>
      <c r="BF81" s="1062"/>
      <c r="BG81" s="1062"/>
      <c r="BH81" s="1062"/>
      <c r="BI81" s="1062"/>
      <c r="BJ81" s="1062"/>
      <c r="BK81" s="1062"/>
      <c r="BL81" s="1062"/>
      <c r="BM81" s="1062"/>
      <c r="BN81" s="1062"/>
      <c r="BO81" s="1062"/>
      <c r="BP81" s="1062"/>
      <c r="BQ81" s="1062"/>
      <c r="BR81" s="1062"/>
      <c r="BS81" s="1062"/>
      <c r="BT81" s="1062"/>
      <c r="BU81" s="1062"/>
      <c r="BV81" s="1062"/>
      <c r="BW81" s="1062"/>
      <c r="BX81" s="1062"/>
      <c r="BY81" s="1062"/>
      <c r="BZ81" s="1062"/>
      <c r="CA81" s="1062"/>
      <c r="CB81" s="1062"/>
      <c r="CC81" s="1062"/>
      <c r="CD81" s="1062"/>
      <c r="CE81" s="1062"/>
      <c r="CF81" s="1062"/>
      <c r="CG81" s="1062"/>
      <c r="CH81" s="1062"/>
      <c r="CI81" s="1062"/>
      <c r="CJ81" s="1062"/>
      <c r="CK81" s="1062"/>
      <c r="CL81" s="1062"/>
      <c r="CM81" s="1062"/>
      <c r="CN81" s="1062"/>
      <c r="CO81" s="1062"/>
      <c r="CP81" s="1062"/>
      <c r="CQ81" s="1062"/>
      <c r="CR81" s="1062"/>
      <c r="CS81" s="1062"/>
      <c r="CT81" s="1062"/>
      <c r="CU81" s="1062"/>
      <c r="CV81" s="1062"/>
      <c r="CW81" s="1062"/>
      <c r="CX81" s="1062"/>
      <c r="CY81" s="1062"/>
      <c r="CZ81" s="1062"/>
      <c r="DA81" s="1062"/>
      <c r="DB81" s="1062"/>
      <c r="DC81" s="1062"/>
      <c r="DD81" s="1062"/>
      <c r="DE81" s="1062"/>
      <c r="DF81" s="1062"/>
      <c r="DG81" s="1062"/>
      <c r="DH81" s="1062"/>
      <c r="DI81" s="1062"/>
      <c r="DJ81" s="1062"/>
      <c r="DK81" s="1062"/>
      <c r="DL81" s="1062"/>
      <c r="DM81" s="1062"/>
      <c r="DN81" s="1062"/>
      <c r="DO81" s="1062"/>
      <c r="DP81" s="1062"/>
      <c r="DQ81" s="1062"/>
      <c r="DR81" s="1062"/>
      <c r="DS81" s="1062"/>
      <c r="DT81" s="1062"/>
      <c r="DU81" s="1062"/>
      <c r="DV81" s="1062"/>
      <c r="DW81" s="1062"/>
      <c r="DX81" s="1062"/>
      <c r="DY81" s="1062"/>
      <c r="DZ81" s="1062"/>
      <c r="EA81" s="1062"/>
      <c r="EB81" s="1062"/>
      <c r="EC81" s="1062"/>
      <c r="ED81" s="1062"/>
      <c r="EE81" s="1062"/>
      <c r="EF81" s="1062"/>
      <c r="EG81" s="1062"/>
      <c r="EH81" s="1062"/>
      <c r="EI81" s="1062"/>
      <c r="EJ81" s="1062"/>
      <c r="EK81" s="1062"/>
      <c r="EL81" s="1062"/>
      <c r="EM81" s="1062"/>
      <c r="EN81" s="1062"/>
      <c r="EO81" s="1062"/>
      <c r="EP81" s="1062"/>
      <c r="EQ81" s="1062"/>
      <c r="ER81" s="1062"/>
      <c r="ES81" s="1062"/>
      <c r="ET81" s="1062"/>
      <c r="EU81" s="1062"/>
      <c r="EV81" s="1062"/>
      <c r="EW81" s="1062"/>
      <c r="EX81" s="1062"/>
      <c r="EY81" s="1062"/>
      <c r="EZ81" s="1062"/>
      <c r="FA81" s="1062"/>
      <c r="FB81" s="1062"/>
      <c r="FC81" s="1062"/>
      <c r="FD81" s="1062"/>
      <c r="FE81" s="1062"/>
      <c r="FF81" s="1062"/>
      <c r="FG81" s="1062"/>
      <c r="FH81" s="1062"/>
      <c r="FI81" s="1062"/>
      <c r="FJ81" s="1062"/>
      <c r="FK81" s="1062"/>
      <c r="FL81" s="1062"/>
      <c r="FM81" s="1062"/>
      <c r="FN81" s="1062"/>
      <c r="FO81" s="1062"/>
      <c r="FP81" s="1062"/>
      <c r="FQ81" s="1062"/>
      <c r="FR81" s="1062"/>
      <c r="FS81" s="1062"/>
      <c r="FT81" s="1062"/>
      <c r="FU81" s="1062"/>
      <c r="FV81" s="1062"/>
      <c r="FW81" s="1062"/>
      <c r="FX81" s="1062"/>
      <c r="FY81" s="1062"/>
      <c r="FZ81" s="1062"/>
      <c r="GA81" s="1062"/>
      <c r="GB81" s="1062"/>
      <c r="GC81" s="1062"/>
      <c r="GD81" s="1062"/>
      <c r="GE81" s="1062"/>
      <c r="GF81" s="1062"/>
      <c r="GG81" s="1062"/>
      <c r="GH81" s="1062"/>
      <c r="GI81" s="1062"/>
      <c r="GJ81" s="1062"/>
      <c r="GK81" s="1062"/>
      <c r="GL81" s="1062"/>
      <c r="GM81" s="1062"/>
      <c r="GN81" s="1062"/>
      <c r="GO81" s="1062"/>
      <c r="GP81" s="1062"/>
      <c r="GQ81" s="1062"/>
      <c r="GR81" s="1062"/>
      <c r="GS81" s="1062"/>
      <c r="GT81" s="1062"/>
      <c r="GU81" s="1062"/>
      <c r="GV81" s="1062"/>
      <c r="GW81" s="1062"/>
      <c r="GX81" s="1062"/>
      <c r="GY81" s="1062"/>
      <c r="GZ81" s="1062"/>
      <c r="HA81" s="1062"/>
      <c r="HB81" s="1062"/>
      <c r="HC81" s="1062"/>
      <c r="HD81" s="1062"/>
      <c r="HE81" s="1062"/>
      <c r="HF81" s="1062"/>
      <c r="HG81" s="1062"/>
      <c r="HH81" s="1062"/>
      <c r="HI81" s="1062"/>
      <c r="HJ81" s="1062"/>
      <c r="HK81" s="1062"/>
      <c r="HL81" s="1062"/>
      <c r="HM81" s="1062"/>
      <c r="HN81" s="1062"/>
      <c r="HO81" s="1062"/>
      <c r="HP81" s="1062"/>
      <c r="HQ81" s="1062"/>
      <c r="HR81" s="1062"/>
      <c r="HS81" s="1062"/>
      <c r="HT81" s="1062"/>
      <c r="HU81" s="1062"/>
      <c r="HV81" s="1062"/>
      <c r="HW81" s="1062"/>
      <c r="HX81" s="1077"/>
      <c r="HY81" s="1062"/>
      <c r="HZ81" s="1062"/>
      <c r="IA81" s="1062"/>
      <c r="IB81" s="1062"/>
      <c r="IC81" s="1077"/>
      <c r="ID81" s="1077"/>
      <c r="IE81" s="1062"/>
      <c r="IF81" s="1062"/>
      <c r="IG81" s="1062"/>
      <c r="IH81" s="1062"/>
      <c r="II81" s="1062"/>
      <c r="IJ81" s="1062"/>
      <c r="IK81" s="1085"/>
      <c r="IL81" s="1085"/>
      <c r="IM81" s="1085"/>
      <c r="IN81" s="1085"/>
      <c r="IO81" s="1085"/>
      <c r="IP81" s="1085"/>
      <c r="IQ81" s="1085"/>
      <c r="IR81" s="1085"/>
      <c r="IS81" s="1085"/>
      <c r="IT81" s="1085"/>
      <c r="IU81" s="1085"/>
      <c r="IV81" s="1085"/>
      <c r="IW81" s="1085"/>
      <c r="IX81" s="1085"/>
      <c r="IY81" s="1085"/>
      <c r="IZ81" s="1085"/>
      <c r="JA81" s="1085"/>
      <c r="JB81" s="1085"/>
      <c r="JC81" s="1085"/>
      <c r="JD81" s="1085"/>
      <c r="JE81" s="1085"/>
      <c r="JF81" s="1085"/>
      <c r="JG81" s="1085"/>
      <c r="JH81" s="1085"/>
      <c r="JI81" s="1085"/>
      <c r="JJ81" s="1085"/>
      <c r="JK81" s="1085"/>
      <c r="JL81" s="1085"/>
      <c r="JM81" s="1085"/>
      <c r="JN81" s="1085"/>
      <c r="JO81" s="1085"/>
      <c r="JP81" s="1085"/>
      <c r="JQ81" s="1085"/>
      <c r="JR81" s="1085"/>
      <c r="JS81" s="1085"/>
      <c r="JT81" s="1085"/>
      <c r="JU81" s="1085"/>
      <c r="JV81" s="1085"/>
      <c r="JW81" s="1085"/>
      <c r="JX81" s="1085"/>
      <c r="JY81" s="1085"/>
      <c r="JZ81" s="1085"/>
      <c r="KA81" s="1085"/>
      <c r="KB81" s="1085"/>
      <c r="KC81" s="1085"/>
      <c r="KD81" s="1085"/>
      <c r="KE81" s="1085"/>
      <c r="KF81" s="1085"/>
      <c r="KG81" s="1085"/>
      <c r="KH81" s="1085"/>
      <c r="KI81" s="1085"/>
      <c r="KJ81" s="1085"/>
      <c r="KK81" s="1085"/>
      <c r="KL81" s="1085"/>
      <c r="KM81" s="1085"/>
      <c r="KN81" s="1085"/>
      <c r="KO81" s="1085"/>
      <c r="KP81" s="1085"/>
      <c r="KQ81" s="1085"/>
      <c r="KR81" s="1085"/>
      <c r="KS81" s="1085"/>
      <c r="KT81" s="1085"/>
      <c r="KU81" s="1085"/>
      <c r="KV81" s="1085"/>
      <c r="KW81" s="1085"/>
      <c r="KX81" s="1085"/>
      <c r="KY81" s="1085"/>
      <c r="KZ81" s="1085"/>
      <c r="LA81" s="1085"/>
      <c r="LB81" s="1085"/>
      <c r="LC81" s="1085"/>
      <c r="LD81" s="1085"/>
      <c r="LE81" s="1085"/>
      <c r="LF81" s="1085"/>
      <c r="LG81" s="1085"/>
      <c r="LH81" s="1085"/>
      <c r="LI81" s="1085"/>
      <c r="LJ81" s="1085"/>
      <c r="LK81" s="1085"/>
      <c r="LL81" s="1085"/>
      <c r="LM81" s="1085"/>
      <c r="LN81" s="1085"/>
      <c r="LO81" s="1085"/>
      <c r="LP81" s="1085"/>
      <c r="LQ81" s="1085"/>
      <c r="LR81" s="1085"/>
      <c r="LS81" s="1085"/>
      <c r="LT81" s="1085"/>
      <c r="LU81" s="1085"/>
      <c r="LV81" s="1085"/>
      <c r="LW81" s="1085"/>
      <c r="LX81" s="1085"/>
      <c r="LY81" s="1085"/>
      <c r="LZ81" s="1085"/>
      <c r="MA81" s="1085"/>
      <c r="MB81" s="1085"/>
      <c r="MC81" s="1085"/>
      <c r="MD81" s="1085"/>
      <c r="ME81" s="1085"/>
      <c r="MF81" s="1085"/>
      <c r="MG81" s="1085"/>
      <c r="MH81" s="1085"/>
      <c r="MI81" s="1085"/>
      <c r="MJ81" s="1085"/>
      <c r="MK81" s="1085"/>
      <c r="ML81" s="1085"/>
      <c r="MM81" s="1085"/>
      <c r="MN81" s="1085"/>
      <c r="MO81" s="1085"/>
      <c r="MP81" s="1085"/>
      <c r="MQ81" s="1085"/>
      <c r="MR81" s="1085"/>
      <c r="MS81" s="1085"/>
      <c r="MT81" s="1085"/>
      <c r="MU81" s="1085"/>
      <c r="MV81" s="1085"/>
      <c r="MW81" s="1085"/>
      <c r="MX81" s="1085"/>
      <c r="MY81" s="1085"/>
      <c r="MZ81" s="1085"/>
      <c r="NA81" s="1085"/>
      <c r="NB81" s="1085"/>
      <c r="NC81" s="1085"/>
      <c r="ND81" s="1085"/>
      <c r="NE81" s="1085"/>
    </row>
    <row r="82" customFormat="1" spans="1:369">
      <c r="A82" s="1059" t="s">
        <v>165</v>
      </c>
      <c r="B82" s="1062" t="str">
        <f>IF(OR(A82="说服",A82="话术",A82="取悦",A82="恐吓"),"☯",IF(ISNUMBER(SEARCH(A82,VLOOKUP(IX$2,职业列表!$B$1:$G$370,6,0))),"★",""))</f>
        <v/>
      </c>
      <c r="C82" s="1061" t="str">
        <f>IF(ISTEXT(IFERROR(VLOOKUP(A82,职业列表!I21:J28,1,FALSE),0)),"★","")</f>
        <v/>
      </c>
      <c r="D82" s="1062"/>
      <c r="E82" s="1062"/>
      <c r="F82" s="1062"/>
      <c r="G82" s="1062"/>
      <c r="H82" s="1062"/>
      <c r="I82" s="1062"/>
      <c r="J82" s="1062"/>
      <c r="K82" s="1062"/>
      <c r="L82" s="1062"/>
      <c r="M82" s="1062"/>
      <c r="N82" s="1062"/>
      <c r="O82" s="1062"/>
      <c r="P82" s="1062"/>
      <c r="Q82" s="1062"/>
      <c r="R82" s="1062"/>
      <c r="S82" s="1062"/>
      <c r="T82" s="1062"/>
      <c r="U82" s="1062"/>
      <c r="V82" s="1062"/>
      <c r="W82" s="1062"/>
      <c r="X82" s="1062"/>
      <c r="Y82" s="1062"/>
      <c r="Z82" s="1062"/>
      <c r="AA82" s="1062"/>
      <c r="AB82" s="1062"/>
      <c r="AC82" s="1062"/>
      <c r="AD82" s="1062"/>
      <c r="AE82" s="1062"/>
      <c r="AF82" s="1062"/>
      <c r="AG82" s="1062"/>
      <c r="AH82" s="1062"/>
      <c r="AI82" s="1062"/>
      <c r="AJ82" s="1062"/>
      <c r="AK82" s="1062"/>
      <c r="AL82" s="1062"/>
      <c r="AM82" s="1062"/>
      <c r="AN82" s="1062"/>
      <c r="AO82" s="1062"/>
      <c r="AP82" s="1062"/>
      <c r="AQ82" s="1062"/>
      <c r="AR82" s="1062"/>
      <c r="AS82" s="1062"/>
      <c r="AT82" s="1062"/>
      <c r="AU82" s="1062"/>
      <c r="AV82" s="1062"/>
      <c r="AW82" s="1062"/>
      <c r="AX82" s="1062"/>
      <c r="AY82" s="1062"/>
      <c r="AZ82" s="1062"/>
      <c r="BA82" s="1062"/>
      <c r="BB82" s="1062"/>
      <c r="BC82" s="1062"/>
      <c r="BD82" s="1062"/>
      <c r="BE82" s="1062"/>
      <c r="BF82" s="1062"/>
      <c r="BG82" s="1062"/>
      <c r="BH82" s="1062"/>
      <c r="BI82" s="1062"/>
      <c r="BJ82" s="1062"/>
      <c r="BK82" s="1062"/>
      <c r="BL82" s="1062"/>
      <c r="BM82" s="1062"/>
      <c r="BN82" s="1062"/>
      <c r="BO82" s="1062"/>
      <c r="BP82" s="1062"/>
      <c r="BQ82" s="1062"/>
      <c r="BR82" s="1062"/>
      <c r="BS82" s="1062"/>
      <c r="BT82" s="1062"/>
      <c r="BU82" s="1062"/>
      <c r="BV82" s="1062"/>
      <c r="BW82" s="1062"/>
      <c r="BX82" s="1062"/>
      <c r="BY82" s="1062"/>
      <c r="BZ82" s="1062"/>
      <c r="CA82" s="1062"/>
      <c r="CB82" s="1062"/>
      <c r="CC82" s="1062"/>
      <c r="CD82" s="1062"/>
      <c r="CE82" s="1062"/>
      <c r="CF82" s="1062"/>
      <c r="CG82" s="1062"/>
      <c r="CH82" s="1062"/>
      <c r="CI82" s="1062"/>
      <c r="CJ82" s="1062"/>
      <c r="CK82" s="1062"/>
      <c r="CL82" s="1062"/>
      <c r="CM82" s="1062"/>
      <c r="CN82" s="1062"/>
      <c r="CO82" s="1062"/>
      <c r="CP82" s="1062"/>
      <c r="CQ82" s="1062"/>
      <c r="CR82" s="1062"/>
      <c r="CS82" s="1062"/>
      <c r="CT82" s="1062"/>
      <c r="CU82" s="1062"/>
      <c r="CV82" s="1062"/>
      <c r="CW82" s="1062"/>
      <c r="CX82" s="1062"/>
      <c r="CY82" s="1062"/>
      <c r="CZ82" s="1062"/>
      <c r="DA82" s="1062"/>
      <c r="DB82" s="1062"/>
      <c r="DC82" s="1062"/>
      <c r="DD82" s="1062"/>
      <c r="DE82" s="1062"/>
      <c r="DF82" s="1062"/>
      <c r="DG82" s="1062"/>
      <c r="DH82" s="1062"/>
      <c r="DI82" s="1062"/>
      <c r="DJ82" s="1062"/>
      <c r="DK82" s="1062"/>
      <c r="DL82" s="1062"/>
      <c r="DM82" s="1062"/>
      <c r="DN82" s="1062"/>
      <c r="DO82" s="1062"/>
      <c r="DP82" s="1062"/>
      <c r="DQ82" s="1062"/>
      <c r="DR82" s="1062"/>
      <c r="DS82" s="1062"/>
      <c r="DT82" s="1062"/>
      <c r="DU82" s="1062"/>
      <c r="DV82" s="1062"/>
      <c r="DW82" s="1062"/>
      <c r="DX82" s="1062"/>
      <c r="DY82" s="1062"/>
      <c r="DZ82" s="1062"/>
      <c r="EA82" s="1062"/>
      <c r="EB82" s="1062"/>
      <c r="EC82" s="1062"/>
      <c r="ED82" s="1062"/>
      <c r="EE82" s="1062"/>
      <c r="EF82" s="1062"/>
      <c r="EG82" s="1062"/>
      <c r="EH82" s="1062"/>
      <c r="EI82" s="1062"/>
      <c r="EJ82" s="1062"/>
      <c r="EK82" s="1062"/>
      <c r="EL82" s="1062"/>
      <c r="EM82" s="1062"/>
      <c r="EN82" s="1062"/>
      <c r="EO82" s="1062"/>
      <c r="EP82" s="1062"/>
      <c r="EQ82" s="1062"/>
      <c r="ER82" s="1062"/>
      <c r="ES82" s="1062"/>
      <c r="ET82" s="1062"/>
      <c r="EU82" s="1062"/>
      <c r="EV82" s="1062"/>
      <c r="EW82" s="1062"/>
      <c r="EX82" s="1062"/>
      <c r="EY82" s="1062"/>
      <c r="EZ82" s="1062"/>
      <c r="FA82" s="1062"/>
      <c r="FB82" s="1062"/>
      <c r="FC82" s="1062"/>
      <c r="FD82" s="1062"/>
      <c r="FE82" s="1062"/>
      <c r="FF82" s="1062"/>
      <c r="FG82" s="1062"/>
      <c r="FH82" s="1062"/>
      <c r="FI82" s="1062"/>
      <c r="FJ82" s="1062"/>
      <c r="FK82" s="1062"/>
      <c r="FL82" s="1062"/>
      <c r="FM82" s="1062"/>
      <c r="FN82" s="1062"/>
      <c r="FO82" s="1062"/>
      <c r="FP82" s="1062"/>
      <c r="FQ82" s="1062"/>
      <c r="FR82" s="1062"/>
      <c r="FS82" s="1062"/>
      <c r="FT82" s="1062"/>
      <c r="FU82" s="1062"/>
      <c r="FV82" s="1062"/>
      <c r="FW82" s="1062"/>
      <c r="FX82" s="1062"/>
      <c r="FY82" s="1062"/>
      <c r="FZ82" s="1062"/>
      <c r="GA82" s="1062"/>
      <c r="GB82" s="1062"/>
      <c r="GC82" s="1062"/>
      <c r="GD82" s="1062"/>
      <c r="GE82" s="1062"/>
      <c r="GF82" s="1062"/>
      <c r="GG82" s="1062"/>
      <c r="GH82" s="1062"/>
      <c r="GI82" s="1062"/>
      <c r="GJ82" s="1062"/>
      <c r="GK82" s="1062"/>
      <c r="GL82" s="1062"/>
      <c r="GM82" s="1062"/>
      <c r="GN82" s="1062"/>
      <c r="GO82" s="1062"/>
      <c r="GP82" s="1062"/>
      <c r="GQ82" s="1062"/>
      <c r="GR82" s="1062"/>
      <c r="GS82" s="1062"/>
      <c r="GT82" s="1062"/>
      <c r="GU82" s="1062"/>
      <c r="GV82" s="1062"/>
      <c r="GW82" s="1062"/>
      <c r="GX82" s="1062"/>
      <c r="GY82" s="1062"/>
      <c r="GZ82" s="1062"/>
      <c r="HA82" s="1062"/>
      <c r="HB82" s="1062"/>
      <c r="HC82" s="1062"/>
      <c r="HD82" s="1062"/>
      <c r="HE82" s="1062"/>
      <c r="HF82" s="1062"/>
      <c r="HG82" s="1062"/>
      <c r="HH82" s="1062"/>
      <c r="HI82" s="1062"/>
      <c r="HJ82" s="1062"/>
      <c r="HK82" s="1062"/>
      <c r="HL82" s="1062"/>
      <c r="HM82" s="1062"/>
      <c r="HN82" s="1062"/>
      <c r="HO82" s="1062"/>
      <c r="HP82" s="1062"/>
      <c r="HQ82" s="1062"/>
      <c r="HR82" s="1062"/>
      <c r="HS82" s="1062"/>
      <c r="HT82" s="1062"/>
      <c r="HU82" s="1062"/>
      <c r="HV82" s="1062"/>
      <c r="HW82" s="1062"/>
      <c r="HX82" s="1077"/>
      <c r="HY82" s="1062"/>
      <c r="HZ82" s="1062"/>
      <c r="IA82" s="1062"/>
      <c r="IB82" s="1062"/>
      <c r="IC82" s="1077"/>
      <c r="ID82" s="1077"/>
      <c r="IE82" s="1062"/>
      <c r="IF82" s="1062"/>
      <c r="IG82" s="1062"/>
      <c r="IH82" s="1062"/>
      <c r="II82" s="1062"/>
      <c r="IJ82" s="1062"/>
      <c r="IK82" s="1085"/>
      <c r="IL82" s="1085"/>
      <c r="IM82" s="1085"/>
      <c r="IN82" s="1085"/>
      <c r="IO82" s="1085"/>
      <c r="IP82" s="1085"/>
      <c r="IQ82" s="1085"/>
      <c r="IR82" s="1085"/>
      <c r="IS82" s="1085"/>
      <c r="IT82" s="1085"/>
      <c r="IU82" s="1085"/>
      <c r="IV82" s="1085"/>
      <c r="IW82" s="1085"/>
      <c r="IX82" s="1085"/>
      <c r="IY82" s="1085"/>
      <c r="IZ82" s="1085"/>
      <c r="JA82" s="1085"/>
      <c r="JB82" s="1085"/>
      <c r="JC82" s="1085"/>
      <c r="JD82" s="1085"/>
      <c r="JE82" s="1085"/>
      <c r="JF82" s="1085"/>
      <c r="JG82" s="1085"/>
      <c r="JH82" s="1085"/>
      <c r="JI82" s="1085"/>
      <c r="JJ82" s="1085"/>
      <c r="JK82" s="1085"/>
      <c r="JL82" s="1085"/>
      <c r="JM82" s="1085"/>
      <c r="JN82" s="1085"/>
      <c r="JO82" s="1085"/>
      <c r="JP82" s="1085"/>
      <c r="JQ82" s="1085"/>
      <c r="JR82" s="1085"/>
      <c r="JS82" s="1085"/>
      <c r="JT82" s="1085"/>
      <c r="JU82" s="1085"/>
      <c r="JV82" s="1085"/>
      <c r="JW82" s="1085"/>
      <c r="JX82" s="1085"/>
      <c r="JY82" s="1085"/>
      <c r="JZ82" s="1085"/>
      <c r="KA82" s="1085"/>
      <c r="KB82" s="1085"/>
      <c r="KC82" s="1085"/>
      <c r="KD82" s="1085"/>
      <c r="KE82" s="1085"/>
      <c r="KF82" s="1085"/>
      <c r="KG82" s="1085"/>
      <c r="KH82" s="1085"/>
      <c r="KI82" s="1085"/>
      <c r="KJ82" s="1085"/>
      <c r="KK82" s="1085"/>
      <c r="KL82" s="1085"/>
      <c r="KM82" s="1085"/>
      <c r="KN82" s="1085"/>
      <c r="KO82" s="1085"/>
      <c r="KP82" s="1085"/>
      <c r="KQ82" s="1085"/>
      <c r="KR82" s="1085"/>
      <c r="KS82" s="1085"/>
      <c r="KT82" s="1085"/>
      <c r="KU82" s="1085"/>
      <c r="KV82" s="1085"/>
      <c r="KW82" s="1085"/>
      <c r="KX82" s="1085"/>
      <c r="KY82" s="1085"/>
      <c r="KZ82" s="1085"/>
      <c r="LA82" s="1085"/>
      <c r="LB82" s="1085"/>
      <c r="LC82" s="1085"/>
      <c r="LD82" s="1085"/>
      <c r="LE82" s="1085"/>
      <c r="LF82" s="1085"/>
      <c r="LG82" s="1085"/>
      <c r="LH82" s="1085"/>
      <c r="LI82" s="1085"/>
      <c r="LJ82" s="1085"/>
      <c r="LK82" s="1085"/>
      <c r="LL82" s="1085"/>
      <c r="LM82" s="1085"/>
      <c r="LN82" s="1085"/>
      <c r="LO82" s="1085"/>
      <c r="LP82" s="1085"/>
      <c r="LQ82" s="1085"/>
      <c r="LR82" s="1085"/>
      <c r="LS82" s="1085"/>
      <c r="LT82" s="1085"/>
      <c r="LU82" s="1085"/>
      <c r="LV82" s="1085"/>
      <c r="LW82" s="1085"/>
      <c r="LX82" s="1085"/>
      <c r="LY82" s="1085"/>
      <c r="LZ82" s="1085"/>
      <c r="MA82" s="1085"/>
      <c r="MB82" s="1085"/>
      <c r="MC82" s="1085"/>
      <c r="MD82" s="1085"/>
      <c r="ME82" s="1085"/>
      <c r="MF82" s="1085"/>
      <c r="MG82" s="1085"/>
      <c r="MH82" s="1085"/>
      <c r="MI82" s="1085"/>
      <c r="MJ82" s="1085"/>
      <c r="MK82" s="1085"/>
      <c r="ML82" s="1085"/>
      <c r="MM82" s="1085"/>
      <c r="MN82" s="1085"/>
      <c r="MO82" s="1085"/>
      <c r="MP82" s="1085"/>
      <c r="MQ82" s="1085"/>
      <c r="MR82" s="1085"/>
      <c r="MS82" s="1085"/>
      <c r="MT82" s="1085"/>
      <c r="MU82" s="1085"/>
      <c r="MV82" s="1085"/>
      <c r="MW82" s="1085"/>
      <c r="MX82" s="1085"/>
      <c r="MY82" s="1085"/>
      <c r="MZ82" s="1085"/>
      <c r="NA82" s="1085"/>
      <c r="NB82" s="1085"/>
      <c r="NC82" s="1085"/>
      <c r="ND82" s="1085"/>
      <c r="NE82" s="1085"/>
    </row>
    <row r="83" customFormat="1" spans="1:369">
      <c r="A83" s="1059" t="s">
        <v>168</v>
      </c>
      <c r="B83" s="1062" t="str">
        <f>IF(OR(A83="说服",A83="话术",A83="取悦",A83="恐吓"),"☯",IF(ISNUMBER(SEARCH(A83,VLOOKUP(IX$2,职业列表!$B$1:$G$370,6,0))),"★",""))</f>
        <v/>
      </c>
      <c r="C83" s="1061" t="str">
        <f>IF(ISTEXT(IFERROR(VLOOKUP(A83,职业列表!I21:J28,1,FALSE),0)),"★","")</f>
        <v/>
      </c>
      <c r="D83" s="1062"/>
      <c r="E83" s="1062"/>
      <c r="F83" s="1062"/>
      <c r="G83" s="1062"/>
      <c r="H83" s="1062"/>
      <c r="I83" s="1062"/>
      <c r="J83" s="1062"/>
      <c r="K83" s="1062"/>
      <c r="L83" s="1062"/>
      <c r="M83" s="1062"/>
      <c r="N83" s="1062"/>
      <c r="O83" s="1062"/>
      <c r="P83" s="1062"/>
      <c r="Q83" s="1062"/>
      <c r="R83" s="1062"/>
      <c r="S83" s="1062"/>
      <c r="T83" s="1062"/>
      <c r="U83" s="1062"/>
      <c r="V83" s="1062"/>
      <c r="W83" s="1062"/>
      <c r="X83" s="1062"/>
      <c r="Y83" s="1062"/>
      <c r="Z83" s="1062"/>
      <c r="AA83" s="1062"/>
      <c r="AB83" s="1062"/>
      <c r="AC83" s="1062"/>
      <c r="AD83" s="1062"/>
      <c r="AE83" s="1062"/>
      <c r="AF83" s="1062"/>
      <c r="AG83" s="1062"/>
      <c r="AH83" s="1062"/>
      <c r="AI83" s="1062"/>
      <c r="AJ83" s="1062"/>
      <c r="AK83" s="1062"/>
      <c r="AL83" s="1062"/>
      <c r="AM83" s="1062"/>
      <c r="AN83" s="1062"/>
      <c r="AO83" s="1062"/>
      <c r="AP83" s="1062"/>
      <c r="AQ83" s="1062"/>
      <c r="AR83" s="1062"/>
      <c r="AS83" s="1062"/>
      <c r="AT83" s="1062"/>
      <c r="AU83" s="1062"/>
      <c r="AV83" s="1062"/>
      <c r="AW83" s="1062"/>
      <c r="AX83" s="1062"/>
      <c r="AY83" s="1062"/>
      <c r="AZ83" s="1062"/>
      <c r="BA83" s="1062"/>
      <c r="BB83" s="1062"/>
      <c r="BC83" s="1062"/>
      <c r="BD83" s="1062"/>
      <c r="BE83" s="1062"/>
      <c r="BF83" s="1062"/>
      <c r="BG83" s="1062"/>
      <c r="BH83" s="1062"/>
      <c r="BI83" s="1062"/>
      <c r="BJ83" s="1062"/>
      <c r="BK83" s="1062"/>
      <c r="BL83" s="1062"/>
      <c r="BM83" s="1062"/>
      <c r="BN83" s="1062"/>
      <c r="BO83" s="1062"/>
      <c r="BP83" s="1062"/>
      <c r="BQ83" s="1062"/>
      <c r="BR83" s="1062"/>
      <c r="BS83" s="1062"/>
      <c r="BT83" s="1062"/>
      <c r="BU83" s="1062"/>
      <c r="BV83" s="1062"/>
      <c r="BW83" s="1062"/>
      <c r="BX83" s="1062"/>
      <c r="BY83" s="1062"/>
      <c r="BZ83" s="1062"/>
      <c r="CA83" s="1062"/>
      <c r="CB83" s="1062"/>
      <c r="CC83" s="1062"/>
      <c r="CD83" s="1062"/>
      <c r="CE83" s="1062"/>
      <c r="CF83" s="1062"/>
      <c r="CG83" s="1062"/>
      <c r="CH83" s="1062"/>
      <c r="CI83" s="1062"/>
      <c r="CJ83" s="1062"/>
      <c r="CK83" s="1062"/>
      <c r="CL83" s="1062"/>
      <c r="CM83" s="1062"/>
      <c r="CN83" s="1062"/>
      <c r="CO83" s="1062"/>
      <c r="CP83" s="1062"/>
      <c r="CQ83" s="1062"/>
      <c r="CR83" s="1062"/>
      <c r="CS83" s="1062"/>
      <c r="CT83" s="1062"/>
      <c r="CU83" s="1062"/>
      <c r="CV83" s="1062"/>
      <c r="CW83" s="1062"/>
      <c r="CX83" s="1062"/>
      <c r="CY83" s="1062"/>
      <c r="CZ83" s="1062"/>
      <c r="DA83" s="1062"/>
      <c r="DB83" s="1062"/>
      <c r="DC83" s="1062"/>
      <c r="DD83" s="1062"/>
      <c r="DE83" s="1062"/>
      <c r="DF83" s="1062"/>
      <c r="DG83" s="1062"/>
      <c r="DH83" s="1062"/>
      <c r="DI83" s="1062"/>
      <c r="DJ83" s="1062"/>
      <c r="DK83" s="1062"/>
      <c r="DL83" s="1062"/>
      <c r="DM83" s="1062"/>
      <c r="DN83" s="1062"/>
      <c r="DO83" s="1062"/>
      <c r="DP83" s="1062"/>
      <c r="DQ83" s="1062"/>
      <c r="DR83" s="1062"/>
      <c r="DS83" s="1062"/>
      <c r="DT83" s="1062"/>
      <c r="DU83" s="1062"/>
      <c r="DV83" s="1062"/>
      <c r="DW83" s="1062"/>
      <c r="DX83" s="1062"/>
      <c r="DY83" s="1062"/>
      <c r="DZ83" s="1062"/>
      <c r="EA83" s="1062"/>
      <c r="EB83" s="1062"/>
      <c r="EC83" s="1062"/>
      <c r="ED83" s="1062"/>
      <c r="EE83" s="1062"/>
      <c r="EF83" s="1062"/>
      <c r="EG83" s="1062"/>
      <c r="EH83" s="1062"/>
      <c r="EI83" s="1062"/>
      <c r="EJ83" s="1062"/>
      <c r="EK83" s="1062"/>
      <c r="EL83" s="1062"/>
      <c r="EM83" s="1062"/>
      <c r="EN83" s="1062"/>
      <c r="EO83" s="1062"/>
      <c r="EP83" s="1062"/>
      <c r="EQ83" s="1062"/>
      <c r="ER83" s="1062"/>
      <c r="ES83" s="1062"/>
      <c r="ET83" s="1062"/>
      <c r="EU83" s="1062"/>
      <c r="EV83" s="1062"/>
      <c r="EW83" s="1062"/>
      <c r="EX83" s="1062"/>
      <c r="EY83" s="1062"/>
      <c r="EZ83" s="1062"/>
      <c r="FA83" s="1062"/>
      <c r="FB83" s="1062"/>
      <c r="FC83" s="1062"/>
      <c r="FD83" s="1062"/>
      <c r="FE83" s="1062"/>
      <c r="FF83" s="1062"/>
      <c r="FG83" s="1062"/>
      <c r="FH83" s="1062"/>
      <c r="FI83" s="1062"/>
      <c r="FJ83" s="1062"/>
      <c r="FK83" s="1062"/>
      <c r="FL83" s="1062"/>
      <c r="FM83" s="1062"/>
      <c r="FN83" s="1062"/>
      <c r="FO83" s="1062"/>
      <c r="FP83" s="1062"/>
      <c r="FQ83" s="1062"/>
      <c r="FR83" s="1062"/>
      <c r="FS83" s="1062"/>
      <c r="FT83" s="1062"/>
      <c r="FU83" s="1062"/>
      <c r="FV83" s="1062"/>
      <c r="FW83" s="1062"/>
      <c r="FX83" s="1062"/>
      <c r="FY83" s="1062"/>
      <c r="FZ83" s="1062"/>
      <c r="GA83" s="1062"/>
      <c r="GB83" s="1062"/>
      <c r="GC83" s="1062"/>
      <c r="GD83" s="1062"/>
      <c r="GE83" s="1062"/>
      <c r="GF83" s="1062"/>
      <c r="GG83" s="1062"/>
      <c r="GH83" s="1062"/>
      <c r="GI83" s="1062"/>
      <c r="GJ83" s="1062"/>
      <c r="GK83" s="1062"/>
      <c r="GL83" s="1062"/>
      <c r="GM83" s="1062"/>
      <c r="GN83" s="1062"/>
      <c r="GO83" s="1062"/>
      <c r="GP83" s="1062"/>
      <c r="GQ83" s="1062"/>
      <c r="GR83" s="1062"/>
      <c r="GS83" s="1062"/>
      <c r="GT83" s="1062"/>
      <c r="GU83" s="1062"/>
      <c r="GV83" s="1062"/>
      <c r="GW83" s="1062"/>
      <c r="GX83" s="1062"/>
      <c r="GY83" s="1062"/>
      <c r="GZ83" s="1062"/>
      <c r="HA83" s="1062"/>
      <c r="HB83" s="1062"/>
      <c r="HC83" s="1062"/>
      <c r="HD83" s="1062"/>
      <c r="HE83" s="1062"/>
      <c r="HF83" s="1062"/>
      <c r="HG83" s="1062"/>
      <c r="HH83" s="1062"/>
      <c r="HI83" s="1062"/>
      <c r="HJ83" s="1062"/>
      <c r="HK83" s="1062"/>
      <c r="HL83" s="1062"/>
      <c r="HM83" s="1062"/>
      <c r="HN83" s="1062"/>
      <c r="HO83" s="1062"/>
      <c r="HP83" s="1062"/>
      <c r="HQ83" s="1062"/>
      <c r="HR83" s="1062"/>
      <c r="HS83" s="1062"/>
      <c r="HT83" s="1062"/>
      <c r="HU83" s="1062"/>
      <c r="HV83" s="1062"/>
      <c r="HW83" s="1062"/>
      <c r="HX83" s="1077"/>
      <c r="HY83" s="1062"/>
      <c r="HZ83" s="1062"/>
      <c r="IA83" s="1062"/>
      <c r="IB83" s="1062"/>
      <c r="IC83" s="1077"/>
      <c r="ID83" s="1077"/>
      <c r="IE83" s="1062"/>
      <c r="IF83" s="1062"/>
      <c r="IG83" s="1062"/>
      <c r="IH83" s="1062"/>
      <c r="II83" s="1062"/>
      <c r="IJ83" s="1062"/>
      <c r="IK83" s="1085"/>
      <c r="IL83" s="1085"/>
      <c r="IM83" s="1085"/>
      <c r="IN83" s="1085"/>
      <c r="IO83" s="1085"/>
      <c r="IP83" s="1085"/>
      <c r="IQ83" s="1085"/>
      <c r="IR83" s="1085"/>
      <c r="IS83" s="1085"/>
      <c r="IT83" s="1085"/>
      <c r="IU83" s="1085"/>
      <c r="IV83" s="1085"/>
      <c r="IW83" s="1085"/>
      <c r="IX83" s="1085"/>
      <c r="IY83" s="1085"/>
      <c r="IZ83" s="1085"/>
      <c r="JA83" s="1085"/>
      <c r="JB83" s="1085"/>
      <c r="JC83" s="1085"/>
      <c r="JD83" s="1085"/>
      <c r="JE83" s="1085"/>
      <c r="JF83" s="1085"/>
      <c r="JG83" s="1085"/>
      <c r="JH83" s="1085"/>
      <c r="JI83" s="1085"/>
      <c r="JJ83" s="1085"/>
      <c r="JK83" s="1085"/>
      <c r="JL83" s="1085"/>
      <c r="JM83" s="1085"/>
      <c r="JN83" s="1085"/>
      <c r="JO83" s="1085"/>
      <c r="JP83" s="1085"/>
      <c r="JQ83" s="1085"/>
      <c r="JR83" s="1085"/>
      <c r="JS83" s="1085"/>
      <c r="JT83" s="1085"/>
      <c r="JU83" s="1085"/>
      <c r="JV83" s="1085"/>
      <c r="JW83" s="1085"/>
      <c r="JX83" s="1085"/>
      <c r="JY83" s="1085"/>
      <c r="JZ83" s="1085"/>
      <c r="KA83" s="1085"/>
      <c r="KB83" s="1085"/>
      <c r="KC83" s="1085"/>
      <c r="KD83" s="1085"/>
      <c r="KE83" s="1085"/>
      <c r="KF83" s="1085"/>
      <c r="KG83" s="1085"/>
      <c r="KH83" s="1085"/>
      <c r="KI83" s="1085"/>
      <c r="KJ83" s="1085"/>
      <c r="KK83" s="1085"/>
      <c r="KL83" s="1085"/>
      <c r="KM83" s="1085"/>
      <c r="KN83" s="1085"/>
      <c r="KO83" s="1085"/>
      <c r="KP83" s="1085"/>
      <c r="KQ83" s="1085"/>
      <c r="KR83" s="1085"/>
      <c r="KS83" s="1085"/>
      <c r="KT83" s="1085"/>
      <c r="KU83" s="1085"/>
      <c r="KV83" s="1085"/>
      <c r="KW83" s="1085"/>
      <c r="KX83" s="1085"/>
      <c r="KY83" s="1085"/>
      <c r="KZ83" s="1085"/>
      <c r="LA83" s="1085"/>
      <c r="LB83" s="1085"/>
      <c r="LC83" s="1085"/>
      <c r="LD83" s="1085"/>
      <c r="LE83" s="1085"/>
      <c r="LF83" s="1085"/>
      <c r="LG83" s="1085"/>
      <c r="LH83" s="1085"/>
      <c r="LI83" s="1085"/>
      <c r="LJ83" s="1085"/>
      <c r="LK83" s="1085"/>
      <c r="LL83" s="1085"/>
      <c r="LM83" s="1085"/>
      <c r="LN83" s="1085"/>
      <c r="LO83" s="1085"/>
      <c r="LP83" s="1085"/>
      <c r="LQ83" s="1085"/>
      <c r="LR83" s="1085"/>
      <c r="LS83" s="1085"/>
      <c r="LT83" s="1085"/>
      <c r="LU83" s="1085"/>
      <c r="LV83" s="1085"/>
      <c r="LW83" s="1085"/>
      <c r="LX83" s="1085"/>
      <c r="LY83" s="1085"/>
      <c r="LZ83" s="1085"/>
      <c r="MA83" s="1085"/>
      <c r="MB83" s="1085"/>
      <c r="MC83" s="1085"/>
      <c r="MD83" s="1085"/>
      <c r="ME83" s="1085"/>
      <c r="MF83" s="1085"/>
      <c r="MG83" s="1085"/>
      <c r="MH83" s="1085"/>
      <c r="MI83" s="1085"/>
      <c r="MJ83" s="1085"/>
      <c r="MK83" s="1085"/>
      <c r="ML83" s="1085"/>
      <c r="MM83" s="1085"/>
      <c r="MN83" s="1085"/>
      <c r="MO83" s="1085"/>
      <c r="MP83" s="1085"/>
      <c r="MQ83" s="1085"/>
      <c r="MR83" s="1085"/>
      <c r="MS83" s="1085"/>
      <c r="MT83" s="1085"/>
      <c r="MU83" s="1085"/>
      <c r="MV83" s="1085"/>
      <c r="MW83" s="1085"/>
      <c r="MX83" s="1085"/>
      <c r="MY83" s="1085"/>
      <c r="MZ83" s="1085"/>
      <c r="NA83" s="1085"/>
      <c r="NB83" s="1085"/>
      <c r="NC83" s="1085"/>
      <c r="ND83" s="1085"/>
      <c r="NE83" s="1085"/>
    </row>
    <row r="84" customFormat="1" spans="1:369">
      <c r="A84" s="1059" t="s">
        <v>173</v>
      </c>
      <c r="B84" s="1062" t="str">
        <f>IF(OR(A84="说服",A84="话术",A84="取悦",A84="恐吓"),"☯",IF(ISNUMBER(SEARCH(A84,VLOOKUP(IX$2,职业列表!$B$1:$G$370,6,0))),"★",""))</f>
        <v/>
      </c>
      <c r="C84" s="1061" t="str">
        <f>IF(ISTEXT(IFERROR(VLOOKUP(A84,职业列表!I21:J28,1,FALSE),0)),"★","")</f>
        <v/>
      </c>
      <c r="D84" s="1062"/>
      <c r="E84" s="1062"/>
      <c r="F84" s="1062"/>
      <c r="G84" s="1062"/>
      <c r="H84" s="1062"/>
      <c r="I84" s="1062"/>
      <c r="J84" s="1062"/>
      <c r="K84" s="1062"/>
      <c r="L84" s="1062"/>
      <c r="M84" s="1062"/>
      <c r="N84" s="1062"/>
      <c r="O84" s="1062"/>
      <c r="P84" s="1062"/>
      <c r="Q84" s="1062"/>
      <c r="R84" s="1062"/>
      <c r="S84" s="1062"/>
      <c r="T84" s="1062"/>
      <c r="U84" s="1062"/>
      <c r="V84" s="1062"/>
      <c r="W84" s="1062"/>
      <c r="X84" s="1062"/>
      <c r="Y84" s="1062"/>
      <c r="Z84" s="1062"/>
      <c r="AA84" s="1062"/>
      <c r="AB84" s="1062"/>
      <c r="AC84" s="1062"/>
      <c r="AD84" s="1062"/>
      <c r="AE84" s="1062"/>
      <c r="AF84" s="1062"/>
      <c r="AG84" s="1062"/>
      <c r="AH84" s="1062"/>
      <c r="AI84" s="1062"/>
      <c r="AJ84" s="1062"/>
      <c r="AK84" s="1062"/>
      <c r="AL84" s="1062"/>
      <c r="AM84" s="1062"/>
      <c r="AN84" s="1062"/>
      <c r="AO84" s="1062"/>
      <c r="AP84" s="1062"/>
      <c r="AQ84" s="1062"/>
      <c r="AR84" s="1062"/>
      <c r="AS84" s="1062"/>
      <c r="AT84" s="1062"/>
      <c r="AU84" s="1062"/>
      <c r="AV84" s="1062"/>
      <c r="AW84" s="1062"/>
      <c r="AX84" s="1062"/>
      <c r="AY84" s="1062"/>
      <c r="AZ84" s="1062"/>
      <c r="BA84" s="1062"/>
      <c r="BB84" s="1062"/>
      <c r="BC84" s="1062"/>
      <c r="BD84" s="1062"/>
      <c r="BE84" s="1062"/>
      <c r="BF84" s="1062"/>
      <c r="BG84" s="1062"/>
      <c r="BH84" s="1062"/>
      <c r="BI84" s="1062"/>
      <c r="BJ84" s="1062"/>
      <c r="BK84" s="1062"/>
      <c r="BL84" s="1062"/>
      <c r="BM84" s="1062"/>
      <c r="BN84" s="1062"/>
      <c r="BO84" s="1062"/>
      <c r="BP84" s="1062"/>
      <c r="BQ84" s="1062"/>
      <c r="BR84" s="1062"/>
      <c r="BS84" s="1062"/>
      <c r="BT84" s="1062"/>
      <c r="BU84" s="1062"/>
      <c r="BV84" s="1062"/>
      <c r="BW84" s="1062"/>
      <c r="BX84" s="1062"/>
      <c r="BY84" s="1062"/>
      <c r="BZ84" s="1062"/>
      <c r="CA84" s="1062"/>
      <c r="CB84" s="1062"/>
      <c r="CC84" s="1062"/>
      <c r="CD84" s="1062"/>
      <c r="CE84" s="1062"/>
      <c r="CF84" s="1062"/>
      <c r="CG84" s="1062"/>
      <c r="CH84" s="1062"/>
      <c r="CI84" s="1062"/>
      <c r="CJ84" s="1062"/>
      <c r="CK84" s="1062"/>
      <c r="CL84" s="1062"/>
      <c r="CM84" s="1062"/>
      <c r="CN84" s="1062"/>
      <c r="CO84" s="1062"/>
      <c r="CP84" s="1062"/>
      <c r="CQ84" s="1062"/>
      <c r="CR84" s="1062"/>
      <c r="CS84" s="1062"/>
      <c r="CT84" s="1062"/>
      <c r="CU84" s="1062"/>
      <c r="CV84" s="1062"/>
      <c r="CW84" s="1062"/>
      <c r="CX84" s="1062"/>
      <c r="CY84" s="1062"/>
      <c r="CZ84" s="1062"/>
      <c r="DA84" s="1062"/>
      <c r="DB84" s="1062"/>
      <c r="DC84" s="1062"/>
      <c r="DD84" s="1062"/>
      <c r="DE84" s="1062"/>
      <c r="DF84" s="1062"/>
      <c r="DG84" s="1062"/>
      <c r="DH84" s="1062"/>
      <c r="DI84" s="1062"/>
      <c r="DJ84" s="1062"/>
      <c r="DK84" s="1062"/>
      <c r="DL84" s="1062"/>
      <c r="DM84" s="1062"/>
      <c r="DN84" s="1062"/>
      <c r="DO84" s="1062"/>
      <c r="DP84" s="1062"/>
      <c r="DQ84" s="1062"/>
      <c r="DR84" s="1062"/>
      <c r="DS84" s="1062"/>
      <c r="DT84" s="1062"/>
      <c r="DU84" s="1062"/>
      <c r="DV84" s="1062"/>
      <c r="DW84" s="1062"/>
      <c r="DX84" s="1062"/>
      <c r="DY84" s="1062"/>
      <c r="DZ84" s="1062"/>
      <c r="EA84" s="1062"/>
      <c r="EB84" s="1062"/>
      <c r="EC84" s="1062"/>
      <c r="ED84" s="1062"/>
      <c r="EE84" s="1062"/>
      <c r="EF84" s="1062"/>
      <c r="EG84" s="1062"/>
      <c r="EH84" s="1062"/>
      <c r="EI84" s="1062"/>
      <c r="EJ84" s="1062"/>
      <c r="EK84" s="1062"/>
      <c r="EL84" s="1062"/>
      <c r="EM84" s="1062"/>
      <c r="EN84" s="1062"/>
      <c r="EO84" s="1062"/>
      <c r="EP84" s="1062"/>
      <c r="EQ84" s="1062"/>
      <c r="ER84" s="1062"/>
      <c r="ES84" s="1062"/>
      <c r="ET84" s="1062"/>
      <c r="EU84" s="1062"/>
      <c r="EV84" s="1062"/>
      <c r="EW84" s="1062"/>
      <c r="EX84" s="1062"/>
      <c r="EY84" s="1062"/>
      <c r="EZ84" s="1062"/>
      <c r="FA84" s="1062"/>
      <c r="FB84" s="1062"/>
      <c r="FC84" s="1062"/>
      <c r="FD84" s="1062"/>
      <c r="FE84" s="1062"/>
      <c r="FF84" s="1062"/>
      <c r="FG84" s="1062"/>
      <c r="FH84" s="1062"/>
      <c r="FI84" s="1062"/>
      <c r="FJ84" s="1062"/>
      <c r="FK84" s="1062"/>
      <c r="FL84" s="1062"/>
      <c r="FM84" s="1062"/>
      <c r="FN84" s="1062"/>
      <c r="FO84" s="1062"/>
      <c r="FP84" s="1062"/>
      <c r="FQ84" s="1062"/>
      <c r="FR84" s="1062"/>
      <c r="FS84" s="1062"/>
      <c r="FT84" s="1062"/>
      <c r="FU84" s="1062"/>
      <c r="FV84" s="1062"/>
      <c r="FW84" s="1062"/>
      <c r="FX84" s="1062"/>
      <c r="FY84" s="1062"/>
      <c r="FZ84" s="1062"/>
      <c r="GA84" s="1062"/>
      <c r="GB84" s="1062"/>
      <c r="GC84" s="1062"/>
      <c r="GD84" s="1062"/>
      <c r="GE84" s="1062"/>
      <c r="GF84" s="1062"/>
      <c r="GG84" s="1062"/>
      <c r="GH84" s="1062"/>
      <c r="GI84" s="1062"/>
      <c r="GJ84" s="1062"/>
      <c r="GK84" s="1062"/>
      <c r="GL84" s="1062"/>
      <c r="GM84" s="1062"/>
      <c r="GN84" s="1062"/>
      <c r="GO84" s="1062"/>
      <c r="GP84" s="1062"/>
      <c r="GQ84" s="1062"/>
      <c r="GR84" s="1062"/>
      <c r="GS84" s="1062"/>
      <c r="GT84" s="1062"/>
      <c r="GU84" s="1062"/>
      <c r="GV84" s="1062"/>
      <c r="GW84" s="1062"/>
      <c r="GX84" s="1062"/>
      <c r="GY84" s="1062"/>
      <c r="GZ84" s="1062"/>
      <c r="HA84" s="1062"/>
      <c r="HB84" s="1062"/>
      <c r="HC84" s="1062"/>
      <c r="HD84" s="1062"/>
      <c r="HE84" s="1062"/>
      <c r="HF84" s="1062"/>
      <c r="HG84" s="1062"/>
      <c r="HH84" s="1062"/>
      <c r="HI84" s="1062"/>
      <c r="HJ84" s="1062"/>
      <c r="HK84" s="1062"/>
      <c r="HL84" s="1062"/>
      <c r="HM84" s="1062"/>
      <c r="HN84" s="1062"/>
      <c r="HO84" s="1062"/>
      <c r="HP84" s="1062"/>
      <c r="HQ84" s="1062"/>
      <c r="HR84" s="1062"/>
      <c r="HS84" s="1062"/>
      <c r="HT84" s="1062"/>
      <c r="HU84" s="1062"/>
      <c r="HV84" s="1062"/>
      <c r="HW84" s="1062"/>
      <c r="HX84" s="1077"/>
      <c r="HY84" s="1062"/>
      <c r="HZ84" s="1062"/>
      <c r="IA84" s="1062"/>
      <c r="IB84" s="1062"/>
      <c r="IC84" s="1077"/>
      <c r="ID84" s="1077"/>
      <c r="IE84" s="1062"/>
      <c r="IF84" s="1062"/>
      <c r="IG84" s="1062"/>
      <c r="IH84" s="1062"/>
      <c r="II84" s="1062"/>
      <c r="IJ84" s="1062"/>
      <c r="IK84" s="1085"/>
      <c r="IL84" s="1085"/>
      <c r="IM84" s="1085"/>
      <c r="IN84" s="1085"/>
      <c r="IO84" s="1085"/>
      <c r="IP84" s="1085"/>
      <c r="IQ84" s="1085"/>
      <c r="IR84" s="1085"/>
      <c r="IS84" s="1085"/>
      <c r="IT84" s="1085"/>
      <c r="IU84" s="1085"/>
      <c r="IV84" s="1085"/>
      <c r="IW84" s="1085"/>
      <c r="IX84" s="1085"/>
      <c r="IY84" s="1085"/>
      <c r="IZ84" s="1085"/>
      <c r="JA84" s="1085"/>
      <c r="JB84" s="1085"/>
      <c r="JC84" s="1085"/>
      <c r="JD84" s="1085"/>
      <c r="JE84" s="1085"/>
      <c r="JF84" s="1085"/>
      <c r="JG84" s="1085"/>
      <c r="JH84" s="1085"/>
      <c r="JI84" s="1085"/>
      <c r="JJ84" s="1085"/>
      <c r="JK84" s="1085"/>
      <c r="JL84" s="1085"/>
      <c r="JM84" s="1085"/>
      <c r="JN84" s="1085"/>
      <c r="JO84" s="1085"/>
      <c r="JP84" s="1085"/>
      <c r="JQ84" s="1085"/>
      <c r="JR84" s="1085"/>
      <c r="JS84" s="1085"/>
      <c r="JT84" s="1085"/>
      <c r="JU84" s="1085"/>
      <c r="JV84" s="1085"/>
      <c r="JW84" s="1085"/>
      <c r="JX84" s="1085"/>
      <c r="JY84" s="1085"/>
      <c r="JZ84" s="1085"/>
      <c r="KA84" s="1085"/>
      <c r="KB84" s="1085"/>
      <c r="KC84" s="1085"/>
      <c r="KD84" s="1085"/>
      <c r="KE84" s="1085"/>
      <c r="KF84" s="1085"/>
      <c r="KG84" s="1085"/>
      <c r="KH84" s="1085"/>
      <c r="KI84" s="1085"/>
      <c r="KJ84" s="1085"/>
      <c r="KK84" s="1085"/>
      <c r="KL84" s="1085"/>
      <c r="KM84" s="1085"/>
      <c r="KN84" s="1085"/>
      <c r="KO84" s="1085"/>
      <c r="KP84" s="1085"/>
      <c r="KQ84" s="1085"/>
      <c r="KR84" s="1085"/>
      <c r="KS84" s="1085"/>
      <c r="KT84" s="1085"/>
      <c r="KU84" s="1085"/>
      <c r="KV84" s="1085"/>
      <c r="KW84" s="1085"/>
      <c r="KX84" s="1085"/>
      <c r="KY84" s="1085"/>
      <c r="KZ84" s="1085"/>
      <c r="LA84" s="1085"/>
      <c r="LB84" s="1085"/>
      <c r="LC84" s="1085"/>
      <c r="LD84" s="1085"/>
      <c r="LE84" s="1085"/>
      <c r="LF84" s="1085"/>
      <c r="LG84" s="1085"/>
      <c r="LH84" s="1085"/>
      <c r="LI84" s="1085"/>
      <c r="LJ84" s="1085"/>
      <c r="LK84" s="1085"/>
      <c r="LL84" s="1085"/>
      <c r="LM84" s="1085"/>
      <c r="LN84" s="1085"/>
      <c r="LO84" s="1085"/>
      <c r="LP84" s="1085"/>
      <c r="LQ84" s="1085"/>
      <c r="LR84" s="1085"/>
      <c r="LS84" s="1085"/>
      <c r="LT84" s="1085"/>
      <c r="LU84" s="1085"/>
      <c r="LV84" s="1085"/>
      <c r="LW84" s="1085"/>
      <c r="LX84" s="1085"/>
      <c r="LY84" s="1085"/>
      <c r="LZ84" s="1085"/>
      <c r="MA84" s="1085"/>
      <c r="MB84" s="1085"/>
      <c r="MC84" s="1085"/>
      <c r="MD84" s="1085"/>
      <c r="ME84" s="1085"/>
      <c r="MF84" s="1085"/>
      <c r="MG84" s="1085"/>
      <c r="MH84" s="1085"/>
      <c r="MI84" s="1085"/>
      <c r="MJ84" s="1085"/>
      <c r="MK84" s="1085"/>
      <c r="ML84" s="1085"/>
      <c r="MM84" s="1085"/>
      <c r="MN84" s="1085"/>
      <c r="MO84" s="1085"/>
      <c r="MP84" s="1085"/>
      <c r="MQ84" s="1085"/>
      <c r="MR84" s="1085"/>
      <c r="MS84" s="1085"/>
      <c r="MT84" s="1085"/>
      <c r="MU84" s="1085"/>
      <c r="MV84" s="1085"/>
      <c r="MW84" s="1085"/>
      <c r="MX84" s="1085"/>
      <c r="MY84" s="1085"/>
      <c r="MZ84" s="1085"/>
      <c r="NA84" s="1085"/>
      <c r="NB84" s="1085"/>
      <c r="NC84" s="1085"/>
      <c r="ND84" s="1085"/>
      <c r="NE84" s="1085"/>
    </row>
    <row r="85" customFormat="1" spans="1:369">
      <c r="A85" s="1059" t="s">
        <v>175</v>
      </c>
      <c r="B85" s="1062" t="str">
        <f>IF(OR(A85="说服",A85="话术",A85="取悦",A85="恐吓"),"☯",IF(ISNUMBER(SEARCH(A85,VLOOKUP(IX$2,职业列表!$B$1:$G$370,6,0))),"★",""))</f>
        <v/>
      </c>
      <c r="C85" s="1061" t="str">
        <f>IF(ISTEXT(IFERROR(VLOOKUP(A85,职业列表!I21:J28,1,FALSE),0)),"★","")</f>
        <v/>
      </c>
      <c r="D85" s="1062"/>
      <c r="E85" s="1062"/>
      <c r="F85" s="1062"/>
      <c r="G85" s="1062"/>
      <c r="H85" s="1062"/>
      <c r="I85" s="1062"/>
      <c r="J85" s="1062"/>
      <c r="K85" s="1062"/>
      <c r="L85" s="1062"/>
      <c r="M85" s="1062"/>
      <c r="N85" s="1062"/>
      <c r="O85" s="1062"/>
      <c r="P85" s="1062"/>
      <c r="Q85" s="1062"/>
      <c r="R85" s="1062"/>
      <c r="S85" s="1062"/>
      <c r="T85" s="1062"/>
      <c r="U85" s="1062"/>
      <c r="V85" s="1062"/>
      <c r="W85" s="1062"/>
      <c r="X85" s="1062"/>
      <c r="Y85" s="1062"/>
      <c r="Z85" s="1062"/>
      <c r="AA85" s="1062"/>
      <c r="AB85" s="1062"/>
      <c r="AC85" s="1062"/>
      <c r="AD85" s="1062"/>
      <c r="AE85" s="1062"/>
      <c r="AF85" s="1062"/>
      <c r="AG85" s="1062"/>
      <c r="AH85" s="1062"/>
      <c r="AI85" s="1062"/>
      <c r="AJ85" s="1062"/>
      <c r="AK85" s="1062"/>
      <c r="AL85" s="1062"/>
      <c r="AM85" s="1062"/>
      <c r="AN85" s="1062"/>
      <c r="AO85" s="1062"/>
      <c r="AP85" s="1062"/>
      <c r="AQ85" s="1062"/>
      <c r="AR85" s="1062"/>
      <c r="AS85" s="1062"/>
      <c r="AT85" s="1062"/>
      <c r="AU85" s="1062"/>
      <c r="AV85" s="1062"/>
      <c r="AW85" s="1062"/>
      <c r="AX85" s="1062"/>
      <c r="AY85" s="1062"/>
      <c r="AZ85" s="1062"/>
      <c r="BA85" s="1062"/>
      <c r="BB85" s="1062"/>
      <c r="BC85" s="1062"/>
      <c r="BD85" s="1062"/>
      <c r="BE85" s="1062"/>
      <c r="BF85" s="1062"/>
      <c r="BG85" s="1062"/>
      <c r="BH85" s="1062"/>
      <c r="BI85" s="1062"/>
      <c r="BJ85" s="1062"/>
      <c r="BK85" s="1062"/>
      <c r="BL85" s="1062"/>
      <c r="BM85" s="1062"/>
      <c r="BN85" s="1062"/>
      <c r="BO85" s="1062"/>
      <c r="BP85" s="1062"/>
      <c r="BQ85" s="1062"/>
      <c r="BR85" s="1062"/>
      <c r="BS85" s="1062"/>
      <c r="BT85" s="1062"/>
      <c r="BU85" s="1062"/>
      <c r="BV85" s="1062"/>
      <c r="BW85" s="1062"/>
      <c r="BX85" s="1062"/>
      <c r="BY85" s="1062"/>
      <c r="BZ85" s="1062"/>
      <c r="CA85" s="1062"/>
      <c r="CB85" s="1062"/>
      <c r="CC85" s="1062"/>
      <c r="CD85" s="1062"/>
      <c r="CE85" s="1062"/>
      <c r="CF85" s="1062"/>
      <c r="CG85" s="1062"/>
      <c r="CH85" s="1062"/>
      <c r="CI85" s="1062"/>
      <c r="CJ85" s="1062"/>
      <c r="CK85" s="1062"/>
      <c r="CL85" s="1062"/>
      <c r="CM85" s="1062"/>
      <c r="CN85" s="1062"/>
      <c r="CO85" s="1062"/>
      <c r="CP85" s="1062"/>
      <c r="CQ85" s="1062"/>
      <c r="CR85" s="1062"/>
      <c r="CS85" s="1062"/>
      <c r="CT85" s="1062"/>
      <c r="CU85" s="1062"/>
      <c r="CV85" s="1062"/>
      <c r="CW85" s="1062"/>
      <c r="CX85" s="1062"/>
      <c r="CY85" s="1062"/>
      <c r="CZ85" s="1062"/>
      <c r="DA85" s="1062"/>
      <c r="DB85" s="1062"/>
      <c r="DC85" s="1062"/>
      <c r="DD85" s="1062"/>
      <c r="DE85" s="1062"/>
      <c r="DF85" s="1062"/>
      <c r="DG85" s="1062"/>
      <c r="DH85" s="1062"/>
      <c r="DI85" s="1062"/>
      <c r="DJ85" s="1062"/>
      <c r="DK85" s="1062"/>
      <c r="DL85" s="1062"/>
      <c r="DM85" s="1062"/>
      <c r="DN85" s="1062"/>
      <c r="DO85" s="1062"/>
      <c r="DP85" s="1062"/>
      <c r="DQ85" s="1062"/>
      <c r="DR85" s="1062"/>
      <c r="DS85" s="1062"/>
      <c r="DT85" s="1062"/>
      <c r="DU85" s="1062"/>
      <c r="DV85" s="1062"/>
      <c r="DW85" s="1062"/>
      <c r="DX85" s="1062"/>
      <c r="DY85" s="1062"/>
      <c r="DZ85" s="1062"/>
      <c r="EA85" s="1062"/>
      <c r="EB85" s="1062"/>
      <c r="EC85" s="1062"/>
      <c r="ED85" s="1062"/>
      <c r="EE85" s="1062"/>
      <c r="EF85" s="1062"/>
      <c r="EG85" s="1062"/>
      <c r="EH85" s="1062"/>
      <c r="EI85" s="1062"/>
      <c r="EJ85" s="1062"/>
      <c r="EK85" s="1062"/>
      <c r="EL85" s="1062"/>
      <c r="EM85" s="1062"/>
      <c r="EN85" s="1062"/>
      <c r="EO85" s="1062"/>
      <c r="EP85" s="1062"/>
      <c r="EQ85" s="1062"/>
      <c r="ER85" s="1062"/>
      <c r="ES85" s="1062"/>
      <c r="ET85" s="1062"/>
      <c r="EU85" s="1062"/>
      <c r="EV85" s="1062"/>
      <c r="EW85" s="1062"/>
      <c r="EX85" s="1062"/>
      <c r="EY85" s="1062"/>
      <c r="EZ85" s="1062"/>
      <c r="FA85" s="1062"/>
      <c r="FB85" s="1062"/>
      <c r="FC85" s="1062"/>
      <c r="FD85" s="1062"/>
      <c r="FE85" s="1062"/>
      <c r="FF85" s="1062"/>
      <c r="FG85" s="1062"/>
      <c r="FH85" s="1062"/>
      <c r="FI85" s="1062"/>
      <c r="FJ85" s="1062"/>
      <c r="FK85" s="1062"/>
      <c r="FL85" s="1062"/>
      <c r="FM85" s="1062"/>
      <c r="FN85" s="1062"/>
      <c r="FO85" s="1062"/>
      <c r="FP85" s="1062"/>
      <c r="FQ85" s="1062"/>
      <c r="FR85" s="1062"/>
      <c r="FS85" s="1062"/>
      <c r="FT85" s="1062"/>
      <c r="FU85" s="1062"/>
      <c r="FV85" s="1062"/>
      <c r="FW85" s="1062"/>
      <c r="FX85" s="1062"/>
      <c r="FY85" s="1062"/>
      <c r="FZ85" s="1062"/>
      <c r="GA85" s="1062"/>
      <c r="GB85" s="1062"/>
      <c r="GC85" s="1062"/>
      <c r="GD85" s="1062"/>
      <c r="GE85" s="1062"/>
      <c r="GF85" s="1062"/>
      <c r="GG85" s="1062"/>
      <c r="GH85" s="1062"/>
      <c r="GI85" s="1062"/>
      <c r="GJ85" s="1062"/>
      <c r="GK85" s="1062"/>
      <c r="GL85" s="1062"/>
      <c r="GM85" s="1062"/>
      <c r="GN85" s="1062"/>
      <c r="GO85" s="1062"/>
      <c r="GP85" s="1062"/>
      <c r="GQ85" s="1062"/>
      <c r="GR85" s="1062"/>
      <c r="GS85" s="1062"/>
      <c r="GT85" s="1062"/>
      <c r="GU85" s="1062"/>
      <c r="GV85" s="1062"/>
      <c r="GW85" s="1062"/>
      <c r="GX85" s="1062"/>
      <c r="GY85" s="1062"/>
      <c r="GZ85" s="1062"/>
      <c r="HA85" s="1062"/>
      <c r="HB85" s="1062"/>
      <c r="HC85" s="1062"/>
      <c r="HD85" s="1062"/>
      <c r="HE85" s="1062"/>
      <c r="HF85" s="1062"/>
      <c r="HG85" s="1062"/>
      <c r="HH85" s="1062"/>
      <c r="HI85" s="1062"/>
      <c r="HJ85" s="1062"/>
      <c r="HK85" s="1062"/>
      <c r="HL85" s="1062"/>
      <c r="HM85" s="1062"/>
      <c r="HN85" s="1062"/>
      <c r="HO85" s="1062"/>
      <c r="HP85" s="1062"/>
      <c r="HQ85" s="1062"/>
      <c r="HR85" s="1062"/>
      <c r="HS85" s="1062"/>
      <c r="HT85" s="1062"/>
      <c r="HU85" s="1062"/>
      <c r="HV85" s="1062"/>
      <c r="HW85" s="1062"/>
      <c r="HX85" s="1077"/>
      <c r="HY85" s="1062"/>
      <c r="HZ85" s="1062"/>
      <c r="IA85" s="1062"/>
      <c r="IB85" s="1062"/>
      <c r="IC85" s="1077"/>
      <c r="ID85" s="1077"/>
      <c r="IE85" s="1062"/>
      <c r="IF85" s="1062"/>
      <c r="IG85" s="1062"/>
      <c r="IH85" s="1062"/>
      <c r="II85" s="1062"/>
      <c r="IJ85" s="1062"/>
      <c r="IK85" s="1085"/>
      <c r="IL85" s="1085"/>
      <c r="IM85" s="1085"/>
      <c r="IN85" s="1085"/>
      <c r="IO85" s="1085"/>
      <c r="IP85" s="1085"/>
      <c r="IQ85" s="1085"/>
      <c r="IR85" s="1085"/>
      <c r="IS85" s="1085"/>
      <c r="IT85" s="1085"/>
      <c r="IU85" s="1085"/>
      <c r="IV85" s="1085"/>
      <c r="IW85" s="1085"/>
      <c r="IX85" s="1085"/>
      <c r="IY85" s="1085"/>
      <c r="IZ85" s="1085"/>
      <c r="JA85" s="1085"/>
      <c r="JB85" s="1085"/>
      <c r="JC85" s="1085"/>
      <c r="JD85" s="1085"/>
      <c r="JE85" s="1085"/>
      <c r="JF85" s="1085"/>
      <c r="JG85" s="1085"/>
      <c r="JH85" s="1085"/>
      <c r="JI85" s="1085"/>
      <c r="JJ85" s="1085"/>
      <c r="JK85" s="1085"/>
      <c r="JL85" s="1085"/>
      <c r="JM85" s="1085"/>
      <c r="JN85" s="1085"/>
      <c r="JO85" s="1085"/>
      <c r="JP85" s="1085"/>
      <c r="JQ85" s="1085"/>
      <c r="JR85" s="1085"/>
      <c r="JS85" s="1085"/>
      <c r="JT85" s="1085"/>
      <c r="JU85" s="1085"/>
      <c r="JV85" s="1085"/>
      <c r="JW85" s="1085"/>
      <c r="JX85" s="1085"/>
      <c r="JY85" s="1085"/>
      <c r="JZ85" s="1085"/>
      <c r="KA85" s="1085"/>
      <c r="KB85" s="1085"/>
      <c r="KC85" s="1085"/>
      <c r="KD85" s="1085"/>
      <c r="KE85" s="1085"/>
      <c r="KF85" s="1085"/>
      <c r="KG85" s="1085"/>
      <c r="KH85" s="1085"/>
      <c r="KI85" s="1085"/>
      <c r="KJ85" s="1085"/>
      <c r="KK85" s="1085"/>
      <c r="KL85" s="1085"/>
      <c r="KM85" s="1085"/>
      <c r="KN85" s="1085"/>
      <c r="KO85" s="1085"/>
      <c r="KP85" s="1085"/>
      <c r="KQ85" s="1085"/>
      <c r="KR85" s="1085"/>
      <c r="KS85" s="1085"/>
      <c r="KT85" s="1085"/>
      <c r="KU85" s="1085"/>
      <c r="KV85" s="1085"/>
      <c r="KW85" s="1085"/>
      <c r="KX85" s="1085"/>
      <c r="KY85" s="1085"/>
      <c r="KZ85" s="1085"/>
      <c r="LA85" s="1085"/>
      <c r="LB85" s="1085"/>
      <c r="LC85" s="1085"/>
      <c r="LD85" s="1085"/>
      <c r="LE85" s="1085"/>
      <c r="LF85" s="1085"/>
      <c r="LG85" s="1085"/>
      <c r="LH85" s="1085"/>
      <c r="LI85" s="1085"/>
      <c r="LJ85" s="1085"/>
      <c r="LK85" s="1085"/>
      <c r="LL85" s="1085"/>
      <c r="LM85" s="1085"/>
      <c r="LN85" s="1085"/>
      <c r="LO85" s="1085"/>
      <c r="LP85" s="1085"/>
      <c r="LQ85" s="1085"/>
      <c r="LR85" s="1085"/>
      <c r="LS85" s="1085"/>
      <c r="LT85" s="1085"/>
      <c r="LU85" s="1085"/>
      <c r="LV85" s="1085"/>
      <c r="LW85" s="1085"/>
      <c r="LX85" s="1085"/>
      <c r="LY85" s="1085"/>
      <c r="LZ85" s="1085"/>
      <c r="MA85" s="1085"/>
      <c r="MB85" s="1085"/>
      <c r="MC85" s="1085"/>
      <c r="MD85" s="1085"/>
      <c r="ME85" s="1085"/>
      <c r="MF85" s="1085"/>
      <c r="MG85" s="1085"/>
      <c r="MH85" s="1085"/>
      <c r="MI85" s="1085"/>
      <c r="MJ85" s="1085"/>
      <c r="MK85" s="1085"/>
      <c r="ML85" s="1085"/>
      <c r="MM85" s="1085"/>
      <c r="MN85" s="1085"/>
      <c r="MO85" s="1085"/>
      <c r="MP85" s="1085"/>
      <c r="MQ85" s="1085"/>
      <c r="MR85" s="1085"/>
      <c r="MS85" s="1085"/>
      <c r="MT85" s="1085"/>
      <c r="MU85" s="1085"/>
      <c r="MV85" s="1085"/>
      <c r="MW85" s="1085"/>
      <c r="MX85" s="1085"/>
      <c r="MY85" s="1085"/>
      <c r="MZ85" s="1085"/>
      <c r="NA85" s="1085"/>
      <c r="NB85" s="1085"/>
      <c r="NC85" s="1085"/>
      <c r="ND85" s="1085"/>
      <c r="NE85" s="1085"/>
    </row>
    <row r="86" customFormat="1" spans="1:369">
      <c r="A86" s="1059" t="s">
        <v>177</v>
      </c>
      <c r="B86" s="1062" t="str">
        <f>IF(OR(A86="说服",A86="话术",A86="取悦",A86="恐吓"),"☯",IF(ISNUMBER(SEARCH(A86,VLOOKUP(IX$2,职业列表!$B$1:$G$370,6,0))),"★",""))</f>
        <v/>
      </c>
      <c r="C86" s="1061" t="str">
        <f>IF(ISTEXT(IFERROR(VLOOKUP(A86,职业列表!I21:J28,1,FALSE),0)),"★","")</f>
        <v/>
      </c>
      <c r="D86" s="1062"/>
      <c r="E86" s="1062"/>
      <c r="F86" s="1062"/>
      <c r="G86" s="1062"/>
      <c r="H86" s="1062"/>
      <c r="I86" s="1062"/>
      <c r="J86" s="1062"/>
      <c r="K86" s="1062"/>
      <c r="L86" s="1062"/>
      <c r="M86" s="1062"/>
      <c r="N86" s="1062"/>
      <c r="O86" s="1062"/>
      <c r="P86" s="1062"/>
      <c r="Q86" s="1062"/>
      <c r="R86" s="1062"/>
      <c r="S86" s="1062"/>
      <c r="T86" s="1062"/>
      <c r="U86" s="1062"/>
      <c r="V86" s="1062"/>
      <c r="W86" s="1062"/>
      <c r="X86" s="1062"/>
      <c r="Y86" s="1062"/>
      <c r="Z86" s="1062"/>
      <c r="AA86" s="1062"/>
      <c r="AB86" s="1062"/>
      <c r="AC86" s="1062"/>
      <c r="AD86" s="1062"/>
      <c r="AE86" s="1062"/>
      <c r="AF86" s="1062"/>
      <c r="AG86" s="1062"/>
      <c r="AH86" s="1062"/>
      <c r="AI86" s="1062"/>
      <c r="AJ86" s="1062"/>
      <c r="AK86" s="1062"/>
      <c r="AL86" s="1062"/>
      <c r="AM86" s="1062"/>
      <c r="AN86" s="1062"/>
      <c r="AO86" s="1062"/>
      <c r="AP86" s="1062"/>
      <c r="AQ86" s="1062"/>
      <c r="AR86" s="1062"/>
      <c r="AS86" s="1062"/>
      <c r="AT86" s="1062"/>
      <c r="AU86" s="1062"/>
      <c r="AV86" s="1062"/>
      <c r="AW86" s="1062"/>
      <c r="AX86" s="1062"/>
      <c r="AY86" s="1062"/>
      <c r="AZ86" s="1062"/>
      <c r="BA86" s="1062"/>
      <c r="BB86" s="1062"/>
      <c r="BC86" s="1062"/>
      <c r="BD86" s="1062"/>
      <c r="BE86" s="1062"/>
      <c r="BF86" s="1062"/>
      <c r="BG86" s="1062"/>
      <c r="BH86" s="1062"/>
      <c r="BI86" s="1062"/>
      <c r="BJ86" s="1062"/>
      <c r="BK86" s="1062"/>
      <c r="BL86" s="1062"/>
      <c r="BM86" s="1062"/>
      <c r="BN86" s="1062"/>
      <c r="BO86" s="1062"/>
      <c r="BP86" s="1062"/>
      <c r="BQ86" s="1062"/>
      <c r="BR86" s="1062"/>
      <c r="BS86" s="1062"/>
      <c r="BT86" s="1062"/>
      <c r="BU86" s="1062"/>
      <c r="BV86" s="1062"/>
      <c r="BW86" s="1062"/>
      <c r="BX86" s="1062"/>
      <c r="BY86" s="1062"/>
      <c r="BZ86" s="1062"/>
      <c r="CA86" s="1062"/>
      <c r="CB86" s="1062"/>
      <c r="CC86" s="1062"/>
      <c r="CD86" s="1062"/>
      <c r="CE86" s="1062"/>
      <c r="CF86" s="1062"/>
      <c r="CG86" s="1062"/>
      <c r="CH86" s="1062"/>
      <c r="CI86" s="1062"/>
      <c r="CJ86" s="1062"/>
      <c r="CK86" s="1062"/>
      <c r="CL86" s="1062"/>
      <c r="CM86" s="1062"/>
      <c r="CN86" s="1062"/>
      <c r="CO86" s="1062"/>
      <c r="CP86" s="1062"/>
      <c r="CQ86" s="1062"/>
      <c r="CR86" s="1062"/>
      <c r="CS86" s="1062"/>
      <c r="CT86" s="1062"/>
      <c r="CU86" s="1062"/>
      <c r="CV86" s="1062"/>
      <c r="CW86" s="1062"/>
      <c r="CX86" s="1062"/>
      <c r="CY86" s="1062"/>
      <c r="CZ86" s="1062"/>
      <c r="DA86" s="1062"/>
      <c r="DB86" s="1062"/>
      <c r="DC86" s="1062"/>
      <c r="DD86" s="1062"/>
      <c r="DE86" s="1062"/>
      <c r="DF86" s="1062"/>
      <c r="DG86" s="1062"/>
      <c r="DH86" s="1062"/>
      <c r="DI86" s="1062"/>
      <c r="DJ86" s="1062"/>
      <c r="DK86" s="1062"/>
      <c r="DL86" s="1062"/>
      <c r="DM86" s="1062"/>
      <c r="DN86" s="1062"/>
      <c r="DO86" s="1062"/>
      <c r="DP86" s="1062"/>
      <c r="DQ86" s="1062"/>
      <c r="DR86" s="1062"/>
      <c r="DS86" s="1062"/>
      <c r="DT86" s="1062"/>
      <c r="DU86" s="1062"/>
      <c r="DV86" s="1062"/>
      <c r="DW86" s="1062"/>
      <c r="DX86" s="1062"/>
      <c r="DY86" s="1062"/>
      <c r="DZ86" s="1062"/>
      <c r="EA86" s="1062"/>
      <c r="EB86" s="1062"/>
      <c r="EC86" s="1062"/>
      <c r="ED86" s="1062"/>
      <c r="EE86" s="1062"/>
      <c r="EF86" s="1062"/>
      <c r="EG86" s="1062"/>
      <c r="EH86" s="1062"/>
      <c r="EI86" s="1062"/>
      <c r="EJ86" s="1062"/>
      <c r="EK86" s="1062"/>
      <c r="EL86" s="1062"/>
      <c r="EM86" s="1062"/>
      <c r="EN86" s="1062"/>
      <c r="EO86" s="1062"/>
      <c r="EP86" s="1062"/>
      <c r="EQ86" s="1062"/>
      <c r="ER86" s="1062"/>
      <c r="ES86" s="1062"/>
      <c r="ET86" s="1062"/>
      <c r="EU86" s="1062"/>
      <c r="EV86" s="1062"/>
      <c r="EW86" s="1062"/>
      <c r="EX86" s="1062"/>
      <c r="EY86" s="1062"/>
      <c r="EZ86" s="1062"/>
      <c r="FA86" s="1062"/>
      <c r="FB86" s="1062"/>
      <c r="FC86" s="1062"/>
      <c r="FD86" s="1062"/>
      <c r="FE86" s="1062"/>
      <c r="FF86" s="1062"/>
      <c r="FG86" s="1062"/>
      <c r="FH86" s="1062"/>
      <c r="FI86" s="1062"/>
      <c r="FJ86" s="1062"/>
      <c r="FK86" s="1062"/>
      <c r="FL86" s="1062"/>
      <c r="FM86" s="1062"/>
      <c r="FN86" s="1062"/>
      <c r="FO86" s="1062"/>
      <c r="FP86" s="1062"/>
      <c r="FQ86" s="1062"/>
      <c r="FR86" s="1062"/>
      <c r="FS86" s="1062"/>
      <c r="FT86" s="1062"/>
      <c r="FU86" s="1062"/>
      <c r="FV86" s="1062"/>
      <c r="FW86" s="1062"/>
      <c r="FX86" s="1062"/>
      <c r="FY86" s="1062"/>
      <c r="FZ86" s="1062"/>
      <c r="GA86" s="1062"/>
      <c r="GB86" s="1062"/>
      <c r="GC86" s="1062"/>
      <c r="GD86" s="1062"/>
      <c r="GE86" s="1062"/>
      <c r="GF86" s="1062"/>
      <c r="GG86" s="1062"/>
      <c r="GH86" s="1062"/>
      <c r="GI86" s="1062"/>
      <c r="GJ86" s="1062"/>
      <c r="GK86" s="1062"/>
      <c r="GL86" s="1062"/>
      <c r="GM86" s="1062"/>
      <c r="GN86" s="1062"/>
      <c r="GO86" s="1062"/>
      <c r="GP86" s="1062"/>
      <c r="GQ86" s="1062"/>
      <c r="GR86" s="1062"/>
      <c r="GS86" s="1062"/>
      <c r="GT86" s="1062"/>
      <c r="GU86" s="1062"/>
      <c r="GV86" s="1062"/>
      <c r="GW86" s="1062"/>
      <c r="GX86" s="1062"/>
      <c r="GY86" s="1062"/>
      <c r="GZ86" s="1062"/>
      <c r="HA86" s="1062"/>
      <c r="HB86" s="1062"/>
      <c r="HC86" s="1062"/>
      <c r="HD86" s="1062"/>
      <c r="HE86" s="1062"/>
      <c r="HF86" s="1062"/>
      <c r="HG86" s="1062"/>
      <c r="HH86" s="1062"/>
      <c r="HI86" s="1062"/>
      <c r="HJ86" s="1062"/>
      <c r="HK86" s="1062"/>
      <c r="HL86" s="1062"/>
      <c r="HM86" s="1062"/>
      <c r="HN86" s="1062"/>
      <c r="HO86" s="1062"/>
      <c r="HP86" s="1062"/>
      <c r="HQ86" s="1062"/>
      <c r="HR86" s="1062"/>
      <c r="HS86" s="1062"/>
      <c r="HT86" s="1062"/>
      <c r="HU86" s="1062"/>
      <c r="HV86" s="1062"/>
      <c r="HW86" s="1062"/>
      <c r="HX86" s="1077"/>
      <c r="HY86" s="1062"/>
      <c r="HZ86" s="1062"/>
      <c r="IA86" s="1062"/>
      <c r="IB86" s="1062"/>
      <c r="IC86" s="1077"/>
      <c r="ID86" s="1077"/>
      <c r="IE86" s="1062"/>
      <c r="IF86" s="1062"/>
      <c r="IG86" s="1062"/>
      <c r="IH86" s="1062"/>
      <c r="II86" s="1062"/>
      <c r="IJ86" s="1062"/>
      <c r="IK86" s="1085"/>
      <c r="IL86" s="1085"/>
      <c r="IM86" s="1085"/>
      <c r="IN86" s="1085"/>
      <c r="IO86" s="1085"/>
      <c r="IP86" s="1085"/>
      <c r="IQ86" s="1085"/>
      <c r="IR86" s="1085"/>
      <c r="IS86" s="1085"/>
      <c r="IT86" s="1085"/>
      <c r="IU86" s="1085"/>
      <c r="IV86" s="1085"/>
      <c r="IW86" s="1085"/>
      <c r="IX86" s="1085"/>
      <c r="IY86" s="1085"/>
      <c r="IZ86" s="1085"/>
      <c r="JA86" s="1085"/>
      <c r="JB86" s="1085"/>
      <c r="JC86" s="1085"/>
      <c r="JD86" s="1085"/>
      <c r="JE86" s="1085"/>
      <c r="JF86" s="1085"/>
      <c r="JG86" s="1085"/>
      <c r="JH86" s="1085"/>
      <c r="JI86" s="1085"/>
      <c r="JJ86" s="1085"/>
      <c r="JK86" s="1085"/>
      <c r="JL86" s="1085"/>
      <c r="JM86" s="1085"/>
      <c r="JN86" s="1085"/>
      <c r="JO86" s="1085"/>
      <c r="JP86" s="1085"/>
      <c r="JQ86" s="1085"/>
      <c r="JR86" s="1085"/>
      <c r="JS86" s="1085"/>
      <c r="JT86" s="1085"/>
      <c r="JU86" s="1085"/>
      <c r="JV86" s="1085"/>
      <c r="JW86" s="1085"/>
      <c r="JX86" s="1085"/>
      <c r="JY86" s="1085"/>
      <c r="JZ86" s="1085"/>
      <c r="KA86" s="1085"/>
      <c r="KB86" s="1085"/>
      <c r="KC86" s="1085"/>
      <c r="KD86" s="1085"/>
      <c r="KE86" s="1085"/>
      <c r="KF86" s="1085"/>
      <c r="KG86" s="1085"/>
      <c r="KH86" s="1085"/>
      <c r="KI86" s="1085"/>
      <c r="KJ86" s="1085"/>
      <c r="KK86" s="1085"/>
      <c r="KL86" s="1085"/>
      <c r="KM86" s="1085"/>
      <c r="KN86" s="1085"/>
      <c r="KO86" s="1085"/>
      <c r="KP86" s="1085"/>
      <c r="KQ86" s="1085"/>
      <c r="KR86" s="1085"/>
      <c r="KS86" s="1085"/>
      <c r="KT86" s="1085"/>
      <c r="KU86" s="1085"/>
      <c r="KV86" s="1085"/>
      <c r="KW86" s="1085"/>
      <c r="KX86" s="1085"/>
      <c r="KY86" s="1085"/>
      <c r="KZ86" s="1085"/>
      <c r="LA86" s="1085"/>
      <c r="LB86" s="1085"/>
      <c r="LC86" s="1085"/>
      <c r="LD86" s="1085"/>
      <c r="LE86" s="1085"/>
      <c r="LF86" s="1085"/>
      <c r="LG86" s="1085"/>
      <c r="LH86" s="1085"/>
      <c r="LI86" s="1085"/>
      <c r="LJ86" s="1085"/>
      <c r="LK86" s="1085"/>
      <c r="LL86" s="1085"/>
      <c r="LM86" s="1085"/>
      <c r="LN86" s="1085"/>
      <c r="LO86" s="1085"/>
      <c r="LP86" s="1085"/>
      <c r="LQ86" s="1085"/>
      <c r="LR86" s="1085"/>
      <c r="LS86" s="1085"/>
      <c r="LT86" s="1085"/>
      <c r="LU86" s="1085"/>
      <c r="LV86" s="1085"/>
      <c r="LW86" s="1085"/>
      <c r="LX86" s="1085"/>
      <c r="LY86" s="1085"/>
      <c r="LZ86" s="1085"/>
      <c r="MA86" s="1085"/>
      <c r="MB86" s="1085"/>
      <c r="MC86" s="1085"/>
      <c r="MD86" s="1085"/>
      <c r="ME86" s="1085"/>
      <c r="MF86" s="1085"/>
      <c r="MG86" s="1085"/>
      <c r="MH86" s="1085"/>
      <c r="MI86" s="1085"/>
      <c r="MJ86" s="1085"/>
      <c r="MK86" s="1085"/>
      <c r="ML86" s="1085"/>
      <c r="MM86" s="1085"/>
      <c r="MN86" s="1085"/>
      <c r="MO86" s="1085"/>
      <c r="MP86" s="1085"/>
      <c r="MQ86" s="1085"/>
      <c r="MR86" s="1085"/>
      <c r="MS86" s="1085"/>
      <c r="MT86" s="1085"/>
      <c r="MU86" s="1085"/>
      <c r="MV86" s="1085"/>
      <c r="MW86" s="1085"/>
      <c r="MX86" s="1085"/>
      <c r="MY86" s="1085"/>
      <c r="MZ86" s="1085"/>
      <c r="NA86" s="1085"/>
      <c r="NB86" s="1085"/>
      <c r="NC86" s="1085"/>
      <c r="ND86" s="1085"/>
      <c r="NE86" s="1085"/>
    </row>
    <row r="87" customFormat="1" spans="1:369">
      <c r="A87" s="1059" t="s">
        <v>179</v>
      </c>
      <c r="B87" s="1062" t="str">
        <f>IF(OR(A87="说服",A87="话术",A87="取悦",A87="恐吓"),"☯",IF(ISNUMBER(SEARCH(A87,VLOOKUP(IX$2,职业列表!$B$1:$G$370,6,0))),"★",""))</f>
        <v/>
      </c>
      <c r="C87" s="1061" t="str">
        <f>IF(ISTEXT(IFERROR(VLOOKUP(A87,职业列表!I21:J28,1,FALSE),0)),"★","")</f>
        <v/>
      </c>
      <c r="D87" s="1062"/>
      <c r="E87" s="1062"/>
      <c r="F87" s="1062"/>
      <c r="G87" s="1062"/>
      <c r="H87" s="1062"/>
      <c r="I87" s="1062"/>
      <c r="J87" s="1062"/>
      <c r="K87" s="1062"/>
      <c r="L87" s="1062"/>
      <c r="M87" s="1062"/>
      <c r="N87" s="1062"/>
      <c r="O87" s="1062"/>
      <c r="P87" s="1062"/>
      <c r="Q87" s="1062"/>
      <c r="R87" s="1062"/>
      <c r="S87" s="1062"/>
      <c r="T87" s="1062"/>
      <c r="U87" s="1062"/>
      <c r="V87" s="1062"/>
      <c r="W87" s="1062"/>
      <c r="X87" s="1062"/>
      <c r="Y87" s="1062"/>
      <c r="Z87" s="1062"/>
      <c r="AA87" s="1062"/>
      <c r="AB87" s="1062"/>
      <c r="AC87" s="1062"/>
      <c r="AD87" s="1062"/>
      <c r="AE87" s="1062"/>
      <c r="AF87" s="1062"/>
      <c r="AG87" s="1062"/>
      <c r="AH87" s="1062"/>
      <c r="AI87" s="1062"/>
      <c r="AJ87" s="1062"/>
      <c r="AK87" s="1062"/>
      <c r="AL87" s="1062"/>
      <c r="AM87" s="1062"/>
      <c r="AN87" s="1062"/>
      <c r="AO87" s="1062"/>
      <c r="AP87" s="1062"/>
      <c r="AQ87" s="1062"/>
      <c r="AR87" s="1062"/>
      <c r="AS87" s="1062"/>
      <c r="AT87" s="1062"/>
      <c r="AU87" s="1062"/>
      <c r="AV87" s="1062"/>
      <c r="AW87" s="1062"/>
      <c r="AX87" s="1062"/>
      <c r="AY87" s="1062"/>
      <c r="AZ87" s="1062"/>
      <c r="BA87" s="1062"/>
      <c r="BB87" s="1062"/>
      <c r="BC87" s="1062"/>
      <c r="BD87" s="1062"/>
      <c r="BE87" s="1062"/>
      <c r="BF87" s="1062"/>
      <c r="BG87" s="1062"/>
      <c r="BH87" s="1062"/>
      <c r="BI87" s="1062"/>
      <c r="BJ87" s="1062"/>
      <c r="BK87" s="1062"/>
      <c r="BL87" s="1062"/>
      <c r="BM87" s="1062"/>
      <c r="BN87" s="1062"/>
      <c r="BO87" s="1062"/>
      <c r="BP87" s="1062"/>
      <c r="BQ87" s="1062"/>
      <c r="BR87" s="1062"/>
      <c r="BS87" s="1062"/>
      <c r="BT87" s="1062"/>
      <c r="BU87" s="1062"/>
      <c r="BV87" s="1062"/>
      <c r="BW87" s="1062"/>
      <c r="BX87" s="1062"/>
      <c r="BY87" s="1062"/>
      <c r="BZ87" s="1062"/>
      <c r="CA87" s="1062"/>
      <c r="CB87" s="1062"/>
      <c r="CC87" s="1062"/>
      <c r="CD87" s="1062"/>
      <c r="CE87" s="1062"/>
      <c r="CF87" s="1062"/>
      <c r="CG87" s="1062"/>
      <c r="CH87" s="1062"/>
      <c r="CI87" s="1062"/>
      <c r="CJ87" s="1062"/>
      <c r="CK87" s="1062"/>
      <c r="CL87" s="1062"/>
      <c r="CM87" s="1062"/>
      <c r="CN87" s="1062"/>
      <c r="CO87" s="1062"/>
      <c r="CP87" s="1062"/>
      <c r="CQ87" s="1062"/>
      <c r="CR87" s="1062"/>
      <c r="CS87" s="1062"/>
      <c r="CT87" s="1062"/>
      <c r="CU87" s="1062"/>
      <c r="CV87" s="1062"/>
      <c r="CW87" s="1062"/>
      <c r="CX87" s="1062"/>
      <c r="CY87" s="1062"/>
      <c r="CZ87" s="1062"/>
      <c r="DA87" s="1062"/>
      <c r="DB87" s="1062"/>
      <c r="DC87" s="1062"/>
      <c r="DD87" s="1062"/>
      <c r="DE87" s="1062"/>
      <c r="DF87" s="1062"/>
      <c r="DG87" s="1062"/>
      <c r="DH87" s="1062"/>
      <c r="DI87" s="1062"/>
      <c r="DJ87" s="1062"/>
      <c r="DK87" s="1062"/>
      <c r="DL87" s="1062"/>
      <c r="DM87" s="1062"/>
      <c r="DN87" s="1062"/>
      <c r="DO87" s="1062"/>
      <c r="DP87" s="1062"/>
      <c r="DQ87" s="1062"/>
      <c r="DR87" s="1062"/>
      <c r="DS87" s="1062"/>
      <c r="DT87" s="1062"/>
      <c r="DU87" s="1062"/>
      <c r="DV87" s="1062"/>
      <c r="DW87" s="1062"/>
      <c r="DX87" s="1062"/>
      <c r="DY87" s="1062"/>
      <c r="DZ87" s="1062"/>
      <c r="EA87" s="1062"/>
      <c r="EB87" s="1062"/>
      <c r="EC87" s="1062"/>
      <c r="ED87" s="1062"/>
      <c r="EE87" s="1062"/>
      <c r="EF87" s="1062"/>
      <c r="EG87" s="1062"/>
      <c r="EH87" s="1062"/>
      <c r="EI87" s="1062"/>
      <c r="EJ87" s="1062"/>
      <c r="EK87" s="1062"/>
      <c r="EL87" s="1062"/>
      <c r="EM87" s="1062"/>
      <c r="EN87" s="1062"/>
      <c r="EO87" s="1062"/>
      <c r="EP87" s="1062"/>
      <c r="EQ87" s="1062"/>
      <c r="ER87" s="1062"/>
      <c r="ES87" s="1062"/>
      <c r="ET87" s="1062"/>
      <c r="EU87" s="1062"/>
      <c r="EV87" s="1062"/>
      <c r="EW87" s="1062"/>
      <c r="EX87" s="1062"/>
      <c r="EY87" s="1062"/>
      <c r="EZ87" s="1062"/>
      <c r="FA87" s="1062"/>
      <c r="FB87" s="1062"/>
      <c r="FC87" s="1062"/>
      <c r="FD87" s="1062"/>
      <c r="FE87" s="1062"/>
      <c r="FF87" s="1062"/>
      <c r="FG87" s="1062"/>
      <c r="FH87" s="1062"/>
      <c r="FI87" s="1062"/>
      <c r="FJ87" s="1062"/>
      <c r="FK87" s="1062"/>
      <c r="FL87" s="1062"/>
      <c r="FM87" s="1062"/>
      <c r="FN87" s="1062"/>
      <c r="FO87" s="1062"/>
      <c r="FP87" s="1062"/>
      <c r="FQ87" s="1062"/>
      <c r="FR87" s="1062"/>
      <c r="FS87" s="1062"/>
      <c r="FT87" s="1062"/>
      <c r="FU87" s="1062"/>
      <c r="FV87" s="1062"/>
      <c r="FW87" s="1062"/>
      <c r="FX87" s="1062"/>
      <c r="FY87" s="1062"/>
      <c r="FZ87" s="1062"/>
      <c r="GA87" s="1062"/>
      <c r="GB87" s="1062"/>
      <c r="GC87" s="1062"/>
      <c r="GD87" s="1062"/>
      <c r="GE87" s="1062"/>
      <c r="GF87" s="1062"/>
      <c r="GG87" s="1062"/>
      <c r="GH87" s="1062"/>
      <c r="GI87" s="1062"/>
      <c r="GJ87" s="1062"/>
      <c r="GK87" s="1062"/>
      <c r="GL87" s="1062"/>
      <c r="GM87" s="1062"/>
      <c r="GN87" s="1062"/>
      <c r="GO87" s="1062"/>
      <c r="GP87" s="1062"/>
      <c r="GQ87" s="1062"/>
      <c r="GR87" s="1062"/>
      <c r="GS87" s="1062"/>
      <c r="GT87" s="1062"/>
      <c r="GU87" s="1062"/>
      <c r="GV87" s="1062"/>
      <c r="GW87" s="1062"/>
      <c r="GX87" s="1062"/>
      <c r="GY87" s="1062"/>
      <c r="GZ87" s="1062"/>
      <c r="HA87" s="1062"/>
      <c r="HB87" s="1062"/>
      <c r="HC87" s="1062"/>
      <c r="HD87" s="1062"/>
      <c r="HE87" s="1062"/>
      <c r="HF87" s="1062"/>
      <c r="HG87" s="1062"/>
      <c r="HH87" s="1062"/>
      <c r="HI87" s="1062"/>
      <c r="HJ87" s="1062"/>
      <c r="HK87" s="1062"/>
      <c r="HL87" s="1062"/>
      <c r="HM87" s="1062"/>
      <c r="HN87" s="1062"/>
      <c r="HO87" s="1062"/>
      <c r="HP87" s="1062"/>
      <c r="HQ87" s="1062"/>
      <c r="HR87" s="1062"/>
      <c r="HS87" s="1062"/>
      <c r="HT87" s="1062"/>
      <c r="HU87" s="1062"/>
      <c r="HV87" s="1062"/>
      <c r="HW87" s="1062"/>
      <c r="HX87" s="1077"/>
      <c r="HY87" s="1062"/>
      <c r="HZ87" s="1062"/>
      <c r="IA87" s="1062"/>
      <c r="IB87" s="1062"/>
      <c r="IC87" s="1077"/>
      <c r="ID87" s="1077"/>
      <c r="IE87" s="1062"/>
      <c r="IF87" s="1062"/>
      <c r="IG87" s="1062"/>
      <c r="IH87" s="1062"/>
      <c r="II87" s="1062"/>
      <c r="IJ87" s="1062"/>
      <c r="IK87" s="1085"/>
      <c r="IL87" s="1085"/>
      <c r="IM87" s="1085"/>
      <c r="IN87" s="1085"/>
      <c r="IO87" s="1085"/>
      <c r="IP87" s="1085"/>
      <c r="IQ87" s="1085"/>
      <c r="IR87" s="1085"/>
      <c r="IS87" s="1085"/>
      <c r="IT87" s="1085"/>
      <c r="IU87" s="1085"/>
      <c r="IV87" s="1085"/>
      <c r="IW87" s="1085"/>
      <c r="IX87" s="1085"/>
      <c r="IY87" s="1085"/>
      <c r="IZ87" s="1085"/>
      <c r="JA87" s="1085"/>
      <c r="JB87" s="1085"/>
      <c r="JC87" s="1085"/>
      <c r="JD87" s="1085"/>
      <c r="JE87" s="1085"/>
      <c r="JF87" s="1085"/>
      <c r="JG87" s="1085"/>
      <c r="JH87" s="1085"/>
      <c r="JI87" s="1085"/>
      <c r="JJ87" s="1085"/>
      <c r="JK87" s="1085"/>
      <c r="JL87" s="1085"/>
      <c r="JM87" s="1085"/>
      <c r="JN87" s="1085"/>
      <c r="JO87" s="1085"/>
      <c r="JP87" s="1085"/>
      <c r="JQ87" s="1085"/>
      <c r="JR87" s="1085"/>
      <c r="JS87" s="1085"/>
      <c r="JT87" s="1085"/>
      <c r="JU87" s="1085"/>
      <c r="JV87" s="1085"/>
      <c r="JW87" s="1085"/>
      <c r="JX87" s="1085"/>
      <c r="JY87" s="1085"/>
      <c r="JZ87" s="1085"/>
      <c r="KA87" s="1085"/>
      <c r="KB87" s="1085"/>
      <c r="KC87" s="1085"/>
      <c r="KD87" s="1085"/>
      <c r="KE87" s="1085"/>
      <c r="KF87" s="1085"/>
      <c r="KG87" s="1085"/>
      <c r="KH87" s="1085"/>
      <c r="KI87" s="1085"/>
      <c r="KJ87" s="1085"/>
      <c r="KK87" s="1085"/>
      <c r="KL87" s="1085"/>
      <c r="KM87" s="1085"/>
      <c r="KN87" s="1085"/>
      <c r="KO87" s="1085"/>
      <c r="KP87" s="1085"/>
      <c r="KQ87" s="1085"/>
      <c r="KR87" s="1085"/>
      <c r="KS87" s="1085"/>
      <c r="KT87" s="1085"/>
      <c r="KU87" s="1085"/>
      <c r="KV87" s="1085"/>
      <c r="KW87" s="1085"/>
      <c r="KX87" s="1085"/>
      <c r="KY87" s="1085"/>
      <c r="KZ87" s="1085"/>
      <c r="LA87" s="1085"/>
      <c r="LB87" s="1085"/>
      <c r="LC87" s="1085"/>
      <c r="LD87" s="1085"/>
      <c r="LE87" s="1085"/>
      <c r="LF87" s="1085"/>
      <c r="LG87" s="1085"/>
      <c r="LH87" s="1085"/>
      <c r="LI87" s="1085"/>
      <c r="LJ87" s="1085"/>
      <c r="LK87" s="1085"/>
      <c r="LL87" s="1085"/>
      <c r="LM87" s="1085"/>
      <c r="LN87" s="1085"/>
      <c r="LO87" s="1085"/>
      <c r="LP87" s="1085"/>
      <c r="LQ87" s="1085"/>
      <c r="LR87" s="1085"/>
      <c r="LS87" s="1085"/>
      <c r="LT87" s="1085"/>
      <c r="LU87" s="1085"/>
      <c r="LV87" s="1085"/>
      <c r="LW87" s="1085"/>
      <c r="LX87" s="1085"/>
      <c r="LY87" s="1085"/>
      <c r="LZ87" s="1085"/>
      <c r="MA87" s="1085"/>
      <c r="MB87" s="1085"/>
      <c r="MC87" s="1085"/>
      <c r="MD87" s="1085"/>
      <c r="ME87" s="1085"/>
      <c r="MF87" s="1085"/>
      <c r="MG87" s="1085"/>
      <c r="MH87" s="1085"/>
      <c r="MI87" s="1085"/>
      <c r="MJ87" s="1085"/>
      <c r="MK87" s="1085"/>
      <c r="ML87" s="1085"/>
      <c r="MM87" s="1085"/>
      <c r="MN87" s="1085"/>
      <c r="MO87" s="1085"/>
      <c r="MP87" s="1085"/>
      <c r="MQ87" s="1085"/>
      <c r="MR87" s="1085"/>
      <c r="MS87" s="1085"/>
      <c r="MT87" s="1085"/>
      <c r="MU87" s="1085"/>
      <c r="MV87" s="1085"/>
      <c r="MW87" s="1085"/>
      <c r="MX87" s="1085"/>
      <c r="MY87" s="1085"/>
      <c r="MZ87" s="1085"/>
      <c r="NA87" s="1085"/>
      <c r="NB87" s="1085"/>
      <c r="NC87" s="1085"/>
      <c r="ND87" s="1085"/>
      <c r="NE87" s="1085"/>
    </row>
    <row r="88" customFormat="1" ht="14.5" spans="1:369">
      <c r="A88" s="941" t="s">
        <v>2760</v>
      </c>
      <c r="B88" s="1049" t="str">
        <f>IF(OR(A88="说服",A88="话术",A88="取悦",A88="恐吓"),"☯",IF(ISNUMBER(SEARCH(A88,VLOOKUP(IX$2,职业列表!$B$1:$G$370,6,0))),"★",""))</f>
        <v/>
      </c>
      <c r="C88" s="1063" t="str">
        <f>IF(ISTEXT(IFERROR(VLOOKUP(A88,职业列表!I21:J28,1,FALSE),0)),"★","")</f>
        <v/>
      </c>
      <c r="D88" s="1049"/>
      <c r="E88" s="1049"/>
      <c r="F88" s="1049"/>
      <c r="G88" s="1049"/>
      <c r="H88" s="1049"/>
      <c r="I88" s="1049"/>
      <c r="J88" s="1049"/>
      <c r="K88" s="1049"/>
      <c r="L88" s="1049"/>
      <c r="M88" s="1049"/>
      <c r="N88" s="1049"/>
      <c r="O88" s="1049"/>
      <c r="P88" s="1049"/>
      <c r="Q88" s="1049"/>
      <c r="R88" s="1049"/>
      <c r="S88" s="1049"/>
      <c r="T88" s="1049"/>
      <c r="U88" s="1049"/>
      <c r="V88" s="1049"/>
      <c r="W88" s="1049"/>
      <c r="X88" s="1049"/>
      <c r="Y88" s="1049"/>
      <c r="Z88" s="1049"/>
      <c r="AA88" s="1049"/>
      <c r="AB88" s="1049"/>
      <c r="AC88" s="1049"/>
      <c r="AD88" s="1049"/>
      <c r="AE88" s="1049"/>
      <c r="AF88" s="1049"/>
      <c r="AG88" s="1049"/>
      <c r="AH88" s="1049"/>
      <c r="AI88" s="1049"/>
      <c r="AJ88" s="1049"/>
      <c r="AK88" s="1049"/>
      <c r="AL88" s="1049"/>
      <c r="AM88" s="1049"/>
      <c r="AN88" s="1049"/>
      <c r="AO88" s="1049"/>
      <c r="AP88" s="1049"/>
      <c r="AQ88" s="1049"/>
      <c r="AR88" s="1049"/>
      <c r="AS88" s="1049"/>
      <c r="AT88" s="1049"/>
      <c r="AU88" s="1049"/>
      <c r="AV88" s="1049"/>
      <c r="AW88" s="1049"/>
      <c r="AX88" s="1049"/>
      <c r="AY88" s="1049"/>
      <c r="AZ88" s="1049"/>
      <c r="BA88" s="1049"/>
      <c r="BB88" s="1049"/>
      <c r="BC88" s="1049"/>
      <c r="BD88" s="1049"/>
      <c r="BE88" s="1049"/>
      <c r="BF88" s="1049"/>
      <c r="BG88" s="1049"/>
      <c r="BH88" s="1049"/>
      <c r="BI88" s="1049"/>
      <c r="BJ88" s="1049"/>
      <c r="BK88" s="1049"/>
      <c r="BL88" s="1049"/>
      <c r="BM88" s="1049"/>
      <c r="BN88" s="1049"/>
      <c r="BO88" s="1049"/>
      <c r="BP88" s="1049"/>
      <c r="BQ88" s="1049"/>
      <c r="BR88" s="1049"/>
      <c r="BS88" s="1049"/>
      <c r="BT88" s="1049"/>
      <c r="BU88" s="1049"/>
      <c r="BV88" s="1049"/>
      <c r="BW88" s="1049"/>
      <c r="BX88" s="1049"/>
      <c r="BY88" s="1049"/>
      <c r="BZ88" s="1049"/>
      <c r="CA88" s="1049"/>
      <c r="CB88" s="1049"/>
      <c r="CC88" s="1049"/>
      <c r="CD88" s="1049"/>
      <c r="CE88" s="1049"/>
      <c r="CF88" s="1049"/>
      <c r="CG88" s="1049"/>
      <c r="CH88" s="1049"/>
      <c r="CI88" s="1049"/>
      <c r="CJ88" s="1049"/>
      <c r="CK88" s="1049"/>
      <c r="CL88" s="1049"/>
      <c r="CM88" s="1049"/>
      <c r="CN88" s="1049"/>
      <c r="CO88" s="1049"/>
      <c r="CP88" s="1049"/>
      <c r="CQ88" s="1049"/>
      <c r="CR88" s="1049"/>
      <c r="CS88" s="1049"/>
      <c r="CT88" s="1049"/>
      <c r="CU88" s="1049"/>
      <c r="CV88" s="1049"/>
      <c r="CW88" s="1049"/>
      <c r="CX88" s="1049"/>
      <c r="CY88" s="1049"/>
      <c r="CZ88" s="1049"/>
      <c r="DA88" s="1049"/>
      <c r="DB88" s="1049"/>
      <c r="DC88" s="1049"/>
      <c r="DD88" s="1049"/>
      <c r="DE88" s="1049"/>
      <c r="DF88" s="1049"/>
      <c r="DG88" s="1049"/>
      <c r="DH88" s="1049"/>
      <c r="DI88" s="1049"/>
      <c r="DJ88" s="1049"/>
      <c r="DK88" s="1049"/>
      <c r="DL88" s="1049"/>
      <c r="DM88" s="1049"/>
      <c r="DN88" s="1049"/>
      <c r="DO88" s="1049"/>
      <c r="DP88" s="1049"/>
      <c r="DQ88" s="1049"/>
      <c r="DR88" s="1049"/>
      <c r="DS88" s="1049"/>
      <c r="DT88" s="1049"/>
      <c r="DU88" s="1049"/>
      <c r="DV88" s="1049"/>
      <c r="DW88" s="1049"/>
      <c r="DX88" s="1049"/>
      <c r="DY88" s="1049"/>
      <c r="DZ88" s="1049"/>
      <c r="EA88" s="1049"/>
      <c r="EB88" s="1049"/>
      <c r="EC88" s="1049"/>
      <c r="ED88" s="1049"/>
      <c r="EE88" s="1049"/>
      <c r="EF88" s="1049"/>
      <c r="EG88" s="1049"/>
      <c r="EH88" s="1049"/>
      <c r="EI88" s="1049"/>
      <c r="EJ88" s="1049"/>
      <c r="EK88" s="1049"/>
      <c r="EL88" s="1049"/>
      <c r="EM88" s="1049"/>
      <c r="EN88" s="1049"/>
      <c r="EO88" s="1049"/>
      <c r="EP88" s="1049"/>
      <c r="EQ88" s="1049"/>
      <c r="ER88" s="1049"/>
      <c r="ES88" s="1049"/>
      <c r="ET88" s="1049"/>
      <c r="EU88" s="1049"/>
      <c r="EV88" s="1049"/>
      <c r="EW88" s="1049"/>
      <c r="EX88" s="1049"/>
      <c r="EY88" s="1049"/>
      <c r="EZ88" s="1049"/>
      <c r="FA88" s="1049"/>
      <c r="FB88" s="1049"/>
      <c r="FC88" s="1049"/>
      <c r="FD88" s="1049"/>
      <c r="FE88" s="1049"/>
      <c r="FF88" s="1049"/>
      <c r="FG88" s="1049"/>
      <c r="FH88" s="1049"/>
      <c r="FI88" s="1049"/>
      <c r="FJ88" s="1049"/>
      <c r="FK88" s="1049"/>
      <c r="FL88" s="1049"/>
      <c r="FM88" s="1049"/>
      <c r="FN88" s="1049"/>
      <c r="FO88" s="1049"/>
      <c r="FP88" s="1049"/>
      <c r="FQ88" s="1049"/>
      <c r="FR88" s="1049"/>
      <c r="FS88" s="1049"/>
      <c r="FT88" s="1049"/>
      <c r="FU88" s="1049"/>
      <c r="FV88" s="1049"/>
      <c r="FW88" s="1049"/>
      <c r="FX88" s="1049"/>
      <c r="FY88" s="1049"/>
      <c r="FZ88" s="1049"/>
      <c r="GA88" s="1049"/>
      <c r="GB88" s="1049"/>
      <c r="GC88" s="1049"/>
      <c r="GD88" s="1049"/>
      <c r="GE88" s="1049"/>
      <c r="GF88" s="1049"/>
      <c r="GG88" s="1049"/>
      <c r="GH88" s="1049"/>
      <c r="GI88" s="1049"/>
      <c r="GJ88" s="1049"/>
      <c r="GK88" s="1049"/>
      <c r="GL88" s="1049"/>
      <c r="GM88" s="1049"/>
      <c r="GN88" s="1049"/>
      <c r="GO88" s="1049"/>
      <c r="GP88" s="1049"/>
      <c r="GQ88" s="1049"/>
      <c r="GR88" s="1049"/>
      <c r="GS88" s="1049"/>
      <c r="GT88" s="1049"/>
      <c r="GU88" s="1049"/>
      <c r="GV88" s="1049"/>
      <c r="GW88" s="1049"/>
      <c r="GX88" s="1049"/>
      <c r="GY88" s="1049"/>
      <c r="GZ88" s="1049"/>
      <c r="HA88" s="1049"/>
      <c r="HB88" s="1049"/>
      <c r="HC88" s="1049"/>
      <c r="HD88" s="1049"/>
      <c r="HE88" s="1049"/>
      <c r="HF88" s="1049"/>
      <c r="HG88" s="1049"/>
      <c r="HH88" s="1049"/>
      <c r="HI88" s="1049"/>
      <c r="HJ88" s="1049"/>
      <c r="HK88" s="1049"/>
      <c r="HL88" s="1049"/>
      <c r="HM88" s="1049"/>
      <c r="HN88" s="1049"/>
      <c r="HO88" s="1049"/>
      <c r="HP88" s="1049"/>
      <c r="HQ88" s="1049"/>
      <c r="HR88" s="1049"/>
      <c r="HS88" s="1049"/>
      <c r="HT88" s="1049"/>
      <c r="HU88" s="1049"/>
      <c r="HV88" s="1049"/>
      <c r="HW88" s="1049"/>
      <c r="HX88" s="1078"/>
      <c r="HY88" s="1049"/>
      <c r="HZ88" s="1049"/>
      <c r="IA88" s="1049"/>
      <c r="IB88" s="1049"/>
      <c r="IC88" s="1078"/>
      <c r="ID88" s="1078"/>
      <c r="IE88" s="1049"/>
      <c r="IF88" s="1049"/>
      <c r="IG88" s="1049"/>
      <c r="IH88" s="1049"/>
      <c r="II88" s="1049"/>
      <c r="IJ88" s="1049"/>
      <c r="IK88" s="1086"/>
      <c r="IL88" s="1086"/>
      <c r="IM88" s="1086"/>
      <c r="IN88" s="1086"/>
      <c r="IO88" s="1086"/>
      <c r="IP88" s="1086"/>
      <c r="IQ88" s="1086"/>
      <c r="IR88" s="1086"/>
      <c r="IS88" s="1086"/>
      <c r="IT88" s="1086"/>
      <c r="IU88" s="1086"/>
      <c r="IV88" s="1086"/>
      <c r="IW88" s="1086"/>
      <c r="IX88" s="1086"/>
      <c r="IY88" s="1086"/>
      <c r="IZ88" s="1086"/>
      <c r="JA88" s="1086"/>
      <c r="JB88" s="1086"/>
      <c r="JC88" s="1086"/>
      <c r="JD88" s="1086"/>
      <c r="JE88" s="1086"/>
      <c r="JF88" s="1086"/>
      <c r="JG88" s="1086"/>
      <c r="JH88" s="1086"/>
      <c r="JI88" s="1086"/>
      <c r="JJ88" s="1086"/>
      <c r="JK88" s="1086"/>
      <c r="JL88" s="1086"/>
      <c r="JM88" s="1086"/>
      <c r="JN88" s="1086"/>
      <c r="JO88" s="1086"/>
      <c r="JP88" s="1086"/>
      <c r="JQ88" s="1086"/>
      <c r="JR88" s="1086"/>
      <c r="JS88" s="1086"/>
      <c r="JT88" s="1086"/>
      <c r="JU88" s="1086"/>
      <c r="JV88" s="1086"/>
      <c r="JW88" s="1086"/>
      <c r="JX88" s="1086"/>
      <c r="JY88" s="1086"/>
      <c r="JZ88" s="1086"/>
      <c r="KA88" s="1086"/>
      <c r="KB88" s="1086"/>
      <c r="KC88" s="1086"/>
      <c r="KD88" s="1086"/>
      <c r="KE88" s="1086"/>
      <c r="KF88" s="1086"/>
      <c r="KG88" s="1086"/>
      <c r="KH88" s="1086"/>
      <c r="KI88" s="1086"/>
      <c r="KJ88" s="1086"/>
      <c r="KK88" s="1086"/>
      <c r="KL88" s="1086"/>
      <c r="KM88" s="1086"/>
      <c r="KN88" s="1086"/>
      <c r="KO88" s="1086"/>
      <c r="KP88" s="1086"/>
      <c r="KQ88" s="1086"/>
      <c r="KR88" s="1086"/>
      <c r="KS88" s="1086"/>
      <c r="KT88" s="1086"/>
      <c r="KU88" s="1086"/>
      <c r="KV88" s="1086"/>
      <c r="KW88" s="1086"/>
      <c r="KX88" s="1086"/>
      <c r="KY88" s="1086"/>
      <c r="KZ88" s="1086"/>
      <c r="LA88" s="1086"/>
      <c r="LB88" s="1086"/>
      <c r="LC88" s="1086"/>
      <c r="LD88" s="1086"/>
      <c r="LE88" s="1086"/>
      <c r="LF88" s="1086"/>
      <c r="LG88" s="1086"/>
      <c r="LH88" s="1086"/>
      <c r="LI88" s="1086"/>
      <c r="LJ88" s="1086"/>
      <c r="LK88" s="1086"/>
      <c r="LL88" s="1086"/>
      <c r="LM88" s="1086"/>
      <c r="LN88" s="1086"/>
      <c r="LO88" s="1086"/>
      <c r="LP88" s="1086"/>
      <c r="LQ88" s="1086"/>
      <c r="LR88" s="1086"/>
      <c r="LS88" s="1086"/>
      <c r="LT88" s="1086"/>
      <c r="LU88" s="1086"/>
      <c r="LV88" s="1086"/>
      <c r="LW88" s="1086"/>
      <c r="LX88" s="1086"/>
      <c r="LY88" s="1086"/>
      <c r="LZ88" s="1086"/>
      <c r="MA88" s="1086"/>
      <c r="MB88" s="1086"/>
      <c r="MC88" s="1086"/>
      <c r="MD88" s="1086"/>
      <c r="ME88" s="1086"/>
      <c r="MF88" s="1086"/>
      <c r="MG88" s="1086"/>
      <c r="MH88" s="1086"/>
      <c r="MI88" s="1086"/>
      <c r="MJ88" s="1086"/>
      <c r="MK88" s="1086"/>
      <c r="ML88" s="1086"/>
      <c r="MM88" s="1086"/>
      <c r="MN88" s="1086"/>
      <c r="MO88" s="1086"/>
      <c r="MP88" s="1086"/>
      <c r="MQ88" s="1086"/>
      <c r="MR88" s="1086"/>
      <c r="MS88" s="1086"/>
      <c r="MT88" s="1086"/>
      <c r="MU88" s="1086"/>
      <c r="MV88" s="1086"/>
      <c r="MW88" s="1086"/>
      <c r="MX88" s="1086"/>
      <c r="MY88" s="1086"/>
      <c r="MZ88" s="1086"/>
      <c r="NA88" s="1086"/>
      <c r="NB88" s="1086"/>
      <c r="NC88" s="1086"/>
      <c r="ND88" s="1086"/>
      <c r="NE88" s="1086"/>
    </row>
    <row r="89" customFormat="1" ht="14.5" spans="1:369">
      <c r="A89" s="941" t="s">
        <v>2761</v>
      </c>
      <c r="B89" s="1049" t="str">
        <f>IF(OR(A89="说服",A89="话术",A89="取悦",A89="恐吓"),"☯",IF(ISNUMBER(SEARCH(A89,VLOOKUP(IX$2,职业列表!$B$1:$G$370,6,0))),"★",""))</f>
        <v/>
      </c>
      <c r="C89" s="1063" t="str">
        <f>IF(ISTEXT(IFERROR(VLOOKUP(A89,职业列表!I21:J28,1,FALSE),0)),"★","")</f>
        <v/>
      </c>
      <c r="D89" s="1049"/>
      <c r="E89" s="1049"/>
      <c r="F89" s="1049"/>
      <c r="G89" s="1049"/>
      <c r="H89" s="1049"/>
      <c r="I89" s="1049"/>
      <c r="J89" s="1049"/>
      <c r="K89" s="1049"/>
      <c r="L89" s="1049"/>
      <c r="M89" s="1049"/>
      <c r="N89" s="1049"/>
      <c r="O89" s="1049"/>
      <c r="P89" s="1049"/>
      <c r="Q89" s="1049"/>
      <c r="R89" s="1049"/>
      <c r="S89" s="1049"/>
      <c r="T89" s="1049"/>
      <c r="U89" s="1049"/>
      <c r="V89" s="1049"/>
      <c r="W89" s="1049"/>
      <c r="X89" s="1049"/>
      <c r="Y89" s="1049"/>
      <c r="Z89" s="1049"/>
      <c r="AA89" s="1049"/>
      <c r="AB89" s="1049"/>
      <c r="AC89" s="1049"/>
      <c r="AD89" s="1049"/>
      <c r="AE89" s="1049"/>
      <c r="AF89" s="1049"/>
      <c r="AG89" s="1049"/>
      <c r="AH89" s="1049"/>
      <c r="AI89" s="1049"/>
      <c r="AJ89" s="1049"/>
      <c r="AK89" s="1049"/>
      <c r="AL89" s="1049"/>
      <c r="AM89" s="1049"/>
      <c r="AN89" s="1049"/>
      <c r="AO89" s="1049"/>
      <c r="AP89" s="1049"/>
      <c r="AQ89" s="1049"/>
      <c r="AR89" s="1049"/>
      <c r="AS89" s="1049"/>
      <c r="AT89" s="1049"/>
      <c r="AU89" s="1049"/>
      <c r="AV89" s="1049"/>
      <c r="AW89" s="1049"/>
      <c r="AX89" s="1049"/>
      <c r="AY89" s="1049"/>
      <c r="AZ89" s="1049"/>
      <c r="BA89" s="1049"/>
      <c r="BB89" s="1049"/>
      <c r="BC89" s="1049"/>
      <c r="BD89" s="1049"/>
      <c r="BE89" s="1049"/>
      <c r="BF89" s="1049"/>
      <c r="BG89" s="1049"/>
      <c r="BH89" s="1049"/>
      <c r="BI89" s="1049"/>
      <c r="BJ89" s="1049"/>
      <c r="BK89" s="1049"/>
      <c r="BL89" s="1049"/>
      <c r="BM89" s="1049"/>
      <c r="BN89" s="1049"/>
      <c r="BO89" s="1049"/>
      <c r="BP89" s="1049"/>
      <c r="BQ89" s="1049"/>
      <c r="BR89" s="1049"/>
      <c r="BS89" s="1049"/>
      <c r="BT89" s="1049"/>
      <c r="BU89" s="1049"/>
      <c r="BV89" s="1049"/>
      <c r="BW89" s="1049"/>
      <c r="BX89" s="1049"/>
      <c r="BY89" s="1049"/>
      <c r="BZ89" s="1049"/>
      <c r="CA89" s="1049"/>
      <c r="CB89" s="1049"/>
      <c r="CC89" s="1049"/>
      <c r="CD89" s="1049"/>
      <c r="CE89" s="1049"/>
      <c r="CF89" s="1049"/>
      <c r="CG89" s="1049"/>
      <c r="CH89" s="1049"/>
      <c r="CI89" s="1049"/>
      <c r="CJ89" s="1049"/>
      <c r="CK89" s="1049"/>
      <c r="CL89" s="1049"/>
      <c r="CM89" s="1049"/>
      <c r="CN89" s="1049"/>
      <c r="CO89" s="1049"/>
      <c r="CP89" s="1049"/>
      <c r="CQ89" s="1049"/>
      <c r="CR89" s="1049"/>
      <c r="CS89" s="1049"/>
      <c r="CT89" s="1049"/>
      <c r="CU89" s="1049"/>
      <c r="CV89" s="1049"/>
      <c r="CW89" s="1049"/>
      <c r="CX89" s="1049"/>
      <c r="CY89" s="1049"/>
      <c r="CZ89" s="1049"/>
      <c r="DA89" s="1049"/>
      <c r="DB89" s="1049"/>
      <c r="DC89" s="1049"/>
      <c r="DD89" s="1049"/>
      <c r="DE89" s="1049"/>
      <c r="DF89" s="1049"/>
      <c r="DG89" s="1049"/>
      <c r="DH89" s="1049"/>
      <c r="DI89" s="1049"/>
      <c r="DJ89" s="1049"/>
      <c r="DK89" s="1049"/>
      <c r="DL89" s="1049"/>
      <c r="DM89" s="1049"/>
      <c r="DN89" s="1049"/>
      <c r="DO89" s="1049"/>
      <c r="DP89" s="1049"/>
      <c r="DQ89" s="1049"/>
      <c r="DR89" s="1049"/>
      <c r="DS89" s="1049"/>
      <c r="DT89" s="1049"/>
      <c r="DU89" s="1049"/>
      <c r="DV89" s="1049"/>
      <c r="DW89" s="1049"/>
      <c r="DX89" s="1049"/>
      <c r="DY89" s="1049"/>
      <c r="DZ89" s="1049"/>
      <c r="EA89" s="1049"/>
      <c r="EB89" s="1049"/>
      <c r="EC89" s="1049"/>
      <c r="ED89" s="1049"/>
      <c r="EE89" s="1049"/>
      <c r="EF89" s="1049"/>
      <c r="EG89" s="1049"/>
      <c r="EH89" s="1049"/>
      <c r="EI89" s="1049"/>
      <c r="EJ89" s="1049"/>
      <c r="EK89" s="1049"/>
      <c r="EL89" s="1049"/>
      <c r="EM89" s="1049"/>
      <c r="EN89" s="1049"/>
      <c r="EO89" s="1049"/>
      <c r="EP89" s="1049"/>
      <c r="EQ89" s="1049"/>
      <c r="ER89" s="1049"/>
      <c r="ES89" s="1049"/>
      <c r="ET89" s="1049"/>
      <c r="EU89" s="1049"/>
      <c r="EV89" s="1049"/>
      <c r="EW89" s="1049"/>
      <c r="EX89" s="1049"/>
      <c r="EY89" s="1049"/>
      <c r="EZ89" s="1049"/>
      <c r="FA89" s="1049"/>
      <c r="FB89" s="1049"/>
      <c r="FC89" s="1049"/>
      <c r="FD89" s="1049"/>
      <c r="FE89" s="1049"/>
      <c r="FF89" s="1049"/>
      <c r="FG89" s="1049"/>
      <c r="FH89" s="1049"/>
      <c r="FI89" s="1049"/>
      <c r="FJ89" s="1049"/>
      <c r="FK89" s="1049"/>
      <c r="FL89" s="1049"/>
      <c r="FM89" s="1049"/>
      <c r="FN89" s="1049"/>
      <c r="FO89" s="1049"/>
      <c r="FP89" s="1049"/>
      <c r="FQ89" s="1049"/>
      <c r="FR89" s="1049"/>
      <c r="FS89" s="1049"/>
      <c r="FT89" s="1049"/>
      <c r="FU89" s="1049"/>
      <c r="FV89" s="1049"/>
      <c r="FW89" s="1049"/>
      <c r="FX89" s="1049"/>
      <c r="FY89" s="1049"/>
      <c r="FZ89" s="1049"/>
      <c r="GA89" s="1049"/>
      <c r="GB89" s="1049"/>
      <c r="GC89" s="1049"/>
      <c r="GD89" s="1049"/>
      <c r="GE89" s="1049"/>
      <c r="GF89" s="1049"/>
      <c r="GG89" s="1049"/>
      <c r="GH89" s="1049"/>
      <c r="GI89" s="1049"/>
      <c r="GJ89" s="1049"/>
      <c r="GK89" s="1049"/>
      <c r="GL89" s="1049"/>
      <c r="GM89" s="1049"/>
      <c r="GN89" s="1049"/>
      <c r="GO89" s="1049"/>
      <c r="GP89" s="1049"/>
      <c r="GQ89" s="1049"/>
      <c r="GR89" s="1049"/>
      <c r="GS89" s="1049"/>
      <c r="GT89" s="1049"/>
      <c r="GU89" s="1049"/>
      <c r="GV89" s="1049"/>
      <c r="GW89" s="1049"/>
      <c r="GX89" s="1049"/>
      <c r="GY89" s="1049"/>
      <c r="GZ89" s="1049"/>
      <c r="HA89" s="1049"/>
      <c r="HB89" s="1049"/>
      <c r="HC89" s="1049"/>
      <c r="HD89" s="1049"/>
      <c r="HE89" s="1049"/>
      <c r="HF89" s="1049"/>
      <c r="HG89" s="1049"/>
      <c r="HH89" s="1049"/>
      <c r="HI89" s="1049"/>
      <c r="HJ89" s="1049"/>
      <c r="HK89" s="1049"/>
      <c r="HL89" s="1049"/>
      <c r="HM89" s="1049"/>
      <c r="HN89" s="1049"/>
      <c r="HO89" s="1049"/>
      <c r="HP89" s="1049"/>
      <c r="HQ89" s="1049"/>
      <c r="HR89" s="1049"/>
      <c r="HS89" s="1049"/>
      <c r="HT89" s="1049"/>
      <c r="HU89" s="1049"/>
      <c r="HV89" s="1049"/>
      <c r="HW89" s="1049"/>
      <c r="HX89" s="1078"/>
      <c r="HY89" s="1049"/>
      <c r="HZ89" s="1049"/>
      <c r="IA89" s="1049"/>
      <c r="IB89" s="1049"/>
      <c r="IC89" s="1078"/>
      <c r="ID89" s="1078"/>
      <c r="IE89" s="1049"/>
      <c r="IF89" s="1049"/>
      <c r="IG89" s="1049"/>
      <c r="IH89" s="1049"/>
      <c r="II89" s="1049"/>
      <c r="IJ89" s="1049"/>
      <c r="IK89" s="1086"/>
      <c r="IL89" s="1086"/>
      <c r="IM89" s="1086"/>
      <c r="IN89" s="1086"/>
      <c r="IO89" s="1086"/>
      <c r="IP89" s="1086"/>
      <c r="IQ89" s="1086"/>
      <c r="IR89" s="1086"/>
      <c r="IS89" s="1086"/>
      <c r="IT89" s="1086"/>
      <c r="IU89" s="1086"/>
      <c r="IV89" s="1086"/>
      <c r="IW89" s="1086"/>
      <c r="IX89" s="1086"/>
      <c r="IY89" s="1086"/>
      <c r="IZ89" s="1086"/>
      <c r="JA89" s="1086"/>
      <c r="JB89" s="1086"/>
      <c r="JC89" s="1086"/>
      <c r="JD89" s="1086"/>
      <c r="JE89" s="1086"/>
      <c r="JF89" s="1086"/>
      <c r="JG89" s="1086"/>
      <c r="JH89" s="1086"/>
      <c r="JI89" s="1086"/>
      <c r="JJ89" s="1086"/>
      <c r="JK89" s="1086"/>
      <c r="JL89" s="1086"/>
      <c r="JM89" s="1086"/>
      <c r="JN89" s="1086"/>
      <c r="JO89" s="1086"/>
      <c r="JP89" s="1086"/>
      <c r="JQ89" s="1086"/>
      <c r="JR89" s="1086"/>
      <c r="JS89" s="1086"/>
      <c r="JT89" s="1086"/>
      <c r="JU89" s="1086"/>
      <c r="JV89" s="1086"/>
      <c r="JW89" s="1086"/>
      <c r="JX89" s="1086"/>
      <c r="JY89" s="1086"/>
      <c r="JZ89" s="1086"/>
      <c r="KA89" s="1086"/>
      <c r="KB89" s="1086"/>
      <c r="KC89" s="1086"/>
      <c r="KD89" s="1086"/>
      <c r="KE89" s="1086"/>
      <c r="KF89" s="1086"/>
      <c r="KG89" s="1086"/>
      <c r="KH89" s="1086"/>
      <c r="KI89" s="1086"/>
      <c r="KJ89" s="1086"/>
      <c r="KK89" s="1086"/>
      <c r="KL89" s="1086"/>
      <c r="KM89" s="1086"/>
      <c r="KN89" s="1086"/>
      <c r="KO89" s="1086"/>
      <c r="KP89" s="1086"/>
      <c r="KQ89" s="1086"/>
      <c r="KR89" s="1086"/>
      <c r="KS89" s="1086"/>
      <c r="KT89" s="1086"/>
      <c r="KU89" s="1086"/>
      <c r="KV89" s="1086"/>
      <c r="KW89" s="1086"/>
      <c r="KX89" s="1086"/>
      <c r="KY89" s="1086"/>
      <c r="KZ89" s="1086"/>
      <c r="LA89" s="1086"/>
      <c r="LB89" s="1086"/>
      <c r="LC89" s="1086"/>
      <c r="LD89" s="1086"/>
      <c r="LE89" s="1086"/>
      <c r="LF89" s="1086"/>
      <c r="LG89" s="1086"/>
      <c r="LH89" s="1086"/>
      <c r="LI89" s="1086"/>
      <c r="LJ89" s="1086"/>
      <c r="LK89" s="1086"/>
      <c r="LL89" s="1086"/>
      <c r="LM89" s="1086"/>
      <c r="LN89" s="1086"/>
      <c r="LO89" s="1086"/>
      <c r="LP89" s="1086"/>
      <c r="LQ89" s="1086"/>
      <c r="LR89" s="1086"/>
      <c r="LS89" s="1086"/>
      <c r="LT89" s="1086"/>
      <c r="LU89" s="1086"/>
      <c r="LV89" s="1086"/>
      <c r="LW89" s="1086"/>
      <c r="LX89" s="1086"/>
      <c r="LY89" s="1086"/>
      <c r="LZ89" s="1086"/>
      <c r="MA89" s="1086"/>
      <c r="MB89" s="1086"/>
      <c r="MC89" s="1086"/>
      <c r="MD89" s="1086"/>
      <c r="ME89" s="1086"/>
      <c r="MF89" s="1086"/>
      <c r="MG89" s="1086"/>
      <c r="MH89" s="1086"/>
      <c r="MI89" s="1086"/>
      <c r="MJ89" s="1086"/>
      <c r="MK89" s="1086"/>
      <c r="ML89" s="1086"/>
      <c r="MM89" s="1086"/>
      <c r="MN89" s="1086"/>
      <c r="MO89" s="1086"/>
      <c r="MP89" s="1086"/>
      <c r="MQ89" s="1086"/>
      <c r="MR89" s="1086"/>
      <c r="MS89" s="1086"/>
      <c r="MT89" s="1086"/>
      <c r="MU89" s="1086"/>
      <c r="MV89" s="1086"/>
      <c r="MW89" s="1086"/>
      <c r="MX89" s="1086"/>
      <c r="MY89" s="1086"/>
      <c r="MZ89" s="1086"/>
      <c r="NA89" s="1086"/>
      <c r="NB89" s="1086"/>
      <c r="NC89" s="1086"/>
      <c r="ND89" s="1086"/>
      <c r="NE89" s="1086"/>
    </row>
    <row r="90" customFormat="1" ht="14.5" spans="1:369">
      <c r="A90" s="941" t="s">
        <v>2762</v>
      </c>
      <c r="B90" s="1049" t="str">
        <f>IF(OR(A90="说服",A90="话术",A90="取悦",A90="恐吓"),"☯",IF(ISNUMBER(SEARCH(A90,VLOOKUP(IX$2,职业列表!$B$1:$G$370,6,0))),"★",""))</f>
        <v/>
      </c>
      <c r="C90" s="1063" t="str">
        <f>IF(ISTEXT(IFERROR(VLOOKUP(A90,职业列表!I21:J28,1,FALSE),0)),"★","")</f>
        <v/>
      </c>
      <c r="D90" s="1049"/>
      <c r="E90" s="1049"/>
      <c r="F90" s="1049"/>
      <c r="G90" s="1049"/>
      <c r="H90" s="1049"/>
      <c r="I90" s="1049"/>
      <c r="J90" s="1049"/>
      <c r="K90" s="1049"/>
      <c r="L90" s="1049"/>
      <c r="M90" s="1049"/>
      <c r="N90" s="1049"/>
      <c r="O90" s="1049"/>
      <c r="P90" s="1049"/>
      <c r="Q90" s="1049"/>
      <c r="R90" s="1049"/>
      <c r="S90" s="1049"/>
      <c r="T90" s="1049"/>
      <c r="U90" s="1049"/>
      <c r="V90" s="1049"/>
      <c r="W90" s="1049"/>
      <c r="X90" s="1049"/>
      <c r="Y90" s="1049"/>
      <c r="Z90" s="1049"/>
      <c r="AA90" s="1049"/>
      <c r="AB90" s="1049"/>
      <c r="AC90" s="1049"/>
      <c r="AD90" s="1049"/>
      <c r="AE90" s="1049"/>
      <c r="AF90" s="1049"/>
      <c r="AG90" s="1049"/>
      <c r="AH90" s="1049"/>
      <c r="AI90" s="1049"/>
      <c r="AJ90" s="1049"/>
      <c r="AK90" s="1049"/>
      <c r="AL90" s="1049"/>
      <c r="AM90" s="1049"/>
      <c r="AN90" s="1049"/>
      <c r="AO90" s="1049"/>
      <c r="AP90" s="1049"/>
      <c r="AQ90" s="1049"/>
      <c r="AR90" s="1049"/>
      <c r="AS90" s="1049"/>
      <c r="AT90" s="1049"/>
      <c r="AU90" s="1049"/>
      <c r="AV90" s="1049"/>
      <c r="AW90" s="1049"/>
      <c r="AX90" s="1049"/>
      <c r="AY90" s="1049"/>
      <c r="AZ90" s="1049"/>
      <c r="BA90" s="1049"/>
      <c r="BB90" s="1049"/>
      <c r="BC90" s="1049"/>
      <c r="BD90" s="1049"/>
      <c r="BE90" s="1049"/>
      <c r="BF90" s="1049"/>
      <c r="BG90" s="1049"/>
      <c r="BH90" s="1049"/>
      <c r="BI90" s="1049"/>
      <c r="BJ90" s="1049"/>
      <c r="BK90" s="1049"/>
      <c r="BL90" s="1049"/>
      <c r="BM90" s="1049"/>
      <c r="BN90" s="1049"/>
      <c r="BO90" s="1049"/>
      <c r="BP90" s="1049"/>
      <c r="BQ90" s="1049"/>
      <c r="BR90" s="1049"/>
      <c r="BS90" s="1049"/>
      <c r="BT90" s="1049"/>
      <c r="BU90" s="1049"/>
      <c r="BV90" s="1049"/>
      <c r="BW90" s="1049"/>
      <c r="BX90" s="1049"/>
      <c r="BY90" s="1049"/>
      <c r="BZ90" s="1049"/>
      <c r="CA90" s="1049"/>
      <c r="CB90" s="1049"/>
      <c r="CC90" s="1049"/>
      <c r="CD90" s="1049"/>
      <c r="CE90" s="1049"/>
      <c r="CF90" s="1049"/>
      <c r="CG90" s="1049"/>
      <c r="CH90" s="1049"/>
      <c r="CI90" s="1049"/>
      <c r="CJ90" s="1049"/>
      <c r="CK90" s="1049"/>
      <c r="CL90" s="1049"/>
      <c r="CM90" s="1049"/>
      <c r="CN90" s="1049"/>
      <c r="CO90" s="1049"/>
      <c r="CP90" s="1049"/>
      <c r="CQ90" s="1049"/>
      <c r="CR90" s="1049"/>
      <c r="CS90" s="1049"/>
      <c r="CT90" s="1049"/>
      <c r="CU90" s="1049"/>
      <c r="CV90" s="1049"/>
      <c r="CW90" s="1049"/>
      <c r="CX90" s="1049"/>
      <c r="CY90" s="1049"/>
      <c r="CZ90" s="1049"/>
      <c r="DA90" s="1049"/>
      <c r="DB90" s="1049"/>
      <c r="DC90" s="1049"/>
      <c r="DD90" s="1049"/>
      <c r="DE90" s="1049"/>
      <c r="DF90" s="1049"/>
      <c r="DG90" s="1049"/>
      <c r="DH90" s="1049"/>
      <c r="DI90" s="1049"/>
      <c r="DJ90" s="1049"/>
      <c r="DK90" s="1049"/>
      <c r="DL90" s="1049"/>
      <c r="DM90" s="1049"/>
      <c r="DN90" s="1049"/>
      <c r="DO90" s="1049"/>
      <c r="DP90" s="1049"/>
      <c r="DQ90" s="1049"/>
      <c r="DR90" s="1049"/>
      <c r="DS90" s="1049"/>
      <c r="DT90" s="1049"/>
      <c r="DU90" s="1049"/>
      <c r="DV90" s="1049"/>
      <c r="DW90" s="1049"/>
      <c r="DX90" s="1049"/>
      <c r="DY90" s="1049"/>
      <c r="DZ90" s="1049"/>
      <c r="EA90" s="1049"/>
      <c r="EB90" s="1049"/>
      <c r="EC90" s="1049"/>
      <c r="ED90" s="1049"/>
      <c r="EE90" s="1049"/>
      <c r="EF90" s="1049"/>
      <c r="EG90" s="1049"/>
      <c r="EH90" s="1049"/>
      <c r="EI90" s="1049"/>
      <c r="EJ90" s="1049"/>
      <c r="EK90" s="1049"/>
      <c r="EL90" s="1049"/>
      <c r="EM90" s="1049"/>
      <c r="EN90" s="1049"/>
      <c r="EO90" s="1049"/>
      <c r="EP90" s="1049"/>
      <c r="EQ90" s="1049"/>
      <c r="ER90" s="1049"/>
      <c r="ES90" s="1049"/>
      <c r="ET90" s="1049"/>
      <c r="EU90" s="1049"/>
      <c r="EV90" s="1049"/>
      <c r="EW90" s="1049"/>
      <c r="EX90" s="1049"/>
      <c r="EY90" s="1049"/>
      <c r="EZ90" s="1049"/>
      <c r="FA90" s="1049"/>
      <c r="FB90" s="1049"/>
      <c r="FC90" s="1049"/>
      <c r="FD90" s="1049"/>
      <c r="FE90" s="1049"/>
      <c r="FF90" s="1049"/>
      <c r="FG90" s="1049"/>
      <c r="FH90" s="1049"/>
      <c r="FI90" s="1049"/>
      <c r="FJ90" s="1049"/>
      <c r="FK90" s="1049"/>
      <c r="FL90" s="1049"/>
      <c r="FM90" s="1049"/>
      <c r="FN90" s="1049"/>
      <c r="FO90" s="1049"/>
      <c r="FP90" s="1049"/>
      <c r="FQ90" s="1049"/>
      <c r="FR90" s="1049"/>
      <c r="FS90" s="1049"/>
      <c r="FT90" s="1049"/>
      <c r="FU90" s="1049"/>
      <c r="FV90" s="1049"/>
      <c r="FW90" s="1049"/>
      <c r="FX90" s="1049"/>
      <c r="FY90" s="1049"/>
      <c r="FZ90" s="1049"/>
      <c r="GA90" s="1049"/>
      <c r="GB90" s="1049"/>
      <c r="GC90" s="1049"/>
      <c r="GD90" s="1049"/>
      <c r="GE90" s="1049"/>
      <c r="GF90" s="1049"/>
      <c r="GG90" s="1049"/>
      <c r="GH90" s="1049"/>
      <c r="GI90" s="1049"/>
      <c r="GJ90" s="1049"/>
      <c r="GK90" s="1049"/>
      <c r="GL90" s="1049"/>
      <c r="GM90" s="1049"/>
      <c r="GN90" s="1049"/>
      <c r="GO90" s="1049"/>
      <c r="GP90" s="1049"/>
      <c r="GQ90" s="1049"/>
      <c r="GR90" s="1049"/>
      <c r="GS90" s="1049"/>
      <c r="GT90" s="1049"/>
      <c r="GU90" s="1049"/>
      <c r="GV90" s="1049"/>
      <c r="GW90" s="1049"/>
      <c r="GX90" s="1049"/>
      <c r="GY90" s="1049"/>
      <c r="GZ90" s="1049"/>
      <c r="HA90" s="1049"/>
      <c r="HB90" s="1049"/>
      <c r="HC90" s="1049"/>
      <c r="HD90" s="1049"/>
      <c r="HE90" s="1049"/>
      <c r="HF90" s="1049"/>
      <c r="HG90" s="1049"/>
      <c r="HH90" s="1049"/>
      <c r="HI90" s="1049"/>
      <c r="HJ90" s="1049"/>
      <c r="HK90" s="1049"/>
      <c r="HL90" s="1049"/>
      <c r="HM90" s="1049"/>
      <c r="HN90" s="1049"/>
      <c r="HO90" s="1049"/>
      <c r="HP90" s="1049"/>
      <c r="HQ90" s="1049"/>
      <c r="HR90" s="1049"/>
      <c r="HS90" s="1049"/>
      <c r="HT90" s="1049"/>
      <c r="HU90" s="1049"/>
      <c r="HV90" s="1049"/>
      <c r="HW90" s="1049"/>
      <c r="HX90" s="1078"/>
      <c r="HY90" s="1049"/>
      <c r="HZ90" s="1049"/>
      <c r="IA90" s="1049"/>
      <c r="IB90" s="1049"/>
      <c r="IC90" s="1078"/>
      <c r="ID90" s="1078"/>
      <c r="IE90" s="1049"/>
      <c r="IF90" s="1049"/>
      <c r="IG90" s="1049"/>
      <c r="IH90" s="1049"/>
      <c r="II90" s="1049"/>
      <c r="IJ90" s="1049"/>
      <c r="IK90" s="1086"/>
      <c r="IL90" s="1086"/>
      <c r="IM90" s="1086"/>
      <c r="IN90" s="1086"/>
      <c r="IO90" s="1086"/>
      <c r="IP90" s="1086"/>
      <c r="IQ90" s="1086"/>
      <c r="IR90" s="1086"/>
      <c r="IS90" s="1086"/>
      <c r="IT90" s="1086"/>
      <c r="IU90" s="1086"/>
      <c r="IV90" s="1086"/>
      <c r="IW90" s="1086"/>
      <c r="IX90" s="1086"/>
      <c r="IY90" s="1086"/>
      <c r="IZ90" s="1086"/>
      <c r="JA90" s="1086"/>
      <c r="JB90" s="1086"/>
      <c r="JC90" s="1086"/>
      <c r="JD90" s="1086"/>
      <c r="JE90" s="1086"/>
      <c r="JF90" s="1086"/>
      <c r="JG90" s="1086"/>
      <c r="JH90" s="1086"/>
      <c r="JI90" s="1086"/>
      <c r="JJ90" s="1086"/>
      <c r="JK90" s="1086"/>
      <c r="JL90" s="1086"/>
      <c r="JM90" s="1086"/>
      <c r="JN90" s="1086"/>
      <c r="JO90" s="1086"/>
      <c r="JP90" s="1086"/>
      <c r="JQ90" s="1086"/>
      <c r="JR90" s="1086"/>
      <c r="JS90" s="1086"/>
      <c r="JT90" s="1086"/>
      <c r="JU90" s="1086"/>
      <c r="JV90" s="1086"/>
      <c r="JW90" s="1086"/>
      <c r="JX90" s="1086"/>
      <c r="JY90" s="1086"/>
      <c r="JZ90" s="1086"/>
      <c r="KA90" s="1086"/>
      <c r="KB90" s="1086"/>
      <c r="KC90" s="1086"/>
      <c r="KD90" s="1086"/>
      <c r="KE90" s="1086"/>
      <c r="KF90" s="1086"/>
      <c r="KG90" s="1086"/>
      <c r="KH90" s="1086"/>
      <c r="KI90" s="1086"/>
      <c r="KJ90" s="1086"/>
      <c r="KK90" s="1086"/>
      <c r="KL90" s="1086"/>
      <c r="KM90" s="1086"/>
      <c r="KN90" s="1086"/>
      <c r="KO90" s="1086"/>
      <c r="KP90" s="1086"/>
      <c r="KQ90" s="1086"/>
      <c r="KR90" s="1086"/>
      <c r="KS90" s="1086"/>
      <c r="KT90" s="1086"/>
      <c r="KU90" s="1086"/>
      <c r="KV90" s="1086"/>
      <c r="KW90" s="1086"/>
      <c r="KX90" s="1086"/>
      <c r="KY90" s="1086"/>
      <c r="KZ90" s="1086"/>
      <c r="LA90" s="1086"/>
      <c r="LB90" s="1086"/>
      <c r="LC90" s="1086"/>
      <c r="LD90" s="1086"/>
      <c r="LE90" s="1086"/>
      <c r="LF90" s="1086"/>
      <c r="LG90" s="1086"/>
      <c r="LH90" s="1086"/>
      <c r="LI90" s="1086"/>
      <c r="LJ90" s="1086"/>
      <c r="LK90" s="1086"/>
      <c r="LL90" s="1086"/>
      <c r="LM90" s="1086"/>
      <c r="LN90" s="1086"/>
      <c r="LO90" s="1086"/>
      <c r="LP90" s="1086"/>
      <c r="LQ90" s="1086"/>
      <c r="LR90" s="1086"/>
      <c r="LS90" s="1086"/>
      <c r="LT90" s="1086"/>
      <c r="LU90" s="1086"/>
      <c r="LV90" s="1086"/>
      <c r="LW90" s="1086"/>
      <c r="LX90" s="1086"/>
      <c r="LY90" s="1086"/>
      <c r="LZ90" s="1086"/>
      <c r="MA90" s="1086"/>
      <c r="MB90" s="1086"/>
      <c r="MC90" s="1086"/>
      <c r="MD90" s="1086"/>
      <c r="ME90" s="1086"/>
      <c r="MF90" s="1086"/>
      <c r="MG90" s="1086"/>
      <c r="MH90" s="1086"/>
      <c r="MI90" s="1086"/>
      <c r="MJ90" s="1086"/>
      <c r="MK90" s="1086"/>
      <c r="ML90" s="1086"/>
      <c r="MM90" s="1086"/>
      <c r="MN90" s="1086"/>
      <c r="MO90" s="1086"/>
      <c r="MP90" s="1086"/>
      <c r="MQ90" s="1086"/>
      <c r="MR90" s="1086"/>
      <c r="MS90" s="1086"/>
      <c r="MT90" s="1086"/>
      <c r="MU90" s="1086"/>
      <c r="MV90" s="1086"/>
      <c r="MW90" s="1086"/>
      <c r="MX90" s="1086"/>
      <c r="MY90" s="1086"/>
      <c r="MZ90" s="1086"/>
      <c r="NA90" s="1086"/>
      <c r="NB90" s="1086"/>
      <c r="NC90" s="1086"/>
      <c r="ND90" s="1086"/>
      <c r="NE90" s="1086"/>
    </row>
    <row r="91" customFormat="1" spans="1:369">
      <c r="A91" s="941" t="s">
        <v>2763</v>
      </c>
      <c r="B91" s="1049" t="str">
        <f>IF(OR(A91="说服",A91="话术",A91="取悦",A91="恐吓"),"☯",IF(ISNUMBER(SEARCH(A91,VLOOKUP(IX$2,职业列表!$B$1:$G$370,6,0))),"★",""))</f>
        <v/>
      </c>
      <c r="C91" s="942" t="str">
        <f>IF(ISTEXT(IFERROR(VLOOKUP(A91,职业列表!I30:J37,1,FALSE),0)),"★","")</f>
        <v/>
      </c>
      <c r="D91" s="1049"/>
      <c r="E91" s="1049"/>
      <c r="F91" s="1049"/>
      <c r="G91" s="1049"/>
      <c r="H91" s="1049"/>
      <c r="I91" s="1049"/>
      <c r="J91" s="1049"/>
      <c r="K91" s="1049"/>
      <c r="L91" s="1049"/>
      <c r="M91" s="1049"/>
      <c r="N91" s="1049"/>
      <c r="O91" s="1049"/>
      <c r="P91" s="1049"/>
      <c r="Q91" s="1049"/>
      <c r="R91" s="1049"/>
      <c r="S91" s="1049"/>
      <c r="T91" s="1049"/>
      <c r="U91" s="1049"/>
      <c r="V91" s="1049"/>
      <c r="W91" s="1049"/>
      <c r="X91" s="1049"/>
      <c r="Y91" s="1049"/>
      <c r="Z91" s="1049"/>
      <c r="AA91" s="1049"/>
      <c r="AB91" s="1049"/>
      <c r="AC91" s="1049"/>
      <c r="AD91" s="1049"/>
      <c r="AE91" s="1049"/>
      <c r="AF91" s="1049"/>
      <c r="AG91" s="1049"/>
      <c r="AH91" s="1049"/>
      <c r="AI91" s="1049"/>
      <c r="AJ91" s="1049"/>
      <c r="AK91" s="1049"/>
      <c r="AL91" s="1049"/>
      <c r="AM91" s="1049"/>
      <c r="AN91" s="1049"/>
      <c r="AO91" s="1049"/>
      <c r="AP91" s="1049"/>
      <c r="AQ91" s="1049"/>
      <c r="AR91" s="1049"/>
      <c r="AS91" s="1049"/>
      <c r="AT91" s="1049"/>
      <c r="AU91" s="1049"/>
      <c r="AV91" s="1049"/>
      <c r="AW91" s="1049"/>
      <c r="AX91" s="1049"/>
      <c r="AY91" s="1049"/>
      <c r="AZ91" s="1049"/>
      <c r="BA91" s="1049"/>
      <c r="BB91" s="1049"/>
      <c r="BC91" s="1049"/>
      <c r="BD91" s="1049"/>
      <c r="BE91" s="1049"/>
      <c r="BF91" s="1049"/>
      <c r="BG91" s="1049"/>
      <c r="BH91" s="1049"/>
      <c r="BI91" s="1049"/>
      <c r="BJ91" s="1049"/>
      <c r="BK91" s="1049"/>
      <c r="BL91" s="1049"/>
      <c r="BM91" s="1049"/>
      <c r="BN91" s="1049"/>
      <c r="BO91" s="1049"/>
      <c r="BP91" s="1049"/>
      <c r="BQ91" s="1049"/>
      <c r="BR91" s="1049"/>
      <c r="BS91" s="1049"/>
      <c r="BT91" s="1049"/>
      <c r="BU91" s="1049"/>
      <c r="BV91" s="1049"/>
      <c r="BW91" s="1049"/>
      <c r="BX91" s="1049"/>
      <c r="BY91" s="1049"/>
      <c r="BZ91" s="1049"/>
      <c r="CA91" s="1049"/>
      <c r="CB91" s="1049"/>
      <c r="CC91" s="1049"/>
      <c r="CD91" s="1049"/>
      <c r="CE91" s="1049"/>
      <c r="CF91" s="1049"/>
      <c r="CG91" s="1049"/>
      <c r="CH91" s="1049"/>
      <c r="CI91" s="1049"/>
      <c r="CJ91" s="1049"/>
      <c r="CK91" s="1049"/>
      <c r="CL91" s="1049"/>
      <c r="CM91" s="1049"/>
      <c r="CN91" s="1049"/>
      <c r="CO91" s="1049"/>
      <c r="CP91" s="1049"/>
      <c r="CQ91" s="1049"/>
      <c r="CR91" s="1049"/>
      <c r="CS91" s="1049"/>
      <c r="CT91" s="1049"/>
      <c r="CU91" s="1049"/>
      <c r="CV91" s="1049"/>
      <c r="CW91" s="1049"/>
      <c r="CX91" s="1049"/>
      <c r="CY91" s="1049"/>
      <c r="CZ91" s="1049"/>
      <c r="DA91" s="1049"/>
      <c r="DB91" s="1049"/>
      <c r="DC91" s="1049"/>
      <c r="DD91" s="1049"/>
      <c r="DE91" s="1049"/>
      <c r="DF91" s="1049"/>
      <c r="DG91" s="1049"/>
      <c r="DH91" s="1049"/>
      <c r="DI91" s="1049"/>
      <c r="DJ91" s="1049"/>
      <c r="DK91" s="1049"/>
      <c r="DL91" s="1049"/>
      <c r="DM91" s="1049"/>
      <c r="DN91" s="1049"/>
      <c r="DO91" s="1049"/>
      <c r="DP91" s="1049"/>
      <c r="DQ91" s="1049"/>
      <c r="DR91" s="1049"/>
      <c r="DS91" s="1049"/>
      <c r="DT91" s="1049"/>
      <c r="DU91" s="1049"/>
      <c r="DV91" s="1049"/>
      <c r="DW91" s="1049"/>
      <c r="DX91" s="1049"/>
      <c r="DY91" s="1049"/>
      <c r="DZ91" s="1049"/>
      <c r="EA91" s="1049"/>
      <c r="EB91" s="1049"/>
      <c r="EC91" s="1049"/>
      <c r="ED91" s="1049"/>
      <c r="EE91" s="1049"/>
      <c r="EF91" s="1049"/>
      <c r="EG91" s="1049"/>
      <c r="EH91" s="1049"/>
      <c r="EI91" s="1049"/>
      <c r="EJ91" s="1049"/>
      <c r="EK91" s="1049"/>
      <c r="EL91" s="1049"/>
      <c r="EM91" s="1049"/>
      <c r="EN91" s="1049"/>
      <c r="EO91" s="1049"/>
      <c r="EP91" s="1049"/>
      <c r="EQ91" s="1049"/>
      <c r="ER91" s="1049"/>
      <c r="ES91" s="1049"/>
      <c r="ET91" s="1049"/>
      <c r="EU91" s="1049"/>
      <c r="EV91" s="1049"/>
      <c r="EW91" s="1049"/>
      <c r="EX91" s="1049"/>
      <c r="EY91" s="1049"/>
      <c r="EZ91" s="1049"/>
      <c r="FA91" s="1049"/>
      <c r="FB91" s="1049"/>
      <c r="FC91" s="1049"/>
      <c r="FD91" s="1049"/>
      <c r="FE91" s="1049"/>
      <c r="FF91" s="1049"/>
      <c r="FG91" s="1049"/>
      <c r="FH91" s="1049"/>
      <c r="FI91" s="1049"/>
      <c r="FJ91" s="1049"/>
      <c r="FK91" s="1049"/>
      <c r="FL91" s="1049"/>
      <c r="FM91" s="1049"/>
      <c r="FN91" s="1049"/>
      <c r="FO91" s="1049"/>
      <c r="FP91" s="1049"/>
      <c r="FQ91" s="1049"/>
      <c r="FR91" s="1049"/>
      <c r="FS91" s="1049"/>
      <c r="FT91" s="1049"/>
      <c r="FU91" s="1049"/>
      <c r="FV91" s="1049"/>
      <c r="FW91" s="1049"/>
      <c r="FX91" s="1049"/>
      <c r="FY91" s="1049"/>
      <c r="FZ91" s="1049"/>
      <c r="GA91" s="1049"/>
      <c r="GB91" s="1049"/>
      <c r="GC91" s="1049"/>
      <c r="GD91" s="1049"/>
      <c r="GE91" s="1049"/>
      <c r="GF91" s="1049"/>
      <c r="GG91" s="1049"/>
      <c r="GH91" s="1049"/>
      <c r="GI91" s="1049"/>
      <c r="GJ91" s="1049"/>
      <c r="GK91" s="1049"/>
      <c r="GL91" s="1049"/>
      <c r="GM91" s="1049"/>
      <c r="GN91" s="1049"/>
      <c r="GO91" s="1049"/>
      <c r="GP91" s="1049"/>
      <c r="GQ91" s="1049"/>
      <c r="GR91" s="1049"/>
      <c r="GS91" s="1049"/>
      <c r="GT91" s="1049"/>
      <c r="GU91" s="1049"/>
      <c r="GV91" s="1049"/>
      <c r="GW91" s="1049"/>
      <c r="GX91" s="1049"/>
      <c r="GY91" s="1049"/>
      <c r="GZ91" s="1049"/>
      <c r="HA91" s="1049"/>
      <c r="HB91" s="1049"/>
      <c r="HC91" s="1049"/>
      <c r="HD91" s="1049"/>
      <c r="HE91" s="1049"/>
      <c r="HF91" s="1049"/>
      <c r="HG91" s="1049"/>
      <c r="HH91" s="1049"/>
      <c r="HI91" s="1049"/>
      <c r="HJ91" s="1049"/>
      <c r="HK91" s="1049"/>
      <c r="HL91" s="1049"/>
      <c r="HM91" s="1049"/>
      <c r="HN91" s="1049"/>
      <c r="HO91" s="1049"/>
      <c r="HP91" s="1049"/>
      <c r="HQ91" s="1049"/>
      <c r="HR91" s="1049"/>
      <c r="HS91" s="1049"/>
      <c r="HT91" s="1049"/>
      <c r="HU91" s="1049"/>
      <c r="HV91" s="1049"/>
      <c r="HW91" s="1049"/>
      <c r="HX91" s="1078"/>
      <c r="HY91" s="1049"/>
      <c r="HZ91" s="1049"/>
      <c r="IA91" s="1049"/>
      <c r="IB91" s="1049"/>
      <c r="IC91" s="1078"/>
      <c r="ID91" s="1078"/>
      <c r="IE91" s="1049"/>
      <c r="IF91" s="1049"/>
      <c r="IG91" s="1049"/>
      <c r="IH91" s="1049"/>
      <c r="II91" s="1049"/>
      <c r="IJ91" s="1049"/>
      <c r="IK91" s="1086"/>
      <c r="IL91" s="1086"/>
      <c r="IM91" s="1086"/>
      <c r="IN91" s="1086"/>
      <c r="IO91" s="1086"/>
      <c r="IP91" s="1086"/>
      <c r="IQ91" s="1086"/>
      <c r="IR91" s="1086"/>
      <c r="IS91" s="1086"/>
      <c r="IT91" s="1086"/>
      <c r="IU91" s="1086"/>
      <c r="IV91" s="1086"/>
      <c r="IW91" s="1086"/>
      <c r="IX91" s="1086"/>
      <c r="IY91" s="1086"/>
      <c r="IZ91" s="1086"/>
      <c r="JA91" s="1086"/>
      <c r="JB91" s="1086"/>
      <c r="JC91" s="1086"/>
      <c r="JD91" s="1086"/>
      <c r="JE91" s="1086"/>
      <c r="JF91" s="1086"/>
      <c r="JG91" s="1086"/>
      <c r="JH91" s="1086"/>
      <c r="JI91" s="1086"/>
      <c r="JJ91" s="1086"/>
      <c r="JK91" s="1086"/>
      <c r="JL91" s="1086"/>
      <c r="JM91" s="1086"/>
      <c r="JN91" s="1086"/>
      <c r="JO91" s="1086"/>
      <c r="JP91" s="1086"/>
      <c r="JQ91" s="1086"/>
      <c r="JR91" s="1086"/>
      <c r="JS91" s="1086"/>
      <c r="JT91" s="1086"/>
      <c r="JU91" s="1086"/>
      <c r="JV91" s="1086"/>
      <c r="JW91" s="1086"/>
      <c r="JX91" s="1086"/>
      <c r="JY91" s="1086"/>
      <c r="JZ91" s="1086"/>
      <c r="KA91" s="1086"/>
      <c r="KB91" s="1086"/>
      <c r="KC91" s="1086"/>
      <c r="KD91" s="1086"/>
      <c r="KE91" s="1086"/>
      <c r="KF91" s="1086"/>
      <c r="KG91" s="1086"/>
      <c r="KH91" s="1086"/>
      <c r="KI91" s="1086"/>
      <c r="KJ91" s="1086"/>
      <c r="KK91" s="1086"/>
      <c r="KL91" s="1086"/>
      <c r="KM91" s="1086"/>
      <c r="KN91" s="1086"/>
      <c r="KO91" s="1086"/>
      <c r="KP91" s="1086"/>
      <c r="KQ91" s="1086"/>
      <c r="KR91" s="1086"/>
      <c r="KS91" s="1086"/>
      <c r="KT91" s="1086"/>
      <c r="KU91" s="1086"/>
      <c r="KV91" s="1086"/>
      <c r="KW91" s="1086"/>
      <c r="KX91" s="1086"/>
      <c r="KY91" s="1086"/>
      <c r="KZ91" s="1086"/>
      <c r="LA91" s="1086"/>
      <c r="LB91" s="1086"/>
      <c r="LC91" s="1086"/>
      <c r="LD91" s="1086"/>
      <c r="LE91" s="1086"/>
      <c r="LF91" s="1086"/>
      <c r="LG91" s="1086"/>
      <c r="LH91" s="1086"/>
      <c r="LI91" s="1086"/>
      <c r="LJ91" s="1086"/>
      <c r="LK91" s="1086"/>
      <c r="LL91" s="1086"/>
      <c r="LM91" s="1086"/>
      <c r="LN91" s="1086"/>
      <c r="LO91" s="1086"/>
      <c r="LP91" s="1086"/>
      <c r="LQ91" s="1086"/>
      <c r="LR91" s="1086"/>
      <c r="LS91" s="1086"/>
      <c r="LT91" s="1086"/>
      <c r="LU91" s="1086"/>
      <c r="LV91" s="1086"/>
      <c r="LW91" s="1086"/>
      <c r="LX91" s="1086"/>
      <c r="LY91" s="1086"/>
      <c r="LZ91" s="1086"/>
      <c r="MA91" s="1086"/>
      <c r="MB91" s="1086"/>
      <c r="MC91" s="1086"/>
      <c r="MD91" s="1086"/>
      <c r="ME91" s="1086"/>
      <c r="MF91" s="1086"/>
      <c r="MG91" s="1086"/>
      <c r="MH91" s="1086"/>
      <c r="MI91" s="1086"/>
      <c r="MJ91" s="1086"/>
      <c r="MK91" s="1086"/>
      <c r="ML91" s="1086"/>
      <c r="MM91" s="1086"/>
      <c r="MN91" s="1086"/>
      <c r="MO91" s="1086"/>
      <c r="MP91" s="1086"/>
      <c r="MQ91" s="1086"/>
      <c r="MR91" s="1086"/>
      <c r="MS91" s="1086"/>
      <c r="MT91" s="1086"/>
      <c r="MU91" s="1086"/>
      <c r="MV91" s="1086"/>
      <c r="MW91" s="1086"/>
      <c r="MX91" s="1086"/>
      <c r="MY91" s="1086"/>
      <c r="MZ91" s="1086"/>
      <c r="NA91" s="1086"/>
      <c r="NB91" s="1086"/>
      <c r="NC91" s="1086"/>
      <c r="ND91" s="1086"/>
      <c r="NE91" s="1086"/>
    </row>
    <row r="92" customFormat="1" spans="1:369">
      <c r="A92" s="941" t="s">
        <v>2764</v>
      </c>
      <c r="B92" s="1049" t="str">
        <f>IF(OR(A92="说服",A92="话术",A92="取悦",A92="恐吓"),"☯",IF(ISNUMBER(SEARCH(A92,VLOOKUP(IX$2,职业列表!$B$1:$G$370,6,0))),"★",""))</f>
        <v/>
      </c>
      <c r="C92" s="942" t="str">
        <f>IF(ISTEXT(IFERROR(VLOOKUP(A92,职业列表!I30:J37,1,FALSE),0)),"★","")</f>
        <v/>
      </c>
      <c r="D92" s="1049"/>
      <c r="E92" s="1049"/>
      <c r="F92" s="1049"/>
      <c r="G92" s="1049"/>
      <c r="H92" s="1049"/>
      <c r="I92" s="1049"/>
      <c r="J92" s="1049"/>
      <c r="K92" s="1049"/>
      <c r="L92" s="1049"/>
      <c r="M92" s="1049"/>
      <c r="N92" s="1049"/>
      <c r="O92" s="1049"/>
      <c r="P92" s="1049"/>
      <c r="Q92" s="1049"/>
      <c r="R92" s="1049"/>
      <c r="S92" s="1049"/>
      <c r="T92" s="1049"/>
      <c r="U92" s="1049"/>
      <c r="V92" s="1049"/>
      <c r="W92" s="1049"/>
      <c r="X92" s="1049"/>
      <c r="Y92" s="1049"/>
      <c r="Z92" s="1049"/>
      <c r="AA92" s="1049"/>
      <c r="AB92" s="1049"/>
      <c r="AC92" s="1049"/>
      <c r="AD92" s="1049"/>
      <c r="AE92" s="1049"/>
      <c r="AF92" s="1049"/>
      <c r="AG92" s="1049"/>
      <c r="AH92" s="1049"/>
      <c r="AI92" s="1049"/>
      <c r="AJ92" s="1049"/>
      <c r="AK92" s="1049"/>
      <c r="AL92" s="1049"/>
      <c r="AM92" s="1049"/>
      <c r="AN92" s="1049"/>
      <c r="AO92" s="1049"/>
      <c r="AP92" s="1049"/>
      <c r="AQ92" s="1049"/>
      <c r="AR92" s="1049"/>
      <c r="AS92" s="1049"/>
      <c r="AT92" s="1049"/>
      <c r="AU92" s="1049"/>
      <c r="AV92" s="1049"/>
      <c r="AW92" s="1049"/>
      <c r="AX92" s="1049"/>
      <c r="AY92" s="1049"/>
      <c r="AZ92" s="1049"/>
      <c r="BA92" s="1049"/>
      <c r="BB92" s="1049"/>
      <c r="BC92" s="1049"/>
      <c r="BD92" s="1049"/>
      <c r="BE92" s="1049"/>
      <c r="BF92" s="1049"/>
      <c r="BG92" s="1049"/>
      <c r="BH92" s="1049"/>
      <c r="BI92" s="1049"/>
      <c r="BJ92" s="1049"/>
      <c r="BK92" s="1049"/>
      <c r="BL92" s="1049"/>
      <c r="BM92" s="1049"/>
      <c r="BN92" s="1049"/>
      <c r="BO92" s="1049"/>
      <c r="BP92" s="1049"/>
      <c r="BQ92" s="1049"/>
      <c r="BR92" s="1049"/>
      <c r="BS92" s="1049"/>
      <c r="BT92" s="1049"/>
      <c r="BU92" s="1049"/>
      <c r="BV92" s="1049"/>
      <c r="BW92" s="1049"/>
      <c r="BX92" s="1049"/>
      <c r="BY92" s="1049"/>
      <c r="BZ92" s="1049"/>
      <c r="CA92" s="1049"/>
      <c r="CB92" s="1049"/>
      <c r="CC92" s="1049"/>
      <c r="CD92" s="1049"/>
      <c r="CE92" s="1049"/>
      <c r="CF92" s="1049"/>
      <c r="CG92" s="1049"/>
      <c r="CH92" s="1049"/>
      <c r="CI92" s="1049"/>
      <c r="CJ92" s="1049"/>
      <c r="CK92" s="1049"/>
      <c r="CL92" s="1049"/>
      <c r="CM92" s="1049"/>
      <c r="CN92" s="1049"/>
      <c r="CO92" s="1049"/>
      <c r="CP92" s="1049"/>
      <c r="CQ92" s="1049"/>
      <c r="CR92" s="1049"/>
      <c r="CS92" s="1049"/>
      <c r="CT92" s="1049"/>
      <c r="CU92" s="1049"/>
      <c r="CV92" s="1049"/>
      <c r="CW92" s="1049"/>
      <c r="CX92" s="1049"/>
      <c r="CY92" s="1049"/>
      <c r="CZ92" s="1049"/>
      <c r="DA92" s="1049"/>
      <c r="DB92" s="1049"/>
      <c r="DC92" s="1049"/>
      <c r="DD92" s="1049"/>
      <c r="DE92" s="1049"/>
      <c r="DF92" s="1049"/>
      <c r="DG92" s="1049"/>
      <c r="DH92" s="1049"/>
      <c r="DI92" s="1049"/>
      <c r="DJ92" s="1049"/>
      <c r="DK92" s="1049"/>
      <c r="DL92" s="1049"/>
      <c r="DM92" s="1049"/>
      <c r="DN92" s="1049"/>
      <c r="DO92" s="1049"/>
      <c r="DP92" s="1049"/>
      <c r="DQ92" s="1049"/>
      <c r="DR92" s="1049"/>
      <c r="DS92" s="1049"/>
      <c r="DT92" s="1049"/>
      <c r="DU92" s="1049"/>
      <c r="DV92" s="1049"/>
      <c r="DW92" s="1049"/>
      <c r="DX92" s="1049"/>
      <c r="DY92" s="1049"/>
      <c r="DZ92" s="1049"/>
      <c r="EA92" s="1049"/>
      <c r="EB92" s="1049"/>
      <c r="EC92" s="1049"/>
      <c r="ED92" s="1049"/>
      <c r="EE92" s="1049"/>
      <c r="EF92" s="1049"/>
      <c r="EG92" s="1049"/>
      <c r="EH92" s="1049"/>
      <c r="EI92" s="1049"/>
      <c r="EJ92" s="1049"/>
      <c r="EK92" s="1049"/>
      <c r="EL92" s="1049"/>
      <c r="EM92" s="1049"/>
      <c r="EN92" s="1049"/>
      <c r="EO92" s="1049"/>
      <c r="EP92" s="1049"/>
      <c r="EQ92" s="1049"/>
      <c r="ER92" s="1049"/>
      <c r="ES92" s="1049"/>
      <c r="ET92" s="1049"/>
      <c r="EU92" s="1049"/>
      <c r="EV92" s="1049"/>
      <c r="EW92" s="1049"/>
      <c r="EX92" s="1049"/>
      <c r="EY92" s="1049"/>
      <c r="EZ92" s="1049"/>
      <c r="FA92" s="1049"/>
      <c r="FB92" s="1049"/>
      <c r="FC92" s="1049"/>
      <c r="FD92" s="1049"/>
      <c r="FE92" s="1049"/>
      <c r="FF92" s="1049"/>
      <c r="FG92" s="1049"/>
      <c r="FH92" s="1049"/>
      <c r="FI92" s="1049"/>
      <c r="FJ92" s="1049"/>
      <c r="FK92" s="1049"/>
      <c r="FL92" s="1049"/>
      <c r="FM92" s="1049"/>
      <c r="FN92" s="1049"/>
      <c r="FO92" s="1049"/>
      <c r="FP92" s="1049"/>
      <c r="FQ92" s="1049"/>
      <c r="FR92" s="1049"/>
      <c r="FS92" s="1049"/>
      <c r="FT92" s="1049"/>
      <c r="FU92" s="1049"/>
      <c r="FV92" s="1049"/>
      <c r="FW92" s="1049"/>
      <c r="FX92" s="1049"/>
      <c r="FY92" s="1049"/>
      <c r="FZ92" s="1049"/>
      <c r="GA92" s="1049"/>
      <c r="GB92" s="1049"/>
      <c r="GC92" s="1049"/>
      <c r="GD92" s="1049"/>
      <c r="GE92" s="1049"/>
      <c r="GF92" s="1049"/>
      <c r="GG92" s="1049"/>
      <c r="GH92" s="1049"/>
      <c r="GI92" s="1049"/>
      <c r="GJ92" s="1049"/>
      <c r="GK92" s="1049"/>
      <c r="GL92" s="1049"/>
      <c r="GM92" s="1049"/>
      <c r="GN92" s="1049"/>
      <c r="GO92" s="1049"/>
      <c r="GP92" s="1049"/>
      <c r="GQ92" s="1049"/>
      <c r="GR92" s="1049"/>
      <c r="GS92" s="1049"/>
      <c r="GT92" s="1049"/>
      <c r="GU92" s="1049"/>
      <c r="GV92" s="1049"/>
      <c r="GW92" s="1049"/>
      <c r="GX92" s="1049"/>
      <c r="GY92" s="1049"/>
      <c r="GZ92" s="1049"/>
      <c r="HA92" s="1049"/>
      <c r="HB92" s="1049"/>
      <c r="HC92" s="1049"/>
      <c r="HD92" s="1049"/>
      <c r="HE92" s="1049"/>
      <c r="HF92" s="1049"/>
      <c r="HG92" s="1049"/>
      <c r="HH92" s="1049"/>
      <c r="HI92" s="1049"/>
      <c r="HJ92" s="1049"/>
      <c r="HK92" s="1049"/>
      <c r="HL92" s="1049"/>
      <c r="HM92" s="1049"/>
      <c r="HN92" s="1049"/>
      <c r="HO92" s="1049"/>
      <c r="HP92" s="1049"/>
      <c r="HQ92" s="1049"/>
      <c r="HR92" s="1049"/>
      <c r="HS92" s="1049"/>
      <c r="HT92" s="1049"/>
      <c r="HU92" s="1049"/>
      <c r="HV92" s="1049"/>
      <c r="HW92" s="1049"/>
      <c r="HX92" s="1078"/>
      <c r="HY92" s="1049"/>
      <c r="HZ92" s="1049"/>
      <c r="IA92" s="1049"/>
      <c r="IB92" s="1049"/>
      <c r="IC92" s="1078"/>
      <c r="ID92" s="1078"/>
      <c r="IE92" s="1049"/>
      <c r="IF92" s="1049"/>
      <c r="IG92" s="1049"/>
      <c r="IH92" s="1049"/>
      <c r="II92" s="1049"/>
      <c r="IJ92" s="1049"/>
      <c r="IK92" s="1086"/>
      <c r="IL92" s="1086"/>
      <c r="IM92" s="1086"/>
      <c r="IN92" s="1086"/>
      <c r="IO92" s="1086"/>
      <c r="IP92" s="1086"/>
      <c r="IQ92" s="1086"/>
      <c r="IR92" s="1086"/>
      <c r="IS92" s="1086"/>
      <c r="IT92" s="1086"/>
      <c r="IU92" s="1086"/>
      <c r="IV92" s="1086"/>
      <c r="IW92" s="1086"/>
      <c r="IX92" s="1086"/>
      <c r="IY92" s="1086"/>
      <c r="IZ92" s="1086"/>
      <c r="JA92" s="1086"/>
      <c r="JB92" s="1086"/>
      <c r="JC92" s="1086"/>
      <c r="JD92" s="1086"/>
      <c r="JE92" s="1086"/>
      <c r="JF92" s="1086"/>
      <c r="JG92" s="1086"/>
      <c r="JH92" s="1086"/>
      <c r="JI92" s="1086"/>
      <c r="JJ92" s="1086"/>
      <c r="JK92" s="1086"/>
      <c r="JL92" s="1086"/>
      <c r="JM92" s="1086"/>
      <c r="JN92" s="1086"/>
      <c r="JO92" s="1086"/>
      <c r="JP92" s="1086"/>
      <c r="JQ92" s="1086"/>
      <c r="JR92" s="1086"/>
      <c r="JS92" s="1086"/>
      <c r="JT92" s="1086"/>
      <c r="JU92" s="1086"/>
      <c r="JV92" s="1086"/>
      <c r="JW92" s="1086"/>
      <c r="JX92" s="1086"/>
      <c r="JY92" s="1086"/>
      <c r="JZ92" s="1086"/>
      <c r="KA92" s="1086"/>
      <c r="KB92" s="1086"/>
      <c r="KC92" s="1086"/>
      <c r="KD92" s="1086"/>
      <c r="KE92" s="1086"/>
      <c r="KF92" s="1086"/>
      <c r="KG92" s="1086"/>
      <c r="KH92" s="1086"/>
      <c r="KI92" s="1086"/>
      <c r="KJ92" s="1086"/>
      <c r="KK92" s="1086"/>
      <c r="KL92" s="1086"/>
      <c r="KM92" s="1086"/>
      <c r="KN92" s="1086"/>
      <c r="KO92" s="1086"/>
      <c r="KP92" s="1086"/>
      <c r="KQ92" s="1086"/>
      <c r="KR92" s="1086"/>
      <c r="KS92" s="1086"/>
      <c r="KT92" s="1086"/>
      <c r="KU92" s="1086"/>
      <c r="KV92" s="1086"/>
      <c r="KW92" s="1086"/>
      <c r="KX92" s="1086"/>
      <c r="KY92" s="1086"/>
      <c r="KZ92" s="1086"/>
      <c r="LA92" s="1086"/>
      <c r="LB92" s="1086"/>
      <c r="LC92" s="1086"/>
      <c r="LD92" s="1086"/>
      <c r="LE92" s="1086"/>
      <c r="LF92" s="1086"/>
      <c r="LG92" s="1086"/>
      <c r="LH92" s="1086"/>
      <c r="LI92" s="1086"/>
      <c r="LJ92" s="1086"/>
      <c r="LK92" s="1086"/>
      <c r="LL92" s="1086"/>
      <c r="LM92" s="1086"/>
      <c r="LN92" s="1086"/>
      <c r="LO92" s="1086"/>
      <c r="LP92" s="1086"/>
      <c r="LQ92" s="1086"/>
      <c r="LR92" s="1086"/>
      <c r="LS92" s="1086"/>
      <c r="LT92" s="1086"/>
      <c r="LU92" s="1086"/>
      <c r="LV92" s="1086"/>
      <c r="LW92" s="1086"/>
      <c r="LX92" s="1086"/>
      <c r="LY92" s="1086"/>
      <c r="LZ92" s="1086"/>
      <c r="MA92" s="1086"/>
      <c r="MB92" s="1086"/>
      <c r="MC92" s="1086"/>
      <c r="MD92" s="1086"/>
      <c r="ME92" s="1086"/>
      <c r="MF92" s="1086"/>
      <c r="MG92" s="1086"/>
      <c r="MH92" s="1086"/>
      <c r="MI92" s="1086"/>
      <c r="MJ92" s="1086"/>
      <c r="MK92" s="1086"/>
      <c r="ML92" s="1086"/>
      <c r="MM92" s="1086"/>
      <c r="MN92" s="1086"/>
      <c r="MO92" s="1086"/>
      <c r="MP92" s="1086"/>
      <c r="MQ92" s="1086"/>
      <c r="MR92" s="1086"/>
      <c r="MS92" s="1086"/>
      <c r="MT92" s="1086"/>
      <c r="MU92" s="1086"/>
      <c r="MV92" s="1086"/>
      <c r="MW92" s="1086"/>
      <c r="MX92" s="1086"/>
      <c r="MY92" s="1086"/>
      <c r="MZ92" s="1086"/>
      <c r="NA92" s="1086"/>
      <c r="NB92" s="1086"/>
      <c r="NC92" s="1086"/>
      <c r="ND92" s="1086"/>
      <c r="NE92" s="1086"/>
    </row>
    <row r="93" customFormat="1" spans="1:369">
      <c r="A93" s="941" t="s">
        <v>2765</v>
      </c>
      <c r="B93" s="1049" t="str">
        <f>IF(OR(A93="说服",A93="话术",A93="取悦",A93="恐吓"),"☯",IF(ISNUMBER(SEARCH(A93,VLOOKUP(IX$2,职业列表!$B$1:$G$370,6,0))),"★",""))</f>
        <v/>
      </c>
      <c r="C93" s="969" t="str">
        <f>IF(ISTEXT(IFERROR(VLOOKUP(A93,职业列表!I30:J37,1,FALSE),0)),"★","")</f>
        <v/>
      </c>
      <c r="D93" s="1049"/>
      <c r="E93" s="1049"/>
      <c r="F93" s="1049"/>
      <c r="G93" s="1049"/>
      <c r="H93" s="1049"/>
      <c r="I93" s="1049"/>
      <c r="J93" s="1049"/>
      <c r="K93" s="1049"/>
      <c r="L93" s="1049"/>
      <c r="M93" s="1049"/>
      <c r="N93" s="1049"/>
      <c r="O93" s="1049"/>
      <c r="P93" s="1049"/>
      <c r="Q93" s="1049"/>
      <c r="R93" s="1049"/>
      <c r="S93" s="1049"/>
      <c r="T93" s="1049"/>
      <c r="U93" s="1049"/>
      <c r="V93" s="1049"/>
      <c r="W93" s="1049"/>
      <c r="X93" s="1049"/>
      <c r="Y93" s="1049"/>
      <c r="Z93" s="1049"/>
      <c r="AA93" s="1049"/>
      <c r="AB93" s="1049"/>
      <c r="AC93" s="1049"/>
      <c r="AD93" s="1049"/>
      <c r="AE93" s="1049"/>
      <c r="AF93" s="1049"/>
      <c r="AG93" s="1049"/>
      <c r="AH93" s="1049"/>
      <c r="AI93" s="1049"/>
      <c r="AJ93" s="1049"/>
      <c r="AK93" s="1049"/>
      <c r="AL93" s="1049"/>
      <c r="AM93" s="1049"/>
      <c r="AN93" s="1049"/>
      <c r="AO93" s="1049"/>
      <c r="AP93" s="1049"/>
      <c r="AQ93" s="1049"/>
      <c r="AR93" s="1049"/>
      <c r="AS93" s="1049"/>
      <c r="AT93" s="1049"/>
      <c r="AU93" s="1049"/>
      <c r="AV93" s="1049"/>
      <c r="AW93" s="1049"/>
      <c r="AX93" s="1049"/>
      <c r="AY93" s="1049"/>
      <c r="AZ93" s="1049"/>
      <c r="BA93" s="1049"/>
      <c r="BB93" s="1049"/>
      <c r="BC93" s="1049"/>
      <c r="BD93" s="1049"/>
      <c r="BE93" s="1049"/>
      <c r="BF93" s="1049"/>
      <c r="BG93" s="1049"/>
      <c r="BH93" s="1049"/>
      <c r="BI93" s="1049"/>
      <c r="BJ93" s="1049"/>
      <c r="BK93" s="1049"/>
      <c r="BL93" s="1049"/>
      <c r="BM93" s="1049"/>
      <c r="BN93" s="1049"/>
      <c r="BO93" s="1049"/>
      <c r="BP93" s="1049"/>
      <c r="BQ93" s="1049"/>
      <c r="BR93" s="1049"/>
      <c r="BS93" s="1049"/>
      <c r="BT93" s="1049"/>
      <c r="BU93" s="1049"/>
      <c r="BV93" s="1049"/>
      <c r="BW93" s="1049"/>
      <c r="BX93" s="1049"/>
      <c r="BY93" s="1049"/>
      <c r="BZ93" s="1049"/>
      <c r="CA93" s="1049"/>
      <c r="CB93" s="1049"/>
      <c r="CC93" s="1049"/>
      <c r="CD93" s="1049"/>
      <c r="CE93" s="1049"/>
      <c r="CF93" s="1049"/>
      <c r="CG93" s="1049"/>
      <c r="CH93" s="1049"/>
      <c r="CI93" s="1049"/>
      <c r="CJ93" s="1049"/>
      <c r="CK93" s="1049"/>
      <c r="CL93" s="1049"/>
      <c r="CM93" s="1049"/>
      <c r="CN93" s="1049"/>
      <c r="CO93" s="1049"/>
      <c r="CP93" s="1049"/>
      <c r="CQ93" s="1049"/>
      <c r="CR93" s="1049"/>
      <c r="CS93" s="1049"/>
      <c r="CT93" s="1049"/>
      <c r="CU93" s="1049"/>
      <c r="CV93" s="1049"/>
      <c r="CW93" s="1049"/>
      <c r="CX93" s="1049"/>
      <c r="CY93" s="1049"/>
      <c r="CZ93" s="1049"/>
      <c r="DA93" s="1049"/>
      <c r="DB93" s="1049"/>
      <c r="DC93" s="1049"/>
      <c r="DD93" s="1049"/>
      <c r="DE93" s="1049"/>
      <c r="DF93" s="1049"/>
      <c r="DG93" s="1049"/>
      <c r="DH93" s="1049"/>
      <c r="DI93" s="1049"/>
      <c r="DJ93" s="1049"/>
      <c r="DK93" s="1049"/>
      <c r="DL93" s="1049"/>
      <c r="DM93" s="1049"/>
      <c r="DN93" s="1049"/>
      <c r="DO93" s="1049"/>
      <c r="DP93" s="1049"/>
      <c r="DQ93" s="1049"/>
      <c r="DR93" s="1049"/>
      <c r="DS93" s="1049"/>
      <c r="DT93" s="1049"/>
      <c r="DU93" s="1049"/>
      <c r="DV93" s="1049"/>
      <c r="DW93" s="1049"/>
      <c r="DX93" s="1049"/>
      <c r="DY93" s="1049"/>
      <c r="DZ93" s="1049"/>
      <c r="EA93" s="1049"/>
      <c r="EB93" s="1049"/>
      <c r="EC93" s="1049"/>
      <c r="ED93" s="1049"/>
      <c r="EE93" s="1049"/>
      <c r="EF93" s="1049"/>
      <c r="EG93" s="1049"/>
      <c r="EH93" s="1049"/>
      <c r="EI93" s="1049"/>
      <c r="EJ93" s="1049"/>
      <c r="EK93" s="1049"/>
      <c r="EL93" s="1049"/>
      <c r="EM93" s="1049"/>
      <c r="EN93" s="1049"/>
      <c r="EO93" s="1049"/>
      <c r="EP93" s="1049"/>
      <c r="EQ93" s="1049"/>
      <c r="ER93" s="1049"/>
      <c r="ES93" s="1049"/>
      <c r="ET93" s="1049"/>
      <c r="EU93" s="1049"/>
      <c r="EV93" s="1049"/>
      <c r="EW93" s="1049"/>
      <c r="EX93" s="1049"/>
      <c r="EY93" s="1049"/>
      <c r="EZ93" s="1049"/>
      <c r="FA93" s="1049"/>
      <c r="FB93" s="1049"/>
      <c r="FC93" s="1049"/>
      <c r="FD93" s="1049"/>
      <c r="FE93" s="1049"/>
      <c r="FF93" s="1049"/>
      <c r="FG93" s="1049"/>
      <c r="FH93" s="1049"/>
      <c r="FI93" s="1049"/>
      <c r="FJ93" s="1049"/>
      <c r="FK93" s="1049"/>
      <c r="FL93" s="1049"/>
      <c r="FM93" s="1049"/>
      <c r="FN93" s="1049"/>
      <c r="FO93" s="1049"/>
      <c r="FP93" s="1049"/>
      <c r="FQ93" s="1049"/>
      <c r="FR93" s="1049"/>
      <c r="FS93" s="1049"/>
      <c r="FT93" s="1049"/>
      <c r="FU93" s="1049"/>
      <c r="FV93" s="1049"/>
      <c r="FW93" s="1049"/>
      <c r="FX93" s="1049"/>
      <c r="FY93" s="1049"/>
      <c r="FZ93" s="1049"/>
      <c r="GA93" s="1049"/>
      <c r="GB93" s="1049"/>
      <c r="GC93" s="1049"/>
      <c r="GD93" s="1049"/>
      <c r="GE93" s="1049"/>
      <c r="GF93" s="1049"/>
      <c r="GG93" s="1049"/>
      <c r="GH93" s="1049"/>
      <c r="GI93" s="1049"/>
      <c r="GJ93" s="1049"/>
      <c r="GK93" s="1049"/>
      <c r="GL93" s="1049"/>
      <c r="GM93" s="1049"/>
      <c r="GN93" s="1049"/>
      <c r="GO93" s="1049"/>
      <c r="GP93" s="1049"/>
      <c r="GQ93" s="1049"/>
      <c r="GR93" s="1049"/>
      <c r="GS93" s="1049"/>
      <c r="GT93" s="1049"/>
      <c r="GU93" s="1049"/>
      <c r="GV93" s="1049"/>
      <c r="GW93" s="1049"/>
      <c r="GX93" s="1049"/>
      <c r="GY93" s="1049"/>
      <c r="GZ93" s="1049"/>
      <c r="HA93" s="1049"/>
      <c r="HB93" s="1049"/>
      <c r="HC93" s="1049"/>
      <c r="HD93" s="1049"/>
      <c r="HE93" s="1049"/>
      <c r="HF93" s="1049"/>
      <c r="HG93" s="1049"/>
      <c r="HH93" s="1049"/>
      <c r="HI93" s="1049"/>
      <c r="HJ93" s="1049"/>
      <c r="HK93" s="1049"/>
      <c r="HL93" s="1049"/>
      <c r="HM93" s="1049"/>
      <c r="HN93" s="1049"/>
      <c r="HO93" s="1049"/>
      <c r="HP93" s="1049"/>
      <c r="HQ93" s="1049"/>
      <c r="HR93" s="1049"/>
      <c r="HS93" s="1049"/>
      <c r="HT93" s="1049"/>
      <c r="HU93" s="1049"/>
      <c r="HV93" s="1049"/>
      <c r="HW93" s="1049"/>
      <c r="HX93" s="1078"/>
      <c r="HY93" s="1049"/>
      <c r="HZ93" s="1049"/>
      <c r="IA93" s="1049"/>
      <c r="IB93" s="1049"/>
      <c r="IC93" s="1078"/>
      <c r="ID93" s="1078"/>
      <c r="IE93" s="1049"/>
      <c r="IF93" s="1049"/>
      <c r="IG93" s="1049"/>
      <c r="IH93" s="1049"/>
      <c r="II93" s="1049"/>
      <c r="IJ93" s="1049"/>
      <c r="IK93" s="1086"/>
      <c r="IL93" s="1086"/>
      <c r="IM93" s="1086"/>
      <c r="IN93" s="1086"/>
      <c r="IO93" s="1086"/>
      <c r="IP93" s="1086"/>
      <c r="IQ93" s="1086"/>
      <c r="IR93" s="1086"/>
      <c r="IS93" s="1086"/>
      <c r="IT93" s="1086"/>
      <c r="IU93" s="1086"/>
      <c r="IV93" s="1086"/>
      <c r="IW93" s="1086"/>
      <c r="IX93" s="1086"/>
      <c r="IY93" s="1086"/>
      <c r="IZ93" s="1086"/>
      <c r="JA93" s="1086"/>
      <c r="JB93" s="1086"/>
      <c r="JC93" s="1086"/>
      <c r="JD93" s="1086"/>
      <c r="JE93" s="1086"/>
      <c r="JF93" s="1086"/>
      <c r="JG93" s="1086"/>
      <c r="JH93" s="1086"/>
      <c r="JI93" s="1086"/>
      <c r="JJ93" s="1086"/>
      <c r="JK93" s="1086"/>
      <c r="JL93" s="1086"/>
      <c r="JM93" s="1086"/>
      <c r="JN93" s="1086"/>
      <c r="JO93" s="1086"/>
      <c r="JP93" s="1086"/>
      <c r="JQ93" s="1086"/>
      <c r="JR93" s="1086"/>
      <c r="JS93" s="1086"/>
      <c r="JT93" s="1086"/>
      <c r="JU93" s="1086"/>
      <c r="JV93" s="1086"/>
      <c r="JW93" s="1086"/>
      <c r="JX93" s="1086"/>
      <c r="JY93" s="1086"/>
      <c r="JZ93" s="1086"/>
      <c r="KA93" s="1086"/>
      <c r="KB93" s="1086"/>
      <c r="KC93" s="1086"/>
      <c r="KD93" s="1086"/>
      <c r="KE93" s="1086"/>
      <c r="KF93" s="1086"/>
      <c r="KG93" s="1086"/>
      <c r="KH93" s="1086"/>
      <c r="KI93" s="1086"/>
      <c r="KJ93" s="1086"/>
      <c r="KK93" s="1086"/>
      <c r="KL93" s="1086"/>
      <c r="KM93" s="1086"/>
      <c r="KN93" s="1086"/>
      <c r="KO93" s="1086"/>
      <c r="KP93" s="1086"/>
      <c r="KQ93" s="1086"/>
      <c r="KR93" s="1086"/>
      <c r="KS93" s="1086"/>
      <c r="KT93" s="1086"/>
      <c r="KU93" s="1086"/>
      <c r="KV93" s="1086"/>
      <c r="KW93" s="1086"/>
      <c r="KX93" s="1086"/>
      <c r="KY93" s="1086"/>
      <c r="KZ93" s="1086"/>
      <c r="LA93" s="1086"/>
      <c r="LB93" s="1086"/>
      <c r="LC93" s="1086"/>
      <c r="LD93" s="1086"/>
      <c r="LE93" s="1086"/>
      <c r="LF93" s="1086"/>
      <c r="LG93" s="1086"/>
      <c r="LH93" s="1086"/>
      <c r="LI93" s="1086"/>
      <c r="LJ93" s="1086"/>
      <c r="LK93" s="1086"/>
      <c r="LL93" s="1086"/>
      <c r="LM93" s="1086"/>
      <c r="LN93" s="1086"/>
      <c r="LO93" s="1086"/>
      <c r="LP93" s="1086"/>
      <c r="LQ93" s="1086"/>
      <c r="LR93" s="1086"/>
      <c r="LS93" s="1086"/>
      <c r="LT93" s="1086"/>
      <c r="LU93" s="1086"/>
      <c r="LV93" s="1086"/>
      <c r="LW93" s="1086"/>
      <c r="LX93" s="1086"/>
      <c r="LY93" s="1086"/>
      <c r="LZ93" s="1086"/>
      <c r="MA93" s="1086"/>
      <c r="MB93" s="1086"/>
      <c r="MC93" s="1086"/>
      <c r="MD93" s="1086"/>
      <c r="ME93" s="1086"/>
      <c r="MF93" s="1086"/>
      <c r="MG93" s="1086"/>
      <c r="MH93" s="1086"/>
      <c r="MI93" s="1086"/>
      <c r="MJ93" s="1086"/>
      <c r="MK93" s="1086"/>
      <c r="ML93" s="1086"/>
      <c r="MM93" s="1086"/>
      <c r="MN93" s="1086"/>
      <c r="MO93" s="1086"/>
      <c r="MP93" s="1086"/>
      <c r="MQ93" s="1086"/>
      <c r="MR93" s="1086"/>
      <c r="MS93" s="1086"/>
      <c r="MT93" s="1086"/>
      <c r="MU93" s="1086"/>
      <c r="MV93" s="1086"/>
      <c r="MW93" s="1086"/>
      <c r="MX93" s="1086"/>
      <c r="MY93" s="1086"/>
      <c r="MZ93" s="1086"/>
      <c r="NA93" s="1086"/>
      <c r="NB93" s="1086"/>
      <c r="NC93" s="1086"/>
      <c r="ND93" s="1086"/>
      <c r="NE93" s="1086"/>
    </row>
    <row r="94" customFormat="1" spans="1:369">
      <c r="A94" s="1064" t="s">
        <v>182</v>
      </c>
      <c r="B94" s="1065" t="str">
        <f>IF(OR(A94="说服",A94="话术",A94="取悦",A94="恐吓"),"☯",IF(ISNUMBER(SEARCH(A94,VLOOKUP(IX$2,职业列表!$B$1:$G$370,6,0))),"★",""))</f>
        <v/>
      </c>
      <c r="C94" s="1066" t="str">
        <f>IF(ISTEXT(IFERROR(VLOOKUP(A94,职业列表!I30:J37,1,FALSE),0)),"★","")</f>
        <v/>
      </c>
      <c r="D94" s="1065"/>
      <c r="E94" s="1065"/>
      <c r="F94" s="1065"/>
      <c r="G94" s="1065"/>
      <c r="H94" s="1065"/>
      <c r="I94" s="1065"/>
      <c r="J94" s="1065"/>
      <c r="K94" s="1065"/>
      <c r="L94" s="1065"/>
      <c r="M94" s="1065"/>
      <c r="N94" s="1065"/>
      <c r="O94" s="1065"/>
      <c r="P94" s="1065"/>
      <c r="Q94" s="1065"/>
      <c r="R94" s="1065"/>
      <c r="S94" s="1065"/>
      <c r="T94" s="1065"/>
      <c r="U94" s="1065"/>
      <c r="V94" s="1065"/>
      <c r="W94" s="1065"/>
      <c r="X94" s="1065"/>
      <c r="Y94" s="1065"/>
      <c r="Z94" s="1065"/>
      <c r="AA94" s="1065"/>
      <c r="AB94" s="1065"/>
      <c r="AC94" s="1065"/>
      <c r="AD94" s="1065"/>
      <c r="AE94" s="1065"/>
      <c r="AF94" s="1065"/>
      <c r="AG94" s="1065"/>
      <c r="AH94" s="1065"/>
      <c r="AI94" s="1065"/>
      <c r="AJ94" s="1065"/>
      <c r="AK94" s="1065"/>
      <c r="AL94" s="1065"/>
      <c r="AM94" s="1065"/>
      <c r="AN94" s="1065"/>
      <c r="AO94" s="1065"/>
      <c r="AP94" s="1065"/>
      <c r="AQ94" s="1065"/>
      <c r="AR94" s="1065"/>
      <c r="AS94" s="1065"/>
      <c r="AT94" s="1065"/>
      <c r="AU94" s="1065"/>
      <c r="AV94" s="1065"/>
      <c r="AW94" s="1065"/>
      <c r="AX94" s="1065"/>
      <c r="AY94" s="1065"/>
      <c r="AZ94" s="1065"/>
      <c r="BA94" s="1065"/>
      <c r="BB94" s="1065"/>
      <c r="BC94" s="1065"/>
      <c r="BD94" s="1065"/>
      <c r="BE94" s="1065"/>
      <c r="BF94" s="1065"/>
      <c r="BG94" s="1065"/>
      <c r="BH94" s="1065"/>
      <c r="BI94" s="1065"/>
      <c r="BJ94" s="1065"/>
      <c r="BK94" s="1065"/>
      <c r="BL94" s="1065"/>
      <c r="BM94" s="1065"/>
      <c r="BN94" s="1065"/>
      <c r="BO94" s="1065"/>
      <c r="BP94" s="1065"/>
      <c r="BQ94" s="1065"/>
      <c r="BR94" s="1065"/>
      <c r="BS94" s="1065"/>
      <c r="BT94" s="1065"/>
      <c r="BU94" s="1065"/>
      <c r="BV94" s="1065"/>
      <c r="BW94" s="1065"/>
      <c r="BX94" s="1065"/>
      <c r="BY94" s="1065"/>
      <c r="BZ94" s="1065"/>
      <c r="CA94" s="1065"/>
      <c r="CB94" s="1065"/>
      <c r="CC94" s="1065"/>
      <c r="CD94" s="1065"/>
      <c r="CE94" s="1065"/>
      <c r="CF94" s="1065"/>
      <c r="CG94" s="1065"/>
      <c r="CH94" s="1065"/>
      <c r="CI94" s="1065"/>
      <c r="CJ94" s="1065"/>
      <c r="CK94" s="1065"/>
      <c r="CL94" s="1065"/>
      <c r="CM94" s="1065"/>
      <c r="CN94" s="1065"/>
      <c r="CO94" s="1065"/>
      <c r="CP94" s="1065"/>
      <c r="CQ94" s="1065"/>
      <c r="CR94" s="1065"/>
      <c r="CS94" s="1065"/>
      <c r="CT94" s="1065"/>
      <c r="CU94" s="1065"/>
      <c r="CV94" s="1065"/>
      <c r="CW94" s="1065"/>
      <c r="CX94" s="1065"/>
      <c r="CY94" s="1065"/>
      <c r="CZ94" s="1065"/>
      <c r="DA94" s="1065"/>
      <c r="DB94" s="1065"/>
      <c r="DC94" s="1065"/>
      <c r="DD94" s="1065"/>
      <c r="DE94" s="1065"/>
      <c r="DF94" s="1065"/>
      <c r="DG94" s="1065"/>
      <c r="DH94" s="1065"/>
      <c r="DI94" s="1065"/>
      <c r="DJ94" s="1065"/>
      <c r="DK94" s="1065"/>
      <c r="DL94" s="1065"/>
      <c r="DM94" s="1065"/>
      <c r="DN94" s="1065"/>
      <c r="DO94" s="1065"/>
      <c r="DP94" s="1065"/>
      <c r="DQ94" s="1065"/>
      <c r="DR94" s="1065"/>
      <c r="DS94" s="1065"/>
      <c r="DT94" s="1065"/>
      <c r="DU94" s="1065"/>
      <c r="DV94" s="1065"/>
      <c r="DW94" s="1065"/>
      <c r="DX94" s="1065"/>
      <c r="DY94" s="1065"/>
      <c r="DZ94" s="1065"/>
      <c r="EA94" s="1065"/>
      <c r="EB94" s="1065"/>
      <c r="EC94" s="1065"/>
      <c r="ED94" s="1065"/>
      <c r="EE94" s="1065"/>
      <c r="EF94" s="1065"/>
      <c r="EG94" s="1065"/>
      <c r="EH94" s="1065"/>
      <c r="EI94" s="1065"/>
      <c r="EJ94" s="1065"/>
      <c r="EK94" s="1065"/>
      <c r="EL94" s="1065"/>
      <c r="EM94" s="1065"/>
      <c r="EN94" s="1065"/>
      <c r="EO94" s="1065"/>
      <c r="EP94" s="1065"/>
      <c r="EQ94" s="1065"/>
      <c r="ER94" s="1065"/>
      <c r="ES94" s="1065"/>
      <c r="ET94" s="1065"/>
      <c r="EU94" s="1065"/>
      <c r="EV94" s="1065"/>
      <c r="EW94" s="1065"/>
      <c r="EX94" s="1065"/>
      <c r="EY94" s="1065"/>
      <c r="EZ94" s="1065"/>
      <c r="FA94" s="1065"/>
      <c r="FB94" s="1065"/>
      <c r="FC94" s="1065"/>
      <c r="FD94" s="1065"/>
      <c r="FE94" s="1065"/>
      <c r="FF94" s="1065"/>
      <c r="FG94" s="1065"/>
      <c r="FH94" s="1065"/>
      <c r="FI94" s="1065"/>
      <c r="FJ94" s="1065"/>
      <c r="FK94" s="1065"/>
      <c r="FL94" s="1065"/>
      <c r="FM94" s="1065"/>
      <c r="FN94" s="1065"/>
      <c r="FO94" s="1065"/>
      <c r="FP94" s="1065"/>
      <c r="FQ94" s="1065"/>
      <c r="FR94" s="1065"/>
      <c r="FS94" s="1065"/>
      <c r="FT94" s="1065"/>
      <c r="FU94" s="1065"/>
      <c r="FV94" s="1065"/>
      <c r="FW94" s="1065"/>
      <c r="FX94" s="1065"/>
      <c r="FY94" s="1065"/>
      <c r="FZ94" s="1065"/>
      <c r="GA94" s="1065"/>
      <c r="GB94" s="1065"/>
      <c r="GC94" s="1065"/>
      <c r="GD94" s="1065"/>
      <c r="GE94" s="1065"/>
      <c r="GF94" s="1065"/>
      <c r="GG94" s="1065"/>
      <c r="GH94" s="1065"/>
      <c r="GI94" s="1065"/>
      <c r="GJ94" s="1065"/>
      <c r="GK94" s="1065"/>
      <c r="GL94" s="1065"/>
      <c r="GM94" s="1065"/>
      <c r="GN94" s="1065"/>
      <c r="GO94" s="1065"/>
      <c r="GP94" s="1065"/>
      <c r="GQ94" s="1065"/>
      <c r="GR94" s="1065"/>
      <c r="GS94" s="1065"/>
      <c r="GT94" s="1065"/>
      <c r="GU94" s="1065"/>
      <c r="GV94" s="1065"/>
      <c r="GW94" s="1065"/>
      <c r="GX94" s="1065"/>
      <c r="GY94" s="1065"/>
      <c r="GZ94" s="1065"/>
      <c r="HA94" s="1065"/>
      <c r="HB94" s="1065"/>
      <c r="HC94" s="1065"/>
      <c r="HD94" s="1065"/>
      <c r="HE94" s="1065"/>
      <c r="HF94" s="1065"/>
      <c r="HG94" s="1065"/>
      <c r="HH94" s="1065"/>
      <c r="HI94" s="1065"/>
      <c r="HJ94" s="1065"/>
      <c r="HK94" s="1065"/>
      <c r="HL94" s="1065"/>
      <c r="HM94" s="1065"/>
      <c r="HN94" s="1065"/>
      <c r="HO94" s="1065"/>
      <c r="HP94" s="1065"/>
      <c r="HQ94" s="1065"/>
      <c r="HR94" s="1065"/>
      <c r="HS94" s="1065"/>
      <c r="HT94" s="1065"/>
      <c r="HU94" s="1065"/>
      <c r="HV94" s="1065"/>
      <c r="HW94" s="1065"/>
      <c r="HX94" s="1079"/>
      <c r="HY94" s="1065"/>
      <c r="HZ94" s="1065"/>
      <c r="IA94" s="1065"/>
      <c r="IB94" s="1065"/>
      <c r="IC94" s="1079"/>
      <c r="ID94" s="1079"/>
      <c r="IE94" s="1065"/>
      <c r="IF94" s="1065"/>
      <c r="IG94" s="1065"/>
      <c r="IH94" s="1065"/>
      <c r="II94" s="1065"/>
      <c r="IJ94" s="1065"/>
      <c r="IK94" s="1087"/>
      <c r="IL94" s="1087"/>
      <c r="IM94" s="1087"/>
      <c r="IN94" s="1087"/>
      <c r="IO94" s="1087"/>
      <c r="IP94" s="1087"/>
      <c r="IQ94" s="1087"/>
      <c r="IR94" s="1087"/>
      <c r="IS94" s="1087"/>
      <c r="IT94" s="1087"/>
      <c r="IU94" s="1087"/>
      <c r="IV94" s="1087"/>
      <c r="IW94" s="1087"/>
      <c r="IX94" s="1087"/>
      <c r="IY94" s="1087"/>
      <c r="IZ94" s="1087"/>
      <c r="JA94" s="1087"/>
      <c r="JB94" s="1087"/>
      <c r="JC94" s="1087"/>
      <c r="JD94" s="1087"/>
      <c r="JE94" s="1087"/>
      <c r="JF94" s="1087"/>
      <c r="JG94" s="1087"/>
      <c r="JH94" s="1087"/>
      <c r="JI94" s="1087"/>
      <c r="JJ94" s="1087"/>
      <c r="JK94" s="1087"/>
      <c r="JL94" s="1087"/>
      <c r="JM94" s="1087"/>
      <c r="JN94" s="1087"/>
      <c r="JO94" s="1087"/>
      <c r="JP94" s="1087"/>
      <c r="JQ94" s="1087"/>
      <c r="JR94" s="1087"/>
      <c r="JS94" s="1087"/>
      <c r="JT94" s="1087"/>
      <c r="JU94" s="1087"/>
      <c r="JV94" s="1087"/>
      <c r="JW94" s="1087"/>
      <c r="JX94" s="1087"/>
      <c r="JY94" s="1087"/>
      <c r="JZ94" s="1087"/>
      <c r="KA94" s="1087"/>
      <c r="KB94" s="1087"/>
      <c r="KC94" s="1087"/>
      <c r="KD94" s="1087"/>
      <c r="KE94" s="1087"/>
      <c r="KF94" s="1087"/>
      <c r="KG94" s="1087"/>
      <c r="KH94" s="1087"/>
      <c r="KI94" s="1087"/>
      <c r="KJ94" s="1087"/>
      <c r="KK94" s="1087"/>
      <c r="KL94" s="1087"/>
      <c r="KM94" s="1087"/>
      <c r="KN94" s="1087"/>
      <c r="KO94" s="1087"/>
      <c r="KP94" s="1087"/>
      <c r="KQ94" s="1087"/>
      <c r="KR94" s="1087"/>
      <c r="KS94" s="1087"/>
      <c r="KT94" s="1087"/>
      <c r="KU94" s="1087"/>
      <c r="KV94" s="1087"/>
      <c r="KW94" s="1087"/>
      <c r="KX94" s="1087"/>
      <c r="KY94" s="1087"/>
      <c r="KZ94" s="1087"/>
      <c r="LA94" s="1087"/>
      <c r="LB94" s="1087"/>
      <c r="LC94" s="1087"/>
      <c r="LD94" s="1087"/>
      <c r="LE94" s="1087"/>
      <c r="LF94" s="1087"/>
      <c r="LG94" s="1087"/>
      <c r="LH94" s="1087"/>
      <c r="LI94" s="1087"/>
      <c r="LJ94" s="1087"/>
      <c r="LK94" s="1087"/>
      <c r="LL94" s="1087"/>
      <c r="LM94" s="1087"/>
      <c r="LN94" s="1087"/>
      <c r="LO94" s="1087"/>
      <c r="LP94" s="1087"/>
      <c r="LQ94" s="1087"/>
      <c r="LR94" s="1087"/>
      <c r="LS94" s="1087"/>
      <c r="LT94" s="1087"/>
      <c r="LU94" s="1087"/>
      <c r="LV94" s="1087"/>
      <c r="LW94" s="1087"/>
      <c r="LX94" s="1087"/>
      <c r="LY94" s="1087"/>
      <c r="LZ94" s="1087"/>
      <c r="MA94" s="1087"/>
      <c r="MB94" s="1087"/>
      <c r="MC94" s="1087"/>
      <c r="MD94" s="1087"/>
      <c r="ME94" s="1087"/>
      <c r="MF94" s="1087"/>
      <c r="MG94" s="1087"/>
      <c r="MH94" s="1087"/>
      <c r="MI94" s="1087"/>
      <c r="MJ94" s="1087"/>
      <c r="MK94" s="1087"/>
      <c r="ML94" s="1087"/>
      <c r="MM94" s="1087"/>
      <c r="MN94" s="1087"/>
      <c r="MO94" s="1087"/>
      <c r="MP94" s="1087"/>
      <c r="MQ94" s="1087"/>
      <c r="MR94" s="1087"/>
      <c r="MS94" s="1087"/>
      <c r="MT94" s="1087"/>
      <c r="MU94" s="1087"/>
      <c r="MV94" s="1087"/>
      <c r="MW94" s="1087"/>
      <c r="MX94" s="1087"/>
      <c r="MY94" s="1087"/>
      <c r="MZ94" s="1087"/>
      <c r="NA94" s="1087"/>
      <c r="NB94" s="1087"/>
      <c r="NC94" s="1087"/>
      <c r="ND94" s="1087"/>
      <c r="NE94" s="1087"/>
    </row>
    <row r="95" customFormat="1" spans="1:369">
      <c r="A95" s="1064" t="s">
        <v>183</v>
      </c>
      <c r="B95" s="1065" t="str">
        <f>IF(OR(A95="说服",A95="话术",A95="取悦",A95="恐吓"),"☯",IF(ISNUMBER(SEARCH(A95,VLOOKUP(IX$2,职业列表!$B$1:$G$370,6,0))),"★",""))</f>
        <v/>
      </c>
      <c r="C95" s="1067" t="str">
        <f>IF(ISTEXT(IFERROR(VLOOKUP(A95,职业列表!I30:J37,1,FALSE),0)),"★","")</f>
        <v/>
      </c>
      <c r="D95" s="1065"/>
      <c r="E95" s="1065"/>
      <c r="F95" s="1065"/>
      <c r="G95" s="1065"/>
      <c r="H95" s="1065"/>
      <c r="I95" s="1065"/>
      <c r="J95" s="1065"/>
      <c r="K95" s="1065"/>
      <c r="L95" s="1065"/>
      <c r="M95" s="1065"/>
      <c r="N95" s="1065"/>
      <c r="O95" s="1065"/>
      <c r="P95" s="1065"/>
      <c r="Q95" s="1065"/>
      <c r="R95" s="1065"/>
      <c r="S95" s="1065"/>
      <c r="T95" s="1065"/>
      <c r="U95" s="1065"/>
      <c r="V95" s="1065"/>
      <c r="W95" s="1065"/>
      <c r="X95" s="1065"/>
      <c r="Y95" s="1065"/>
      <c r="Z95" s="1065"/>
      <c r="AA95" s="1065"/>
      <c r="AB95" s="1065"/>
      <c r="AC95" s="1065"/>
      <c r="AD95" s="1065"/>
      <c r="AE95" s="1065"/>
      <c r="AF95" s="1065"/>
      <c r="AG95" s="1065"/>
      <c r="AH95" s="1065"/>
      <c r="AI95" s="1065"/>
      <c r="AJ95" s="1065"/>
      <c r="AK95" s="1065"/>
      <c r="AL95" s="1065"/>
      <c r="AM95" s="1065"/>
      <c r="AN95" s="1065"/>
      <c r="AO95" s="1065"/>
      <c r="AP95" s="1065"/>
      <c r="AQ95" s="1065"/>
      <c r="AR95" s="1065"/>
      <c r="AS95" s="1065"/>
      <c r="AT95" s="1065"/>
      <c r="AU95" s="1065"/>
      <c r="AV95" s="1065"/>
      <c r="AW95" s="1065"/>
      <c r="AX95" s="1065"/>
      <c r="AY95" s="1065"/>
      <c r="AZ95" s="1065"/>
      <c r="BA95" s="1065"/>
      <c r="BB95" s="1065"/>
      <c r="BC95" s="1065"/>
      <c r="BD95" s="1065"/>
      <c r="BE95" s="1065"/>
      <c r="BF95" s="1065"/>
      <c r="BG95" s="1065"/>
      <c r="BH95" s="1065"/>
      <c r="BI95" s="1065"/>
      <c r="BJ95" s="1065"/>
      <c r="BK95" s="1065"/>
      <c r="BL95" s="1065"/>
      <c r="BM95" s="1065"/>
      <c r="BN95" s="1065"/>
      <c r="BO95" s="1065"/>
      <c r="BP95" s="1065"/>
      <c r="BQ95" s="1065"/>
      <c r="BR95" s="1065"/>
      <c r="BS95" s="1065"/>
      <c r="BT95" s="1065"/>
      <c r="BU95" s="1065"/>
      <c r="BV95" s="1065"/>
      <c r="BW95" s="1065"/>
      <c r="BX95" s="1065"/>
      <c r="BY95" s="1065"/>
      <c r="BZ95" s="1065"/>
      <c r="CA95" s="1065"/>
      <c r="CB95" s="1065"/>
      <c r="CC95" s="1065"/>
      <c r="CD95" s="1065"/>
      <c r="CE95" s="1065"/>
      <c r="CF95" s="1065"/>
      <c r="CG95" s="1065"/>
      <c r="CH95" s="1065"/>
      <c r="CI95" s="1065"/>
      <c r="CJ95" s="1065"/>
      <c r="CK95" s="1065"/>
      <c r="CL95" s="1065"/>
      <c r="CM95" s="1065"/>
      <c r="CN95" s="1065"/>
      <c r="CO95" s="1065"/>
      <c r="CP95" s="1065"/>
      <c r="CQ95" s="1065"/>
      <c r="CR95" s="1065"/>
      <c r="CS95" s="1065"/>
      <c r="CT95" s="1065"/>
      <c r="CU95" s="1065"/>
      <c r="CV95" s="1065"/>
      <c r="CW95" s="1065"/>
      <c r="CX95" s="1065"/>
      <c r="CY95" s="1065"/>
      <c r="CZ95" s="1065"/>
      <c r="DA95" s="1065"/>
      <c r="DB95" s="1065"/>
      <c r="DC95" s="1065"/>
      <c r="DD95" s="1065"/>
      <c r="DE95" s="1065"/>
      <c r="DF95" s="1065"/>
      <c r="DG95" s="1065"/>
      <c r="DH95" s="1065"/>
      <c r="DI95" s="1065"/>
      <c r="DJ95" s="1065"/>
      <c r="DK95" s="1065"/>
      <c r="DL95" s="1065"/>
      <c r="DM95" s="1065"/>
      <c r="DN95" s="1065"/>
      <c r="DO95" s="1065"/>
      <c r="DP95" s="1065"/>
      <c r="DQ95" s="1065"/>
      <c r="DR95" s="1065"/>
      <c r="DS95" s="1065"/>
      <c r="DT95" s="1065"/>
      <c r="DU95" s="1065"/>
      <c r="DV95" s="1065"/>
      <c r="DW95" s="1065"/>
      <c r="DX95" s="1065"/>
      <c r="DY95" s="1065"/>
      <c r="DZ95" s="1065"/>
      <c r="EA95" s="1065"/>
      <c r="EB95" s="1065"/>
      <c r="EC95" s="1065"/>
      <c r="ED95" s="1065"/>
      <c r="EE95" s="1065"/>
      <c r="EF95" s="1065"/>
      <c r="EG95" s="1065"/>
      <c r="EH95" s="1065"/>
      <c r="EI95" s="1065"/>
      <c r="EJ95" s="1065"/>
      <c r="EK95" s="1065"/>
      <c r="EL95" s="1065"/>
      <c r="EM95" s="1065"/>
      <c r="EN95" s="1065"/>
      <c r="EO95" s="1065"/>
      <c r="EP95" s="1065"/>
      <c r="EQ95" s="1065"/>
      <c r="ER95" s="1065"/>
      <c r="ES95" s="1065"/>
      <c r="ET95" s="1065"/>
      <c r="EU95" s="1065"/>
      <c r="EV95" s="1065"/>
      <c r="EW95" s="1065"/>
      <c r="EX95" s="1065"/>
      <c r="EY95" s="1065"/>
      <c r="EZ95" s="1065"/>
      <c r="FA95" s="1065"/>
      <c r="FB95" s="1065"/>
      <c r="FC95" s="1065"/>
      <c r="FD95" s="1065"/>
      <c r="FE95" s="1065"/>
      <c r="FF95" s="1065"/>
      <c r="FG95" s="1065"/>
      <c r="FH95" s="1065"/>
      <c r="FI95" s="1065"/>
      <c r="FJ95" s="1065"/>
      <c r="FK95" s="1065"/>
      <c r="FL95" s="1065"/>
      <c r="FM95" s="1065"/>
      <c r="FN95" s="1065"/>
      <c r="FO95" s="1065"/>
      <c r="FP95" s="1065"/>
      <c r="FQ95" s="1065"/>
      <c r="FR95" s="1065"/>
      <c r="FS95" s="1065"/>
      <c r="FT95" s="1065"/>
      <c r="FU95" s="1065"/>
      <c r="FV95" s="1065"/>
      <c r="FW95" s="1065"/>
      <c r="FX95" s="1065"/>
      <c r="FY95" s="1065"/>
      <c r="FZ95" s="1065"/>
      <c r="GA95" s="1065"/>
      <c r="GB95" s="1065"/>
      <c r="GC95" s="1065"/>
      <c r="GD95" s="1065"/>
      <c r="GE95" s="1065"/>
      <c r="GF95" s="1065"/>
      <c r="GG95" s="1065"/>
      <c r="GH95" s="1065"/>
      <c r="GI95" s="1065"/>
      <c r="GJ95" s="1065"/>
      <c r="GK95" s="1065"/>
      <c r="GL95" s="1065"/>
      <c r="GM95" s="1065"/>
      <c r="GN95" s="1065"/>
      <c r="GO95" s="1065"/>
      <c r="GP95" s="1065"/>
      <c r="GQ95" s="1065"/>
      <c r="GR95" s="1065"/>
      <c r="GS95" s="1065"/>
      <c r="GT95" s="1065"/>
      <c r="GU95" s="1065"/>
      <c r="GV95" s="1065"/>
      <c r="GW95" s="1065"/>
      <c r="GX95" s="1065"/>
      <c r="GY95" s="1065"/>
      <c r="GZ95" s="1065"/>
      <c r="HA95" s="1065"/>
      <c r="HB95" s="1065"/>
      <c r="HC95" s="1065"/>
      <c r="HD95" s="1065"/>
      <c r="HE95" s="1065"/>
      <c r="HF95" s="1065"/>
      <c r="HG95" s="1065"/>
      <c r="HH95" s="1065"/>
      <c r="HI95" s="1065"/>
      <c r="HJ95" s="1065"/>
      <c r="HK95" s="1065"/>
      <c r="HL95" s="1065"/>
      <c r="HM95" s="1065"/>
      <c r="HN95" s="1065"/>
      <c r="HO95" s="1065"/>
      <c r="HP95" s="1065"/>
      <c r="HQ95" s="1065"/>
      <c r="HR95" s="1065"/>
      <c r="HS95" s="1065"/>
      <c r="HT95" s="1065"/>
      <c r="HU95" s="1065"/>
      <c r="HV95" s="1065"/>
      <c r="HW95" s="1065"/>
      <c r="HX95" s="1079"/>
      <c r="HY95" s="1065"/>
      <c r="HZ95" s="1065"/>
      <c r="IA95" s="1065"/>
      <c r="IB95" s="1065"/>
      <c r="IC95" s="1079"/>
      <c r="ID95" s="1079"/>
      <c r="IE95" s="1065"/>
      <c r="IF95" s="1065"/>
      <c r="IG95" s="1065"/>
      <c r="IH95" s="1065"/>
      <c r="II95" s="1065"/>
      <c r="IJ95" s="1065"/>
      <c r="IK95" s="1087"/>
      <c r="IL95" s="1087"/>
      <c r="IM95" s="1087"/>
      <c r="IN95" s="1087"/>
      <c r="IO95" s="1087"/>
      <c r="IP95" s="1087"/>
      <c r="IQ95" s="1087"/>
      <c r="IR95" s="1087"/>
      <c r="IS95" s="1087"/>
      <c r="IT95" s="1087"/>
      <c r="IU95" s="1087"/>
      <c r="IV95" s="1087"/>
      <c r="IW95" s="1087"/>
      <c r="IX95" s="1087"/>
      <c r="IY95" s="1087"/>
      <c r="IZ95" s="1087"/>
      <c r="JA95" s="1087"/>
      <c r="JB95" s="1087"/>
      <c r="JC95" s="1087"/>
      <c r="JD95" s="1087"/>
      <c r="JE95" s="1087"/>
      <c r="JF95" s="1087"/>
      <c r="JG95" s="1087"/>
      <c r="JH95" s="1087"/>
      <c r="JI95" s="1087"/>
      <c r="JJ95" s="1087"/>
      <c r="JK95" s="1087"/>
      <c r="JL95" s="1087"/>
      <c r="JM95" s="1087"/>
      <c r="JN95" s="1087"/>
      <c r="JO95" s="1087"/>
      <c r="JP95" s="1087"/>
      <c r="JQ95" s="1087"/>
      <c r="JR95" s="1087"/>
      <c r="JS95" s="1087"/>
      <c r="JT95" s="1087"/>
      <c r="JU95" s="1087"/>
      <c r="JV95" s="1087"/>
      <c r="JW95" s="1087"/>
      <c r="JX95" s="1087"/>
      <c r="JY95" s="1087"/>
      <c r="JZ95" s="1087"/>
      <c r="KA95" s="1087"/>
      <c r="KB95" s="1087"/>
      <c r="KC95" s="1087"/>
      <c r="KD95" s="1087"/>
      <c r="KE95" s="1087"/>
      <c r="KF95" s="1087"/>
      <c r="KG95" s="1087"/>
      <c r="KH95" s="1087"/>
      <c r="KI95" s="1087"/>
      <c r="KJ95" s="1087"/>
      <c r="KK95" s="1087"/>
      <c r="KL95" s="1087"/>
      <c r="KM95" s="1087"/>
      <c r="KN95" s="1087"/>
      <c r="KO95" s="1087"/>
      <c r="KP95" s="1087"/>
      <c r="KQ95" s="1087"/>
      <c r="KR95" s="1087"/>
      <c r="KS95" s="1087"/>
      <c r="KT95" s="1087"/>
      <c r="KU95" s="1087"/>
      <c r="KV95" s="1087"/>
      <c r="KW95" s="1087"/>
      <c r="KX95" s="1087"/>
      <c r="KY95" s="1087"/>
      <c r="KZ95" s="1087"/>
      <c r="LA95" s="1087"/>
      <c r="LB95" s="1087"/>
      <c r="LC95" s="1087"/>
      <c r="LD95" s="1087"/>
      <c r="LE95" s="1087"/>
      <c r="LF95" s="1087"/>
      <c r="LG95" s="1087"/>
      <c r="LH95" s="1087"/>
      <c r="LI95" s="1087"/>
      <c r="LJ95" s="1087"/>
      <c r="LK95" s="1087"/>
      <c r="LL95" s="1087"/>
      <c r="LM95" s="1087"/>
      <c r="LN95" s="1087"/>
      <c r="LO95" s="1087"/>
      <c r="LP95" s="1087"/>
      <c r="LQ95" s="1087"/>
      <c r="LR95" s="1087"/>
      <c r="LS95" s="1087"/>
      <c r="LT95" s="1087"/>
      <c r="LU95" s="1087"/>
      <c r="LV95" s="1087"/>
      <c r="LW95" s="1087"/>
      <c r="LX95" s="1087"/>
      <c r="LY95" s="1087"/>
      <c r="LZ95" s="1087"/>
      <c r="MA95" s="1087"/>
      <c r="MB95" s="1087"/>
      <c r="MC95" s="1087"/>
      <c r="MD95" s="1087"/>
      <c r="ME95" s="1087"/>
      <c r="MF95" s="1087"/>
      <c r="MG95" s="1087"/>
      <c r="MH95" s="1087"/>
      <c r="MI95" s="1087"/>
      <c r="MJ95" s="1087"/>
      <c r="MK95" s="1087"/>
      <c r="ML95" s="1087"/>
      <c r="MM95" s="1087"/>
      <c r="MN95" s="1087"/>
      <c r="MO95" s="1087"/>
      <c r="MP95" s="1087"/>
      <c r="MQ95" s="1087"/>
      <c r="MR95" s="1087"/>
      <c r="MS95" s="1087"/>
      <c r="MT95" s="1087"/>
      <c r="MU95" s="1087"/>
      <c r="MV95" s="1087"/>
      <c r="MW95" s="1087"/>
      <c r="MX95" s="1087"/>
      <c r="MY95" s="1087"/>
      <c r="MZ95" s="1087"/>
      <c r="NA95" s="1087"/>
      <c r="NB95" s="1087"/>
      <c r="NC95" s="1087"/>
      <c r="ND95" s="1087"/>
      <c r="NE95" s="1087"/>
    </row>
    <row r="96" customFormat="1" spans="1:369">
      <c r="A96" s="1068" t="str">
        <f>人物卡!F57</f>
        <v>自定义1</v>
      </c>
      <c r="B96" s="1069" t="str">
        <f>IF(OR(A96="说服",A96="话术",A96="取悦",A96="恐吓"),"☯",IF(ISNUMBER(SEARCH(A96,VLOOKUP(IX$2,职业列表!$B$1:$G$370,6,0))),"★",""))</f>
        <v/>
      </c>
      <c r="C96" s="1070" t="str">
        <f>IF(ISTEXT(IFERROR(VLOOKUP(A96,职业列表!I30:J37,1,FALSE),0)),"★","")</f>
        <v/>
      </c>
      <c r="D96" s="1069"/>
      <c r="E96" s="1069"/>
      <c r="F96" s="1069"/>
      <c r="G96" s="1069"/>
      <c r="H96" s="1069"/>
      <c r="I96" s="1069"/>
      <c r="J96" s="1069"/>
      <c r="K96" s="1069"/>
      <c r="L96" s="1069"/>
      <c r="M96" s="1069"/>
      <c r="N96" s="1069"/>
      <c r="O96" s="1069"/>
      <c r="P96" s="1069"/>
      <c r="Q96" s="1069"/>
      <c r="R96" s="1069"/>
      <c r="S96" s="1069"/>
      <c r="T96" s="1069"/>
      <c r="U96" s="1069"/>
      <c r="V96" s="1069"/>
      <c r="W96" s="1069"/>
      <c r="X96" s="1069"/>
      <c r="Y96" s="1069"/>
      <c r="Z96" s="1069"/>
      <c r="AA96" s="1069"/>
      <c r="AB96" s="1069"/>
      <c r="AC96" s="1069"/>
      <c r="AD96" s="1069"/>
      <c r="AE96" s="1069"/>
      <c r="AF96" s="1069"/>
      <c r="AG96" s="1069"/>
      <c r="AH96" s="1069"/>
      <c r="AI96" s="1069"/>
      <c r="AJ96" s="1069"/>
      <c r="AK96" s="1069"/>
      <c r="AL96" s="1069"/>
      <c r="AM96" s="1069"/>
      <c r="AN96" s="1069"/>
      <c r="AO96" s="1069"/>
      <c r="AP96" s="1069"/>
      <c r="AQ96" s="1069"/>
      <c r="AR96" s="1069"/>
      <c r="AS96" s="1069"/>
      <c r="AT96" s="1069"/>
      <c r="AU96" s="1069"/>
      <c r="AV96" s="1069"/>
      <c r="AW96" s="1069"/>
      <c r="AX96" s="1069"/>
      <c r="AY96" s="1069"/>
      <c r="AZ96" s="1069"/>
      <c r="BA96" s="1069"/>
      <c r="BB96" s="1069"/>
      <c r="BC96" s="1069"/>
      <c r="BD96" s="1069"/>
      <c r="BE96" s="1069"/>
      <c r="BF96" s="1069"/>
      <c r="BG96" s="1069"/>
      <c r="BH96" s="1069"/>
      <c r="BI96" s="1069"/>
      <c r="BJ96" s="1069"/>
      <c r="BK96" s="1069"/>
      <c r="BL96" s="1069"/>
      <c r="BM96" s="1069"/>
      <c r="BN96" s="1069"/>
      <c r="BO96" s="1069"/>
      <c r="BP96" s="1069"/>
      <c r="BQ96" s="1069"/>
      <c r="BR96" s="1069"/>
      <c r="BS96" s="1069"/>
      <c r="BT96" s="1069"/>
      <c r="BU96" s="1069"/>
      <c r="BV96" s="1069"/>
      <c r="BW96" s="1069"/>
      <c r="BX96" s="1069"/>
      <c r="BY96" s="1069"/>
      <c r="BZ96" s="1069"/>
      <c r="CA96" s="1069"/>
      <c r="CB96" s="1069"/>
      <c r="CC96" s="1069"/>
      <c r="CD96" s="1069"/>
      <c r="CE96" s="1069"/>
      <c r="CF96" s="1069"/>
      <c r="CG96" s="1069"/>
      <c r="CH96" s="1069"/>
      <c r="CI96" s="1069"/>
      <c r="CJ96" s="1069"/>
      <c r="CK96" s="1069"/>
      <c r="CL96" s="1069"/>
      <c r="CM96" s="1069"/>
      <c r="CN96" s="1069"/>
      <c r="CO96" s="1069"/>
      <c r="CP96" s="1069"/>
      <c r="CQ96" s="1069"/>
      <c r="CR96" s="1069"/>
      <c r="CS96" s="1069"/>
      <c r="CT96" s="1069"/>
      <c r="CU96" s="1069"/>
      <c r="CV96" s="1069"/>
      <c r="CW96" s="1069"/>
      <c r="CX96" s="1069"/>
      <c r="CY96" s="1069"/>
      <c r="CZ96" s="1069"/>
      <c r="DA96" s="1069"/>
      <c r="DB96" s="1069"/>
      <c r="DC96" s="1069"/>
      <c r="DD96" s="1069"/>
      <c r="DE96" s="1069"/>
      <c r="DF96" s="1069"/>
      <c r="DG96" s="1069"/>
      <c r="DH96" s="1069"/>
      <c r="DI96" s="1069"/>
      <c r="DJ96" s="1069"/>
      <c r="DK96" s="1069"/>
      <c r="DL96" s="1069"/>
      <c r="DM96" s="1069"/>
      <c r="DN96" s="1069"/>
      <c r="DO96" s="1069"/>
      <c r="DP96" s="1069"/>
      <c r="DQ96" s="1069"/>
      <c r="DR96" s="1069"/>
      <c r="DS96" s="1069"/>
      <c r="DT96" s="1069"/>
      <c r="DU96" s="1069"/>
      <c r="DV96" s="1069"/>
      <c r="DW96" s="1069"/>
      <c r="DX96" s="1069"/>
      <c r="DY96" s="1069"/>
      <c r="DZ96" s="1069"/>
      <c r="EA96" s="1069"/>
      <c r="EB96" s="1069"/>
      <c r="EC96" s="1069"/>
      <c r="ED96" s="1069"/>
      <c r="EE96" s="1069"/>
      <c r="EF96" s="1069"/>
      <c r="EG96" s="1069"/>
      <c r="EH96" s="1069"/>
      <c r="EI96" s="1069"/>
      <c r="EJ96" s="1069"/>
      <c r="EK96" s="1069"/>
      <c r="EL96" s="1069"/>
      <c r="EM96" s="1069"/>
      <c r="EN96" s="1069"/>
      <c r="EO96" s="1069"/>
      <c r="EP96" s="1069"/>
      <c r="EQ96" s="1069"/>
      <c r="ER96" s="1069"/>
      <c r="ES96" s="1069"/>
      <c r="ET96" s="1069"/>
      <c r="EU96" s="1069"/>
      <c r="EV96" s="1069"/>
      <c r="EW96" s="1069"/>
      <c r="EX96" s="1069"/>
      <c r="EY96" s="1069"/>
      <c r="EZ96" s="1069"/>
      <c r="FA96" s="1069"/>
      <c r="FB96" s="1069"/>
      <c r="FC96" s="1069"/>
      <c r="FD96" s="1069"/>
      <c r="FE96" s="1069"/>
      <c r="FF96" s="1069"/>
      <c r="FG96" s="1069"/>
      <c r="FH96" s="1069"/>
      <c r="FI96" s="1069"/>
      <c r="FJ96" s="1069"/>
      <c r="FK96" s="1069"/>
      <c r="FL96" s="1069"/>
      <c r="FM96" s="1069"/>
      <c r="FN96" s="1069"/>
      <c r="FO96" s="1069"/>
      <c r="FP96" s="1069"/>
      <c r="FQ96" s="1069"/>
      <c r="FR96" s="1069"/>
      <c r="FS96" s="1069"/>
      <c r="FT96" s="1069"/>
      <c r="FU96" s="1069"/>
      <c r="FV96" s="1069"/>
      <c r="FW96" s="1069"/>
      <c r="FX96" s="1069"/>
      <c r="FY96" s="1069"/>
      <c r="FZ96" s="1069"/>
      <c r="GA96" s="1069"/>
      <c r="GB96" s="1069"/>
      <c r="GC96" s="1069"/>
      <c r="GD96" s="1069"/>
      <c r="GE96" s="1069"/>
      <c r="GF96" s="1069"/>
      <c r="GG96" s="1069"/>
      <c r="GH96" s="1069"/>
      <c r="GI96" s="1069"/>
      <c r="GJ96" s="1069"/>
      <c r="GK96" s="1069"/>
      <c r="GL96" s="1069"/>
      <c r="GM96" s="1069"/>
      <c r="GN96" s="1069"/>
      <c r="GO96" s="1069"/>
      <c r="GP96" s="1069"/>
      <c r="GQ96" s="1069"/>
      <c r="GR96" s="1069"/>
      <c r="GS96" s="1069"/>
      <c r="GT96" s="1069"/>
      <c r="GU96" s="1069"/>
      <c r="GV96" s="1069"/>
      <c r="GW96" s="1069"/>
      <c r="GX96" s="1069"/>
      <c r="GY96" s="1069"/>
      <c r="GZ96" s="1069"/>
      <c r="HA96" s="1069"/>
      <c r="HB96" s="1069"/>
      <c r="HC96" s="1069"/>
      <c r="HD96" s="1069"/>
      <c r="HE96" s="1069"/>
      <c r="HF96" s="1069"/>
      <c r="HG96" s="1069"/>
      <c r="HH96" s="1069"/>
      <c r="HI96" s="1069"/>
      <c r="HJ96" s="1069"/>
      <c r="HK96" s="1069"/>
      <c r="HL96" s="1069"/>
      <c r="HM96" s="1069"/>
      <c r="HN96" s="1069"/>
      <c r="HO96" s="1069"/>
      <c r="HP96" s="1069"/>
      <c r="HQ96" s="1069"/>
      <c r="HR96" s="1069"/>
      <c r="HS96" s="1069"/>
      <c r="HT96" s="1069"/>
      <c r="HU96" s="1069"/>
      <c r="HV96" s="1069"/>
      <c r="HW96" s="1069"/>
      <c r="HX96" s="1080"/>
      <c r="HY96" s="1069"/>
      <c r="HZ96" s="1069"/>
      <c r="IA96" s="1069"/>
      <c r="IB96" s="1069"/>
      <c r="IC96" s="1080"/>
      <c r="ID96" s="1080"/>
      <c r="IE96" s="1069"/>
      <c r="IF96" s="1069"/>
      <c r="IG96" s="1069"/>
      <c r="IH96" s="1069"/>
      <c r="II96" s="1069"/>
      <c r="IJ96" s="1069"/>
      <c r="IK96" s="1088"/>
      <c r="IL96" s="1088"/>
      <c r="IM96" s="1088"/>
      <c r="IN96" s="1088"/>
      <c r="IO96" s="1088"/>
      <c r="IP96" s="1088"/>
      <c r="IQ96" s="1088"/>
      <c r="IR96" s="1088"/>
      <c r="IS96" s="1088"/>
      <c r="IT96" s="1088"/>
      <c r="IU96" s="1088"/>
      <c r="IV96" s="1088"/>
      <c r="IW96" s="1088"/>
      <c r="IX96" s="1088"/>
      <c r="IY96" s="1088"/>
      <c r="IZ96" s="1088"/>
      <c r="JA96" s="1088"/>
      <c r="JB96" s="1088"/>
      <c r="JC96" s="1088"/>
      <c r="JD96" s="1088"/>
      <c r="JE96" s="1088"/>
      <c r="JF96" s="1088"/>
      <c r="JG96" s="1088"/>
      <c r="JH96" s="1088"/>
      <c r="JI96" s="1088"/>
      <c r="JJ96" s="1088"/>
      <c r="JK96" s="1088"/>
      <c r="JL96" s="1088"/>
      <c r="JM96" s="1088"/>
      <c r="JN96" s="1088"/>
      <c r="JO96" s="1088"/>
      <c r="JP96" s="1088"/>
      <c r="JQ96" s="1088"/>
      <c r="JR96" s="1088"/>
      <c r="JS96" s="1088"/>
      <c r="JT96" s="1088"/>
      <c r="JU96" s="1088"/>
      <c r="JV96" s="1088"/>
      <c r="JW96" s="1088"/>
      <c r="JX96" s="1088"/>
      <c r="JY96" s="1088"/>
      <c r="JZ96" s="1088"/>
      <c r="KA96" s="1088"/>
      <c r="KB96" s="1088"/>
      <c r="KC96" s="1088"/>
      <c r="KD96" s="1088"/>
      <c r="KE96" s="1088"/>
      <c r="KF96" s="1088"/>
      <c r="KG96" s="1088"/>
      <c r="KH96" s="1088"/>
      <c r="KI96" s="1088"/>
      <c r="KJ96" s="1088"/>
      <c r="KK96" s="1088"/>
      <c r="KL96" s="1088"/>
      <c r="KM96" s="1088"/>
      <c r="KN96" s="1088"/>
      <c r="KO96" s="1088"/>
      <c r="KP96" s="1088"/>
      <c r="KQ96" s="1088"/>
      <c r="KR96" s="1088"/>
      <c r="KS96" s="1088"/>
      <c r="KT96" s="1088"/>
      <c r="KU96" s="1088"/>
      <c r="KV96" s="1088"/>
      <c r="KW96" s="1088"/>
      <c r="KX96" s="1088"/>
      <c r="KY96" s="1088"/>
      <c r="KZ96" s="1088"/>
      <c r="LA96" s="1088"/>
      <c r="LB96" s="1088"/>
      <c r="LC96" s="1088"/>
      <c r="LD96" s="1088"/>
      <c r="LE96" s="1088"/>
      <c r="LF96" s="1088"/>
      <c r="LG96" s="1088"/>
      <c r="LH96" s="1088"/>
      <c r="LI96" s="1088"/>
      <c r="LJ96" s="1088"/>
      <c r="LK96" s="1088"/>
      <c r="LL96" s="1088"/>
      <c r="LM96" s="1088"/>
      <c r="LN96" s="1088"/>
      <c r="LO96" s="1088"/>
      <c r="LP96" s="1088"/>
      <c r="LQ96" s="1088"/>
      <c r="LR96" s="1088"/>
      <c r="LS96" s="1088"/>
      <c r="LT96" s="1088"/>
      <c r="LU96" s="1088"/>
      <c r="LV96" s="1088"/>
      <c r="LW96" s="1088"/>
      <c r="LX96" s="1088"/>
      <c r="LY96" s="1088"/>
      <c r="LZ96" s="1088"/>
      <c r="MA96" s="1088"/>
      <c r="MB96" s="1088"/>
      <c r="MC96" s="1088"/>
      <c r="MD96" s="1088"/>
      <c r="ME96" s="1088"/>
      <c r="MF96" s="1088"/>
      <c r="MG96" s="1088"/>
      <c r="MH96" s="1088"/>
      <c r="MI96" s="1088"/>
      <c r="MJ96" s="1088"/>
      <c r="MK96" s="1088"/>
      <c r="ML96" s="1088"/>
      <c r="MM96" s="1088"/>
      <c r="MN96" s="1088"/>
      <c r="MO96" s="1088"/>
      <c r="MP96" s="1088"/>
      <c r="MQ96" s="1088"/>
      <c r="MR96" s="1088"/>
      <c r="MS96" s="1088"/>
      <c r="MT96" s="1088"/>
      <c r="MU96" s="1088"/>
      <c r="MV96" s="1088"/>
      <c r="MW96" s="1088"/>
      <c r="MX96" s="1088"/>
      <c r="MY96" s="1088"/>
      <c r="MZ96" s="1088"/>
      <c r="NA96" s="1088"/>
      <c r="NB96" s="1088"/>
      <c r="NC96" s="1088"/>
      <c r="ND96" s="1088"/>
      <c r="NE96" s="1088"/>
    </row>
    <row r="97" customFormat="1" ht="14.5" spans="1:369">
      <c r="A97" s="1068" t="str">
        <f>人物卡!F58</f>
        <v>自定义2</v>
      </c>
      <c r="B97" s="1069" t="str">
        <f>IF(OR(A97="说服",A97="话术",A97="取悦",A97="恐吓"),"☯",IF(ISNUMBER(SEARCH(A97,VLOOKUP(IX$2,职业列表!$B$1:$G$370,6,0))),"★",""))</f>
        <v/>
      </c>
      <c r="C97" s="1071" t="str">
        <f>IF(ISTEXT(IFERROR(VLOOKUP(A97,职业列表!I30:J37,1,FALSE),0)),"★","")</f>
        <v/>
      </c>
      <c r="D97" s="1069"/>
      <c r="E97" s="1069"/>
      <c r="F97" s="1069"/>
      <c r="G97" s="1069"/>
      <c r="H97" s="1069"/>
      <c r="I97" s="1069"/>
      <c r="J97" s="1069"/>
      <c r="K97" s="1069"/>
      <c r="L97" s="1069"/>
      <c r="M97" s="1069"/>
      <c r="N97" s="1069"/>
      <c r="O97" s="1069"/>
      <c r="P97" s="1069"/>
      <c r="Q97" s="1069"/>
      <c r="R97" s="1069"/>
      <c r="S97" s="1069"/>
      <c r="T97" s="1069"/>
      <c r="U97" s="1069"/>
      <c r="V97" s="1069"/>
      <c r="W97" s="1069"/>
      <c r="X97" s="1069"/>
      <c r="Y97" s="1069"/>
      <c r="Z97" s="1069"/>
      <c r="AA97" s="1069"/>
      <c r="AB97" s="1069"/>
      <c r="AC97" s="1069"/>
      <c r="AD97" s="1069"/>
      <c r="AE97" s="1069"/>
      <c r="AF97" s="1069"/>
      <c r="AG97" s="1069"/>
      <c r="AH97" s="1069"/>
      <c r="AI97" s="1069"/>
      <c r="AJ97" s="1069"/>
      <c r="AK97" s="1069"/>
      <c r="AL97" s="1069"/>
      <c r="AM97" s="1069"/>
      <c r="AN97" s="1069"/>
      <c r="AO97" s="1069"/>
      <c r="AP97" s="1069"/>
      <c r="AQ97" s="1069"/>
      <c r="AR97" s="1069"/>
      <c r="AS97" s="1069"/>
      <c r="AT97" s="1069"/>
      <c r="AU97" s="1069"/>
      <c r="AV97" s="1069"/>
      <c r="AW97" s="1069"/>
      <c r="AX97" s="1069"/>
      <c r="AY97" s="1069"/>
      <c r="AZ97" s="1069"/>
      <c r="BA97" s="1069"/>
      <c r="BB97" s="1069"/>
      <c r="BC97" s="1069"/>
      <c r="BD97" s="1069"/>
      <c r="BE97" s="1069"/>
      <c r="BF97" s="1069"/>
      <c r="BG97" s="1069"/>
      <c r="BH97" s="1069"/>
      <c r="BI97" s="1069"/>
      <c r="BJ97" s="1069"/>
      <c r="BK97" s="1069"/>
      <c r="BL97" s="1069"/>
      <c r="BM97" s="1069"/>
      <c r="BN97" s="1069"/>
      <c r="BO97" s="1069"/>
      <c r="BP97" s="1069"/>
      <c r="BQ97" s="1069"/>
      <c r="BR97" s="1069"/>
      <c r="BS97" s="1069"/>
      <c r="BT97" s="1069"/>
      <c r="BU97" s="1069"/>
      <c r="BV97" s="1069"/>
      <c r="BW97" s="1069"/>
      <c r="BX97" s="1069"/>
      <c r="BY97" s="1069"/>
      <c r="BZ97" s="1069"/>
      <c r="CA97" s="1069"/>
      <c r="CB97" s="1069"/>
      <c r="CC97" s="1069"/>
      <c r="CD97" s="1069"/>
      <c r="CE97" s="1069"/>
      <c r="CF97" s="1069"/>
      <c r="CG97" s="1069"/>
      <c r="CH97" s="1069"/>
      <c r="CI97" s="1069"/>
      <c r="CJ97" s="1069"/>
      <c r="CK97" s="1069"/>
      <c r="CL97" s="1069"/>
      <c r="CM97" s="1069"/>
      <c r="CN97" s="1069"/>
      <c r="CO97" s="1069"/>
      <c r="CP97" s="1069"/>
      <c r="CQ97" s="1069"/>
      <c r="CR97" s="1069"/>
      <c r="CS97" s="1069"/>
      <c r="CT97" s="1069"/>
      <c r="CU97" s="1069"/>
      <c r="CV97" s="1069"/>
      <c r="CW97" s="1069"/>
      <c r="CX97" s="1069"/>
      <c r="CY97" s="1069"/>
      <c r="CZ97" s="1069"/>
      <c r="DA97" s="1069"/>
      <c r="DB97" s="1069"/>
      <c r="DC97" s="1069"/>
      <c r="DD97" s="1069"/>
      <c r="DE97" s="1069"/>
      <c r="DF97" s="1069"/>
      <c r="DG97" s="1069"/>
      <c r="DH97" s="1069"/>
      <c r="DI97" s="1069"/>
      <c r="DJ97" s="1069"/>
      <c r="DK97" s="1069"/>
      <c r="DL97" s="1069"/>
      <c r="DM97" s="1069"/>
      <c r="DN97" s="1069"/>
      <c r="DO97" s="1069"/>
      <c r="DP97" s="1069"/>
      <c r="DQ97" s="1069"/>
      <c r="DR97" s="1069"/>
      <c r="DS97" s="1069"/>
      <c r="DT97" s="1069"/>
      <c r="DU97" s="1069"/>
      <c r="DV97" s="1069"/>
      <c r="DW97" s="1069"/>
      <c r="DX97" s="1069"/>
      <c r="DY97" s="1069"/>
      <c r="DZ97" s="1069"/>
      <c r="EA97" s="1069"/>
      <c r="EB97" s="1069"/>
      <c r="EC97" s="1069"/>
      <c r="ED97" s="1069"/>
      <c r="EE97" s="1069"/>
      <c r="EF97" s="1069"/>
      <c r="EG97" s="1069"/>
      <c r="EH97" s="1069"/>
      <c r="EI97" s="1069"/>
      <c r="EJ97" s="1069"/>
      <c r="EK97" s="1069"/>
      <c r="EL97" s="1069"/>
      <c r="EM97" s="1069"/>
      <c r="EN97" s="1069"/>
      <c r="EO97" s="1069"/>
      <c r="EP97" s="1069"/>
      <c r="EQ97" s="1069"/>
      <c r="ER97" s="1069"/>
      <c r="ES97" s="1069"/>
      <c r="ET97" s="1069"/>
      <c r="EU97" s="1069"/>
      <c r="EV97" s="1069"/>
      <c r="EW97" s="1069"/>
      <c r="EX97" s="1069"/>
      <c r="EY97" s="1069"/>
      <c r="EZ97" s="1069"/>
      <c r="FA97" s="1069"/>
      <c r="FB97" s="1069"/>
      <c r="FC97" s="1069"/>
      <c r="FD97" s="1069"/>
      <c r="FE97" s="1069"/>
      <c r="FF97" s="1069"/>
      <c r="FG97" s="1069"/>
      <c r="FH97" s="1069"/>
      <c r="FI97" s="1069"/>
      <c r="FJ97" s="1069"/>
      <c r="FK97" s="1069"/>
      <c r="FL97" s="1069"/>
      <c r="FM97" s="1069"/>
      <c r="FN97" s="1069"/>
      <c r="FO97" s="1069"/>
      <c r="FP97" s="1069"/>
      <c r="FQ97" s="1069"/>
      <c r="FR97" s="1069"/>
      <c r="FS97" s="1069"/>
      <c r="FT97" s="1069"/>
      <c r="FU97" s="1069"/>
      <c r="FV97" s="1069"/>
      <c r="FW97" s="1069"/>
      <c r="FX97" s="1069"/>
      <c r="FY97" s="1069"/>
      <c r="FZ97" s="1069"/>
      <c r="GA97" s="1069"/>
      <c r="GB97" s="1069"/>
      <c r="GC97" s="1069"/>
      <c r="GD97" s="1069"/>
      <c r="GE97" s="1069"/>
      <c r="GF97" s="1069"/>
      <c r="GG97" s="1069"/>
      <c r="GH97" s="1069"/>
      <c r="GI97" s="1069"/>
      <c r="GJ97" s="1069"/>
      <c r="GK97" s="1069"/>
      <c r="GL97" s="1069"/>
      <c r="GM97" s="1069"/>
      <c r="GN97" s="1069"/>
      <c r="GO97" s="1069"/>
      <c r="GP97" s="1069"/>
      <c r="GQ97" s="1069"/>
      <c r="GR97" s="1069"/>
      <c r="GS97" s="1069"/>
      <c r="GT97" s="1069"/>
      <c r="GU97" s="1069"/>
      <c r="GV97" s="1069"/>
      <c r="GW97" s="1069"/>
      <c r="GX97" s="1069"/>
      <c r="GY97" s="1069"/>
      <c r="GZ97" s="1069"/>
      <c r="HA97" s="1069"/>
      <c r="HB97" s="1069"/>
      <c r="HC97" s="1069"/>
      <c r="HD97" s="1069"/>
      <c r="HE97" s="1069"/>
      <c r="HF97" s="1069"/>
      <c r="HG97" s="1069"/>
      <c r="HH97" s="1069"/>
      <c r="HI97" s="1069"/>
      <c r="HJ97" s="1069"/>
      <c r="HK97" s="1069"/>
      <c r="HL97" s="1069"/>
      <c r="HM97" s="1069"/>
      <c r="HN97" s="1069"/>
      <c r="HO97" s="1069"/>
      <c r="HP97" s="1069"/>
      <c r="HQ97" s="1069"/>
      <c r="HR97" s="1069"/>
      <c r="HS97" s="1069"/>
      <c r="HT97" s="1069"/>
      <c r="HU97" s="1069"/>
      <c r="HV97" s="1069"/>
      <c r="HW97" s="1069"/>
      <c r="HX97" s="1080"/>
      <c r="HY97" s="1069"/>
      <c r="HZ97" s="1069"/>
      <c r="IA97" s="1069"/>
      <c r="IB97" s="1069"/>
      <c r="IC97" s="1080"/>
      <c r="ID97" s="1080"/>
      <c r="IE97" s="1069"/>
      <c r="IF97" s="1069"/>
      <c r="IG97" s="1069"/>
      <c r="IH97" s="1069"/>
      <c r="II97" s="1069"/>
      <c r="IJ97" s="1069"/>
      <c r="IK97" s="1088"/>
      <c r="IL97" s="1088"/>
      <c r="IM97" s="1088"/>
      <c r="IN97" s="1088"/>
      <c r="IO97" s="1088"/>
      <c r="IP97" s="1088"/>
      <c r="IQ97" s="1088"/>
      <c r="IR97" s="1088"/>
      <c r="IS97" s="1088"/>
      <c r="IT97" s="1088"/>
      <c r="IU97" s="1088"/>
      <c r="IV97" s="1088"/>
      <c r="IW97" s="1088"/>
      <c r="IX97" s="1088"/>
      <c r="IY97" s="1088"/>
      <c r="IZ97" s="1088"/>
      <c r="JA97" s="1088"/>
      <c r="JB97" s="1088"/>
      <c r="JC97" s="1088"/>
      <c r="JD97" s="1088"/>
      <c r="JE97" s="1088"/>
      <c r="JF97" s="1088"/>
      <c r="JG97" s="1088"/>
      <c r="JH97" s="1088"/>
      <c r="JI97" s="1088"/>
      <c r="JJ97" s="1088"/>
      <c r="JK97" s="1088"/>
      <c r="JL97" s="1088"/>
      <c r="JM97" s="1088"/>
      <c r="JN97" s="1088"/>
      <c r="JO97" s="1088"/>
      <c r="JP97" s="1088"/>
      <c r="JQ97" s="1088"/>
      <c r="JR97" s="1088"/>
      <c r="JS97" s="1088"/>
      <c r="JT97" s="1088"/>
      <c r="JU97" s="1088"/>
      <c r="JV97" s="1088"/>
      <c r="JW97" s="1088"/>
      <c r="JX97" s="1088"/>
      <c r="JY97" s="1088"/>
      <c r="JZ97" s="1088"/>
      <c r="KA97" s="1088"/>
      <c r="KB97" s="1088"/>
      <c r="KC97" s="1088"/>
      <c r="KD97" s="1088"/>
      <c r="KE97" s="1088"/>
      <c r="KF97" s="1088"/>
      <c r="KG97" s="1088"/>
      <c r="KH97" s="1088"/>
      <c r="KI97" s="1088"/>
      <c r="KJ97" s="1088"/>
      <c r="KK97" s="1088"/>
      <c r="KL97" s="1088"/>
      <c r="KM97" s="1088"/>
      <c r="KN97" s="1088"/>
      <c r="KO97" s="1088"/>
      <c r="KP97" s="1088"/>
      <c r="KQ97" s="1088"/>
      <c r="KR97" s="1088"/>
      <c r="KS97" s="1088"/>
      <c r="KT97" s="1088"/>
      <c r="KU97" s="1088"/>
      <c r="KV97" s="1088"/>
      <c r="KW97" s="1088"/>
      <c r="KX97" s="1088"/>
      <c r="KY97" s="1088"/>
      <c r="KZ97" s="1088"/>
      <c r="LA97" s="1088"/>
      <c r="LB97" s="1088"/>
      <c r="LC97" s="1088"/>
      <c r="LD97" s="1088"/>
      <c r="LE97" s="1088"/>
      <c r="LF97" s="1088"/>
      <c r="LG97" s="1088"/>
      <c r="LH97" s="1088"/>
      <c r="LI97" s="1088"/>
      <c r="LJ97" s="1088"/>
      <c r="LK97" s="1088"/>
      <c r="LL97" s="1088"/>
      <c r="LM97" s="1088"/>
      <c r="LN97" s="1088"/>
      <c r="LO97" s="1088"/>
      <c r="LP97" s="1088"/>
      <c r="LQ97" s="1088"/>
      <c r="LR97" s="1088"/>
      <c r="LS97" s="1088"/>
      <c r="LT97" s="1088"/>
      <c r="LU97" s="1088"/>
      <c r="LV97" s="1088"/>
      <c r="LW97" s="1088"/>
      <c r="LX97" s="1088"/>
      <c r="LY97" s="1088"/>
      <c r="LZ97" s="1088"/>
      <c r="MA97" s="1088"/>
      <c r="MB97" s="1088"/>
      <c r="MC97" s="1088"/>
      <c r="MD97" s="1088"/>
      <c r="ME97" s="1088"/>
      <c r="MF97" s="1088"/>
      <c r="MG97" s="1088"/>
      <c r="MH97" s="1088"/>
      <c r="MI97" s="1088"/>
      <c r="MJ97" s="1088"/>
      <c r="MK97" s="1088"/>
      <c r="ML97" s="1088"/>
      <c r="MM97" s="1088"/>
      <c r="MN97" s="1088"/>
      <c r="MO97" s="1088"/>
      <c r="MP97" s="1088"/>
      <c r="MQ97" s="1088"/>
      <c r="MR97" s="1088"/>
      <c r="MS97" s="1088"/>
      <c r="MT97" s="1088"/>
      <c r="MU97" s="1088"/>
      <c r="MV97" s="1088"/>
      <c r="MW97" s="1088"/>
      <c r="MX97" s="1088"/>
      <c r="MY97" s="1088"/>
      <c r="MZ97" s="1088"/>
      <c r="NA97" s="1088"/>
      <c r="NB97" s="1088"/>
      <c r="NC97" s="1088"/>
      <c r="ND97" s="1088"/>
      <c r="NE97" s="1088"/>
    </row>
    <row r="98" customFormat="1" ht="14.5" spans="1:369">
      <c r="A98" s="1068" t="str">
        <f>人物卡!F59</f>
        <v>自定义3</v>
      </c>
      <c r="B98" s="1069" t="str">
        <f>IF(OR(A98="说服",A98="话术",A98="取悦",A98="恐吓"),"☯",IF(ISNUMBER(SEARCH(A98,VLOOKUP(IX$2,职业列表!$B$1:$G$370,6,0))),"★",""))</f>
        <v/>
      </c>
      <c r="C98" s="1071" t="str">
        <f>IF(ISTEXT(IFERROR(VLOOKUP(A98,职业列表!I30:J37,1,FALSE),0)),"★","")</f>
        <v/>
      </c>
      <c r="D98" s="1069"/>
      <c r="E98" s="1069"/>
      <c r="F98" s="1069"/>
      <c r="G98" s="1069"/>
      <c r="H98" s="1069"/>
      <c r="I98" s="1069"/>
      <c r="J98" s="1069"/>
      <c r="K98" s="1069"/>
      <c r="L98" s="1069"/>
      <c r="M98" s="1069"/>
      <c r="N98" s="1069"/>
      <c r="O98" s="1069"/>
      <c r="P98" s="1069"/>
      <c r="Q98" s="1069"/>
      <c r="R98" s="1069"/>
      <c r="S98" s="1069"/>
      <c r="T98" s="1069"/>
      <c r="U98" s="1069"/>
      <c r="V98" s="1069"/>
      <c r="W98" s="1069"/>
      <c r="X98" s="1069"/>
      <c r="Y98" s="1069"/>
      <c r="Z98" s="1069"/>
      <c r="AA98" s="1069"/>
      <c r="AB98" s="1069"/>
      <c r="AC98" s="1069"/>
      <c r="AD98" s="1069"/>
      <c r="AE98" s="1069"/>
      <c r="AF98" s="1069"/>
      <c r="AG98" s="1069"/>
      <c r="AH98" s="1069"/>
      <c r="AI98" s="1069"/>
      <c r="AJ98" s="1069"/>
      <c r="AK98" s="1069"/>
      <c r="AL98" s="1069"/>
      <c r="AM98" s="1069"/>
      <c r="AN98" s="1069"/>
      <c r="AO98" s="1069"/>
      <c r="AP98" s="1069"/>
      <c r="AQ98" s="1069"/>
      <c r="AR98" s="1069"/>
      <c r="AS98" s="1069"/>
      <c r="AT98" s="1069"/>
      <c r="AU98" s="1069"/>
      <c r="AV98" s="1069"/>
      <c r="AW98" s="1069"/>
      <c r="AX98" s="1069"/>
      <c r="AY98" s="1069"/>
      <c r="AZ98" s="1069"/>
      <c r="BA98" s="1069"/>
      <c r="BB98" s="1069"/>
      <c r="BC98" s="1069"/>
      <c r="BD98" s="1069"/>
      <c r="BE98" s="1069"/>
      <c r="BF98" s="1069"/>
      <c r="BG98" s="1069"/>
      <c r="BH98" s="1069"/>
      <c r="BI98" s="1069"/>
      <c r="BJ98" s="1069"/>
      <c r="BK98" s="1069"/>
      <c r="BL98" s="1069"/>
      <c r="BM98" s="1069"/>
      <c r="BN98" s="1069"/>
      <c r="BO98" s="1069"/>
      <c r="BP98" s="1069"/>
      <c r="BQ98" s="1069"/>
      <c r="BR98" s="1069"/>
      <c r="BS98" s="1069"/>
      <c r="BT98" s="1069"/>
      <c r="BU98" s="1069"/>
      <c r="BV98" s="1069"/>
      <c r="BW98" s="1069"/>
      <c r="BX98" s="1069"/>
      <c r="BY98" s="1069"/>
      <c r="BZ98" s="1069"/>
      <c r="CA98" s="1069"/>
      <c r="CB98" s="1069"/>
      <c r="CC98" s="1069"/>
      <c r="CD98" s="1069"/>
      <c r="CE98" s="1069"/>
      <c r="CF98" s="1069"/>
      <c r="CG98" s="1069"/>
      <c r="CH98" s="1069"/>
      <c r="CI98" s="1069"/>
      <c r="CJ98" s="1069"/>
      <c r="CK98" s="1069"/>
      <c r="CL98" s="1069"/>
      <c r="CM98" s="1069"/>
      <c r="CN98" s="1069"/>
      <c r="CO98" s="1069"/>
      <c r="CP98" s="1069"/>
      <c r="CQ98" s="1069"/>
      <c r="CR98" s="1069"/>
      <c r="CS98" s="1069"/>
      <c r="CT98" s="1069"/>
      <c r="CU98" s="1069"/>
      <c r="CV98" s="1069"/>
      <c r="CW98" s="1069"/>
      <c r="CX98" s="1069"/>
      <c r="CY98" s="1069"/>
      <c r="CZ98" s="1069"/>
      <c r="DA98" s="1069"/>
      <c r="DB98" s="1069"/>
      <c r="DC98" s="1069"/>
      <c r="DD98" s="1069"/>
      <c r="DE98" s="1069"/>
      <c r="DF98" s="1069"/>
      <c r="DG98" s="1069"/>
      <c r="DH98" s="1069"/>
      <c r="DI98" s="1069"/>
      <c r="DJ98" s="1069"/>
      <c r="DK98" s="1069"/>
      <c r="DL98" s="1069"/>
      <c r="DM98" s="1069"/>
      <c r="DN98" s="1069"/>
      <c r="DO98" s="1069"/>
      <c r="DP98" s="1069"/>
      <c r="DQ98" s="1069"/>
      <c r="DR98" s="1069"/>
      <c r="DS98" s="1069"/>
      <c r="DT98" s="1069"/>
      <c r="DU98" s="1069"/>
      <c r="DV98" s="1069"/>
      <c r="DW98" s="1069"/>
      <c r="DX98" s="1069"/>
      <c r="DY98" s="1069"/>
      <c r="DZ98" s="1069"/>
      <c r="EA98" s="1069"/>
      <c r="EB98" s="1069"/>
      <c r="EC98" s="1069"/>
      <c r="ED98" s="1069"/>
      <c r="EE98" s="1069"/>
      <c r="EF98" s="1069"/>
      <c r="EG98" s="1069"/>
      <c r="EH98" s="1069"/>
      <c r="EI98" s="1069"/>
      <c r="EJ98" s="1069"/>
      <c r="EK98" s="1069"/>
      <c r="EL98" s="1069"/>
      <c r="EM98" s="1069"/>
      <c r="EN98" s="1069"/>
      <c r="EO98" s="1069"/>
      <c r="EP98" s="1069"/>
      <c r="EQ98" s="1069"/>
      <c r="ER98" s="1069"/>
      <c r="ES98" s="1069"/>
      <c r="ET98" s="1069"/>
      <c r="EU98" s="1069"/>
      <c r="EV98" s="1069"/>
      <c r="EW98" s="1069"/>
      <c r="EX98" s="1069"/>
      <c r="EY98" s="1069"/>
      <c r="EZ98" s="1069"/>
      <c r="FA98" s="1069"/>
      <c r="FB98" s="1069"/>
      <c r="FC98" s="1069"/>
      <c r="FD98" s="1069"/>
      <c r="FE98" s="1069"/>
      <c r="FF98" s="1069"/>
      <c r="FG98" s="1069"/>
      <c r="FH98" s="1069"/>
      <c r="FI98" s="1069"/>
      <c r="FJ98" s="1069"/>
      <c r="FK98" s="1069"/>
      <c r="FL98" s="1069"/>
      <c r="FM98" s="1069"/>
      <c r="FN98" s="1069"/>
      <c r="FO98" s="1069"/>
      <c r="FP98" s="1069"/>
      <c r="FQ98" s="1069"/>
      <c r="FR98" s="1069"/>
      <c r="FS98" s="1069"/>
      <c r="FT98" s="1069"/>
      <c r="FU98" s="1069"/>
      <c r="FV98" s="1069"/>
      <c r="FW98" s="1069"/>
      <c r="FX98" s="1069"/>
      <c r="FY98" s="1069"/>
      <c r="FZ98" s="1069"/>
      <c r="GA98" s="1069"/>
      <c r="GB98" s="1069"/>
      <c r="GC98" s="1069"/>
      <c r="GD98" s="1069"/>
      <c r="GE98" s="1069"/>
      <c r="GF98" s="1069"/>
      <c r="GG98" s="1069"/>
      <c r="GH98" s="1069"/>
      <c r="GI98" s="1069"/>
      <c r="GJ98" s="1069"/>
      <c r="GK98" s="1069"/>
      <c r="GL98" s="1069"/>
      <c r="GM98" s="1069"/>
      <c r="GN98" s="1069"/>
      <c r="GO98" s="1069"/>
      <c r="GP98" s="1069"/>
      <c r="GQ98" s="1069"/>
      <c r="GR98" s="1069"/>
      <c r="GS98" s="1069"/>
      <c r="GT98" s="1069"/>
      <c r="GU98" s="1069"/>
      <c r="GV98" s="1069"/>
      <c r="GW98" s="1069"/>
      <c r="GX98" s="1069"/>
      <c r="GY98" s="1069"/>
      <c r="GZ98" s="1069"/>
      <c r="HA98" s="1069"/>
      <c r="HB98" s="1069"/>
      <c r="HC98" s="1069"/>
      <c r="HD98" s="1069"/>
      <c r="HE98" s="1069"/>
      <c r="HF98" s="1069"/>
      <c r="HG98" s="1069"/>
      <c r="HH98" s="1069"/>
      <c r="HI98" s="1069"/>
      <c r="HJ98" s="1069"/>
      <c r="HK98" s="1069"/>
      <c r="HL98" s="1069"/>
      <c r="HM98" s="1069"/>
      <c r="HN98" s="1069"/>
      <c r="HO98" s="1069"/>
      <c r="HP98" s="1069"/>
      <c r="HQ98" s="1069"/>
      <c r="HR98" s="1069"/>
      <c r="HS98" s="1069"/>
      <c r="HT98" s="1069"/>
      <c r="HU98" s="1069"/>
      <c r="HV98" s="1069"/>
      <c r="HW98" s="1069"/>
      <c r="HX98" s="1080"/>
      <c r="HY98" s="1069"/>
      <c r="HZ98" s="1069"/>
      <c r="IA98" s="1069"/>
      <c r="IB98" s="1069"/>
      <c r="IC98" s="1080"/>
      <c r="ID98" s="1080"/>
      <c r="IE98" s="1069"/>
      <c r="IF98" s="1069"/>
      <c r="IG98" s="1069"/>
      <c r="IH98" s="1069"/>
      <c r="II98" s="1069"/>
      <c r="IJ98" s="1069"/>
      <c r="IK98" s="1088"/>
      <c r="IL98" s="1088"/>
      <c r="IM98" s="1088"/>
      <c r="IN98" s="1088"/>
      <c r="IO98" s="1088"/>
      <c r="IP98" s="1088"/>
      <c r="IQ98" s="1088"/>
      <c r="IR98" s="1088"/>
      <c r="IS98" s="1088"/>
      <c r="IT98" s="1088"/>
      <c r="IU98" s="1088"/>
      <c r="IV98" s="1088"/>
      <c r="IW98" s="1088"/>
      <c r="IX98" s="1088"/>
      <c r="IY98" s="1088"/>
      <c r="IZ98" s="1088"/>
      <c r="JA98" s="1088"/>
      <c r="JB98" s="1088"/>
      <c r="JC98" s="1088"/>
      <c r="JD98" s="1088"/>
      <c r="JE98" s="1088"/>
      <c r="JF98" s="1088"/>
      <c r="JG98" s="1088"/>
      <c r="JH98" s="1088"/>
      <c r="JI98" s="1088"/>
      <c r="JJ98" s="1088"/>
      <c r="JK98" s="1088"/>
      <c r="JL98" s="1088"/>
      <c r="JM98" s="1088"/>
      <c r="JN98" s="1088"/>
      <c r="JO98" s="1088"/>
      <c r="JP98" s="1088"/>
      <c r="JQ98" s="1088"/>
      <c r="JR98" s="1088"/>
      <c r="JS98" s="1088"/>
      <c r="JT98" s="1088"/>
      <c r="JU98" s="1088"/>
      <c r="JV98" s="1088"/>
      <c r="JW98" s="1088"/>
      <c r="JX98" s="1088"/>
      <c r="JY98" s="1088"/>
      <c r="JZ98" s="1088"/>
      <c r="KA98" s="1088"/>
      <c r="KB98" s="1088"/>
      <c r="KC98" s="1088"/>
      <c r="KD98" s="1088"/>
      <c r="KE98" s="1088"/>
      <c r="KF98" s="1088"/>
      <c r="KG98" s="1088"/>
      <c r="KH98" s="1088"/>
      <c r="KI98" s="1088"/>
      <c r="KJ98" s="1088"/>
      <c r="KK98" s="1088"/>
      <c r="KL98" s="1088"/>
      <c r="KM98" s="1088"/>
      <c r="KN98" s="1088"/>
      <c r="KO98" s="1088"/>
      <c r="KP98" s="1088"/>
      <c r="KQ98" s="1088"/>
      <c r="KR98" s="1088"/>
      <c r="KS98" s="1088"/>
      <c r="KT98" s="1088"/>
      <c r="KU98" s="1088"/>
      <c r="KV98" s="1088"/>
      <c r="KW98" s="1088"/>
      <c r="KX98" s="1088"/>
      <c r="KY98" s="1088"/>
      <c r="KZ98" s="1088"/>
      <c r="LA98" s="1088"/>
      <c r="LB98" s="1088"/>
      <c r="LC98" s="1088"/>
      <c r="LD98" s="1088"/>
      <c r="LE98" s="1088"/>
      <c r="LF98" s="1088"/>
      <c r="LG98" s="1088"/>
      <c r="LH98" s="1088"/>
      <c r="LI98" s="1088"/>
      <c r="LJ98" s="1088"/>
      <c r="LK98" s="1088"/>
      <c r="LL98" s="1088"/>
      <c r="LM98" s="1088"/>
      <c r="LN98" s="1088"/>
      <c r="LO98" s="1088"/>
      <c r="LP98" s="1088"/>
      <c r="LQ98" s="1088"/>
      <c r="LR98" s="1088"/>
      <c r="LS98" s="1088"/>
      <c r="LT98" s="1088"/>
      <c r="LU98" s="1088"/>
      <c r="LV98" s="1088"/>
      <c r="LW98" s="1088"/>
      <c r="LX98" s="1088"/>
      <c r="LY98" s="1088"/>
      <c r="LZ98" s="1088"/>
      <c r="MA98" s="1088"/>
      <c r="MB98" s="1088"/>
      <c r="MC98" s="1088"/>
      <c r="MD98" s="1088"/>
      <c r="ME98" s="1088"/>
      <c r="MF98" s="1088"/>
      <c r="MG98" s="1088"/>
      <c r="MH98" s="1088"/>
      <c r="MI98" s="1088"/>
      <c r="MJ98" s="1088"/>
      <c r="MK98" s="1088"/>
      <c r="ML98" s="1088"/>
      <c r="MM98" s="1088"/>
      <c r="MN98" s="1088"/>
      <c r="MO98" s="1088"/>
      <c r="MP98" s="1088"/>
      <c r="MQ98" s="1088"/>
      <c r="MR98" s="1088"/>
      <c r="MS98" s="1088"/>
      <c r="MT98" s="1088"/>
      <c r="MU98" s="1088"/>
      <c r="MV98" s="1088"/>
      <c r="MW98" s="1088"/>
      <c r="MX98" s="1088"/>
      <c r="MY98" s="1088"/>
      <c r="MZ98" s="1088"/>
      <c r="NA98" s="1088"/>
      <c r="NB98" s="1088"/>
      <c r="NC98" s="1088"/>
      <c r="ND98" s="1088"/>
      <c r="NE98" s="1088"/>
    </row>
    <row r="99" customFormat="1" ht="14.5" spans="1:369">
      <c r="A99" s="1068" t="str">
        <f>人物卡!F60</f>
        <v>自定义4</v>
      </c>
      <c r="B99" s="1069" t="str">
        <f>IF(OR(A99="说服",A99="话术",A99="取悦",A99="恐吓"),"☯",IF(ISNUMBER(SEARCH(A99,VLOOKUP(IX$2,职业列表!$B$1:$G$370,6,0))),"★",""))</f>
        <v/>
      </c>
      <c r="C99" s="1071" t="str">
        <f>IF(ISTEXT(IFERROR(VLOOKUP(A99,职业列表!I30:J37,1,FALSE),0)),"★","")</f>
        <v/>
      </c>
      <c r="D99" s="1069"/>
      <c r="E99" s="1069"/>
      <c r="F99" s="1069"/>
      <c r="G99" s="1069"/>
      <c r="H99" s="1069"/>
      <c r="I99" s="1069"/>
      <c r="J99" s="1069"/>
      <c r="K99" s="1069"/>
      <c r="L99" s="1069"/>
      <c r="M99" s="1069"/>
      <c r="N99" s="1069"/>
      <c r="O99" s="1069"/>
      <c r="P99" s="1069"/>
      <c r="Q99" s="1069"/>
      <c r="R99" s="1069"/>
      <c r="S99" s="1069"/>
      <c r="T99" s="1069"/>
      <c r="U99" s="1069"/>
      <c r="V99" s="1069"/>
      <c r="W99" s="1069"/>
      <c r="X99" s="1069"/>
      <c r="Y99" s="1069"/>
      <c r="Z99" s="1069"/>
      <c r="AA99" s="1069"/>
      <c r="AB99" s="1069"/>
      <c r="AC99" s="1069"/>
      <c r="AD99" s="1069"/>
      <c r="AE99" s="1069"/>
      <c r="AF99" s="1069"/>
      <c r="AG99" s="1069"/>
      <c r="AH99" s="1069"/>
      <c r="AI99" s="1069"/>
      <c r="AJ99" s="1069"/>
      <c r="AK99" s="1069"/>
      <c r="AL99" s="1069"/>
      <c r="AM99" s="1069"/>
      <c r="AN99" s="1069"/>
      <c r="AO99" s="1069"/>
      <c r="AP99" s="1069"/>
      <c r="AQ99" s="1069"/>
      <c r="AR99" s="1069"/>
      <c r="AS99" s="1069"/>
      <c r="AT99" s="1069"/>
      <c r="AU99" s="1069"/>
      <c r="AV99" s="1069"/>
      <c r="AW99" s="1069"/>
      <c r="AX99" s="1069"/>
      <c r="AY99" s="1069"/>
      <c r="AZ99" s="1069"/>
      <c r="BA99" s="1069"/>
      <c r="BB99" s="1069"/>
      <c r="BC99" s="1069"/>
      <c r="BD99" s="1069"/>
      <c r="BE99" s="1069"/>
      <c r="BF99" s="1069"/>
      <c r="BG99" s="1069"/>
      <c r="BH99" s="1069"/>
      <c r="BI99" s="1069"/>
      <c r="BJ99" s="1069"/>
      <c r="BK99" s="1069"/>
      <c r="BL99" s="1069"/>
      <c r="BM99" s="1069"/>
      <c r="BN99" s="1069"/>
      <c r="BO99" s="1069"/>
      <c r="BP99" s="1069"/>
      <c r="BQ99" s="1069"/>
      <c r="BR99" s="1069"/>
      <c r="BS99" s="1069"/>
      <c r="BT99" s="1069"/>
      <c r="BU99" s="1069"/>
      <c r="BV99" s="1069"/>
      <c r="BW99" s="1069"/>
      <c r="BX99" s="1069"/>
      <c r="BY99" s="1069"/>
      <c r="BZ99" s="1069"/>
      <c r="CA99" s="1069"/>
      <c r="CB99" s="1069"/>
      <c r="CC99" s="1069"/>
      <c r="CD99" s="1069"/>
      <c r="CE99" s="1069"/>
      <c r="CF99" s="1069"/>
      <c r="CG99" s="1069"/>
      <c r="CH99" s="1069"/>
      <c r="CI99" s="1069"/>
      <c r="CJ99" s="1069"/>
      <c r="CK99" s="1069"/>
      <c r="CL99" s="1069"/>
      <c r="CM99" s="1069"/>
      <c r="CN99" s="1069"/>
      <c r="CO99" s="1069"/>
      <c r="CP99" s="1069"/>
      <c r="CQ99" s="1069"/>
      <c r="CR99" s="1069"/>
      <c r="CS99" s="1069"/>
      <c r="CT99" s="1069"/>
      <c r="CU99" s="1069"/>
      <c r="CV99" s="1069"/>
      <c r="CW99" s="1069"/>
      <c r="CX99" s="1069"/>
      <c r="CY99" s="1069"/>
      <c r="CZ99" s="1069"/>
      <c r="DA99" s="1069"/>
      <c r="DB99" s="1069"/>
      <c r="DC99" s="1069"/>
      <c r="DD99" s="1069"/>
      <c r="DE99" s="1069"/>
      <c r="DF99" s="1069"/>
      <c r="DG99" s="1069"/>
      <c r="DH99" s="1069"/>
      <c r="DI99" s="1069"/>
      <c r="DJ99" s="1069"/>
      <c r="DK99" s="1069"/>
      <c r="DL99" s="1069"/>
      <c r="DM99" s="1069"/>
      <c r="DN99" s="1069"/>
      <c r="DO99" s="1069"/>
      <c r="DP99" s="1069"/>
      <c r="DQ99" s="1069"/>
      <c r="DR99" s="1069"/>
      <c r="DS99" s="1069"/>
      <c r="DT99" s="1069"/>
      <c r="DU99" s="1069"/>
      <c r="DV99" s="1069"/>
      <c r="DW99" s="1069"/>
      <c r="DX99" s="1069"/>
      <c r="DY99" s="1069"/>
      <c r="DZ99" s="1069"/>
      <c r="EA99" s="1069"/>
      <c r="EB99" s="1069"/>
      <c r="EC99" s="1069"/>
      <c r="ED99" s="1069"/>
      <c r="EE99" s="1069"/>
      <c r="EF99" s="1069"/>
      <c r="EG99" s="1069"/>
      <c r="EH99" s="1069"/>
      <c r="EI99" s="1069"/>
      <c r="EJ99" s="1069"/>
      <c r="EK99" s="1069"/>
      <c r="EL99" s="1069"/>
      <c r="EM99" s="1069"/>
      <c r="EN99" s="1069"/>
      <c r="EO99" s="1069"/>
      <c r="EP99" s="1069"/>
      <c r="EQ99" s="1069"/>
      <c r="ER99" s="1069"/>
      <c r="ES99" s="1069"/>
      <c r="ET99" s="1069"/>
      <c r="EU99" s="1069"/>
      <c r="EV99" s="1069"/>
      <c r="EW99" s="1069"/>
      <c r="EX99" s="1069"/>
      <c r="EY99" s="1069"/>
      <c r="EZ99" s="1069"/>
      <c r="FA99" s="1069"/>
      <c r="FB99" s="1069"/>
      <c r="FC99" s="1069"/>
      <c r="FD99" s="1069"/>
      <c r="FE99" s="1069"/>
      <c r="FF99" s="1069"/>
      <c r="FG99" s="1069"/>
      <c r="FH99" s="1069"/>
      <c r="FI99" s="1069"/>
      <c r="FJ99" s="1069"/>
      <c r="FK99" s="1069"/>
      <c r="FL99" s="1069"/>
      <c r="FM99" s="1069"/>
      <c r="FN99" s="1069"/>
      <c r="FO99" s="1069"/>
      <c r="FP99" s="1069"/>
      <c r="FQ99" s="1069"/>
      <c r="FR99" s="1069"/>
      <c r="FS99" s="1069"/>
      <c r="FT99" s="1069"/>
      <c r="FU99" s="1069"/>
      <c r="FV99" s="1069"/>
      <c r="FW99" s="1069"/>
      <c r="FX99" s="1069"/>
      <c r="FY99" s="1069"/>
      <c r="FZ99" s="1069"/>
      <c r="GA99" s="1069"/>
      <c r="GB99" s="1069"/>
      <c r="GC99" s="1069"/>
      <c r="GD99" s="1069"/>
      <c r="GE99" s="1069"/>
      <c r="GF99" s="1069"/>
      <c r="GG99" s="1069"/>
      <c r="GH99" s="1069"/>
      <c r="GI99" s="1069"/>
      <c r="GJ99" s="1069"/>
      <c r="GK99" s="1069"/>
      <c r="GL99" s="1069"/>
      <c r="GM99" s="1069"/>
      <c r="GN99" s="1069"/>
      <c r="GO99" s="1069"/>
      <c r="GP99" s="1069"/>
      <c r="GQ99" s="1069"/>
      <c r="GR99" s="1069"/>
      <c r="GS99" s="1069"/>
      <c r="GT99" s="1069"/>
      <c r="GU99" s="1069"/>
      <c r="GV99" s="1069"/>
      <c r="GW99" s="1069"/>
      <c r="GX99" s="1069"/>
      <c r="GY99" s="1069"/>
      <c r="GZ99" s="1069"/>
      <c r="HA99" s="1069"/>
      <c r="HB99" s="1069"/>
      <c r="HC99" s="1069"/>
      <c r="HD99" s="1069"/>
      <c r="HE99" s="1069"/>
      <c r="HF99" s="1069"/>
      <c r="HG99" s="1069"/>
      <c r="HH99" s="1069"/>
      <c r="HI99" s="1069"/>
      <c r="HJ99" s="1069"/>
      <c r="HK99" s="1069"/>
      <c r="HL99" s="1069"/>
      <c r="HM99" s="1069"/>
      <c r="HN99" s="1069"/>
      <c r="HO99" s="1069"/>
      <c r="HP99" s="1069"/>
      <c r="HQ99" s="1069"/>
      <c r="HR99" s="1069"/>
      <c r="HS99" s="1069"/>
      <c r="HT99" s="1069"/>
      <c r="HU99" s="1069"/>
      <c r="HV99" s="1069"/>
      <c r="HW99" s="1069"/>
      <c r="HX99" s="1080"/>
      <c r="HY99" s="1069"/>
      <c r="HZ99" s="1069"/>
      <c r="IA99" s="1069"/>
      <c r="IB99" s="1069"/>
      <c r="IC99" s="1080"/>
      <c r="ID99" s="1080"/>
      <c r="IE99" s="1069"/>
      <c r="IF99" s="1069"/>
      <c r="IG99" s="1069"/>
      <c r="IH99" s="1069"/>
      <c r="II99" s="1069"/>
      <c r="IJ99" s="1069"/>
      <c r="IK99" s="1088"/>
      <c r="IL99" s="1088"/>
      <c r="IM99" s="1088"/>
      <c r="IN99" s="1088"/>
      <c r="IO99" s="1088"/>
      <c r="IP99" s="1088"/>
      <c r="IQ99" s="1088"/>
      <c r="IR99" s="1088"/>
      <c r="IS99" s="1088"/>
      <c r="IT99" s="1088"/>
      <c r="IU99" s="1088"/>
      <c r="IV99" s="1088"/>
      <c r="IW99" s="1088"/>
      <c r="IX99" s="1088"/>
      <c r="IY99" s="1088"/>
      <c r="IZ99" s="1088"/>
      <c r="JA99" s="1088"/>
      <c r="JB99" s="1088"/>
      <c r="JC99" s="1088"/>
      <c r="JD99" s="1088"/>
      <c r="JE99" s="1088"/>
      <c r="JF99" s="1088"/>
      <c r="JG99" s="1088"/>
      <c r="JH99" s="1088"/>
      <c r="JI99" s="1088"/>
      <c r="JJ99" s="1088"/>
      <c r="JK99" s="1088"/>
      <c r="JL99" s="1088"/>
      <c r="JM99" s="1088"/>
      <c r="JN99" s="1088"/>
      <c r="JO99" s="1088"/>
      <c r="JP99" s="1088"/>
      <c r="JQ99" s="1088"/>
      <c r="JR99" s="1088"/>
      <c r="JS99" s="1088"/>
      <c r="JT99" s="1088"/>
      <c r="JU99" s="1088"/>
      <c r="JV99" s="1088"/>
      <c r="JW99" s="1088"/>
      <c r="JX99" s="1088"/>
      <c r="JY99" s="1088"/>
      <c r="JZ99" s="1088"/>
      <c r="KA99" s="1088"/>
      <c r="KB99" s="1088"/>
      <c r="KC99" s="1088"/>
      <c r="KD99" s="1088"/>
      <c r="KE99" s="1088"/>
      <c r="KF99" s="1088"/>
      <c r="KG99" s="1088"/>
      <c r="KH99" s="1088"/>
      <c r="KI99" s="1088"/>
      <c r="KJ99" s="1088"/>
      <c r="KK99" s="1088"/>
      <c r="KL99" s="1088"/>
      <c r="KM99" s="1088"/>
      <c r="KN99" s="1088"/>
      <c r="KO99" s="1088"/>
      <c r="KP99" s="1088"/>
      <c r="KQ99" s="1088"/>
      <c r="KR99" s="1088"/>
      <c r="KS99" s="1088"/>
      <c r="KT99" s="1088"/>
      <c r="KU99" s="1088"/>
      <c r="KV99" s="1088"/>
      <c r="KW99" s="1088"/>
      <c r="KX99" s="1088"/>
      <c r="KY99" s="1088"/>
      <c r="KZ99" s="1088"/>
      <c r="LA99" s="1088"/>
      <c r="LB99" s="1088"/>
      <c r="LC99" s="1088"/>
      <c r="LD99" s="1088"/>
      <c r="LE99" s="1088"/>
      <c r="LF99" s="1088"/>
      <c r="LG99" s="1088"/>
      <c r="LH99" s="1088"/>
      <c r="LI99" s="1088"/>
      <c r="LJ99" s="1088"/>
      <c r="LK99" s="1088"/>
      <c r="LL99" s="1088"/>
      <c r="LM99" s="1088"/>
      <c r="LN99" s="1088"/>
      <c r="LO99" s="1088"/>
      <c r="LP99" s="1088"/>
      <c r="LQ99" s="1088"/>
      <c r="LR99" s="1088"/>
      <c r="LS99" s="1088"/>
      <c r="LT99" s="1088"/>
      <c r="LU99" s="1088"/>
      <c r="LV99" s="1088"/>
      <c r="LW99" s="1088"/>
      <c r="LX99" s="1088"/>
      <c r="LY99" s="1088"/>
      <c r="LZ99" s="1088"/>
      <c r="MA99" s="1088"/>
      <c r="MB99" s="1088"/>
      <c r="MC99" s="1088"/>
      <c r="MD99" s="1088"/>
      <c r="ME99" s="1088"/>
      <c r="MF99" s="1088"/>
      <c r="MG99" s="1088"/>
      <c r="MH99" s="1088"/>
      <c r="MI99" s="1088"/>
      <c r="MJ99" s="1088"/>
      <c r="MK99" s="1088"/>
      <c r="ML99" s="1088"/>
      <c r="MM99" s="1088"/>
      <c r="MN99" s="1088"/>
      <c r="MO99" s="1088"/>
      <c r="MP99" s="1088"/>
      <c r="MQ99" s="1088"/>
      <c r="MR99" s="1088"/>
      <c r="MS99" s="1088"/>
      <c r="MT99" s="1088"/>
      <c r="MU99" s="1088"/>
      <c r="MV99" s="1088"/>
      <c r="MW99" s="1088"/>
      <c r="MX99" s="1088"/>
      <c r="MY99" s="1088"/>
      <c r="MZ99" s="1088"/>
      <c r="NA99" s="1088"/>
      <c r="NB99" s="1088"/>
      <c r="NC99" s="1088"/>
      <c r="ND99" s="1088"/>
      <c r="NE99" s="1088"/>
    </row>
    <row r="100" customFormat="1" spans="1:369">
      <c r="A100" s="1068" t="str">
        <f>人物卡!F61</f>
        <v>自定义5</v>
      </c>
      <c r="B100" s="1069" t="str">
        <f>IF(OR(A100="说服",A100="话术",A100="取悦",A100="恐吓"),"☯",IF(ISNUMBER(SEARCH(A100,VLOOKUP(IX$2,职业列表!$B$1:$G$370,6,0))),"★",""))</f>
        <v/>
      </c>
      <c r="C100" s="1072" t="str">
        <f>IF(ISTEXT(IFERROR(VLOOKUP(A100,职业列表!I37:J44,1,FALSE),0)),"★","")</f>
        <v/>
      </c>
      <c r="D100" s="1069"/>
      <c r="E100" s="1069"/>
      <c r="F100" s="1069"/>
      <c r="G100" s="1069"/>
      <c r="H100" s="1069"/>
      <c r="I100" s="1069"/>
      <c r="J100" s="1069"/>
      <c r="K100" s="1069"/>
      <c r="L100" s="1069"/>
      <c r="M100" s="1069"/>
      <c r="N100" s="1069"/>
      <c r="O100" s="1069"/>
      <c r="P100" s="1069"/>
      <c r="Q100" s="1069"/>
      <c r="R100" s="1069"/>
      <c r="S100" s="1069"/>
      <c r="T100" s="1069"/>
      <c r="U100" s="1069"/>
      <c r="V100" s="1069"/>
      <c r="W100" s="1069"/>
      <c r="X100" s="1069"/>
      <c r="Y100" s="1069"/>
      <c r="Z100" s="1069"/>
      <c r="AA100" s="1069"/>
      <c r="AB100" s="1069"/>
      <c r="AC100" s="1069"/>
      <c r="AD100" s="1069"/>
      <c r="AE100" s="1069"/>
      <c r="AF100" s="1069"/>
      <c r="AG100" s="1069"/>
      <c r="AH100" s="1069"/>
      <c r="AI100" s="1069"/>
      <c r="AJ100" s="1069"/>
      <c r="AK100" s="1069"/>
      <c r="AL100" s="1069"/>
      <c r="AM100" s="1069"/>
      <c r="AN100" s="1069"/>
      <c r="AO100" s="1069"/>
      <c r="AP100" s="1069"/>
      <c r="AQ100" s="1069"/>
      <c r="AR100" s="1069"/>
      <c r="AS100" s="1069"/>
      <c r="AT100" s="1069"/>
      <c r="AU100" s="1069"/>
      <c r="AV100" s="1069"/>
      <c r="AW100" s="1069"/>
      <c r="AX100" s="1069"/>
      <c r="AY100" s="1069"/>
      <c r="AZ100" s="1069"/>
      <c r="BA100" s="1069"/>
      <c r="BB100" s="1069"/>
      <c r="BC100" s="1069"/>
      <c r="BD100" s="1069"/>
      <c r="BE100" s="1069"/>
      <c r="BF100" s="1069"/>
      <c r="BG100" s="1069"/>
      <c r="BH100" s="1069"/>
      <c r="BI100" s="1069"/>
      <c r="BJ100" s="1069"/>
      <c r="BK100" s="1069"/>
      <c r="BL100" s="1069"/>
      <c r="BM100" s="1069"/>
      <c r="BN100" s="1069"/>
      <c r="BO100" s="1069"/>
      <c r="BP100" s="1069"/>
      <c r="BQ100" s="1069"/>
      <c r="BR100" s="1069"/>
      <c r="BS100" s="1069"/>
      <c r="BT100" s="1069"/>
      <c r="BU100" s="1069"/>
      <c r="BV100" s="1069"/>
      <c r="BW100" s="1069"/>
      <c r="BX100" s="1069"/>
      <c r="BY100" s="1069"/>
      <c r="BZ100" s="1069"/>
      <c r="CA100" s="1069"/>
      <c r="CB100" s="1069"/>
      <c r="CC100" s="1069"/>
      <c r="CD100" s="1069"/>
      <c r="CE100" s="1069"/>
      <c r="CF100" s="1069"/>
      <c r="CG100" s="1069"/>
      <c r="CH100" s="1069"/>
      <c r="CI100" s="1069"/>
      <c r="CJ100" s="1069"/>
      <c r="CK100" s="1069"/>
      <c r="CL100" s="1069"/>
      <c r="CM100" s="1069"/>
      <c r="CN100" s="1069"/>
      <c r="CO100" s="1069"/>
      <c r="CP100" s="1069"/>
      <c r="CQ100" s="1069"/>
      <c r="CR100" s="1069"/>
      <c r="CS100" s="1069"/>
      <c r="CT100" s="1069"/>
      <c r="CU100" s="1069"/>
      <c r="CV100" s="1069"/>
      <c r="CW100" s="1069"/>
      <c r="CX100" s="1069"/>
      <c r="CY100" s="1069"/>
      <c r="CZ100" s="1069"/>
      <c r="DA100" s="1069"/>
      <c r="DB100" s="1069"/>
      <c r="DC100" s="1069"/>
      <c r="DD100" s="1069"/>
      <c r="DE100" s="1069"/>
      <c r="DF100" s="1069"/>
      <c r="DG100" s="1069"/>
      <c r="DH100" s="1069"/>
      <c r="DI100" s="1069"/>
      <c r="DJ100" s="1069"/>
      <c r="DK100" s="1069"/>
      <c r="DL100" s="1069"/>
      <c r="DM100" s="1069"/>
      <c r="DN100" s="1069"/>
      <c r="DO100" s="1069"/>
      <c r="DP100" s="1069"/>
      <c r="DQ100" s="1069"/>
      <c r="DR100" s="1069"/>
      <c r="DS100" s="1069"/>
      <c r="DT100" s="1069"/>
      <c r="DU100" s="1069"/>
      <c r="DV100" s="1069"/>
      <c r="DW100" s="1069"/>
      <c r="DX100" s="1069"/>
      <c r="DY100" s="1069"/>
      <c r="DZ100" s="1069"/>
      <c r="EA100" s="1069"/>
      <c r="EB100" s="1069"/>
      <c r="EC100" s="1069"/>
      <c r="ED100" s="1069"/>
      <c r="EE100" s="1069"/>
      <c r="EF100" s="1069"/>
      <c r="EG100" s="1069"/>
      <c r="EH100" s="1069"/>
      <c r="EI100" s="1069"/>
      <c r="EJ100" s="1069"/>
      <c r="EK100" s="1069"/>
      <c r="EL100" s="1069"/>
      <c r="EM100" s="1069"/>
      <c r="EN100" s="1069"/>
      <c r="EO100" s="1069"/>
      <c r="EP100" s="1069"/>
      <c r="EQ100" s="1069"/>
      <c r="ER100" s="1069"/>
      <c r="ES100" s="1069"/>
      <c r="ET100" s="1069"/>
      <c r="EU100" s="1069"/>
      <c r="EV100" s="1069"/>
      <c r="EW100" s="1069"/>
      <c r="EX100" s="1069"/>
      <c r="EY100" s="1069"/>
      <c r="EZ100" s="1069"/>
      <c r="FA100" s="1069"/>
      <c r="FB100" s="1069"/>
      <c r="FC100" s="1069"/>
      <c r="FD100" s="1069"/>
      <c r="FE100" s="1069"/>
      <c r="FF100" s="1069"/>
      <c r="FG100" s="1069"/>
      <c r="FH100" s="1069"/>
      <c r="FI100" s="1069"/>
      <c r="FJ100" s="1069"/>
      <c r="FK100" s="1069"/>
      <c r="FL100" s="1069"/>
      <c r="FM100" s="1069"/>
      <c r="FN100" s="1069"/>
      <c r="FO100" s="1069"/>
      <c r="FP100" s="1069"/>
      <c r="FQ100" s="1069"/>
      <c r="FR100" s="1069"/>
      <c r="FS100" s="1069"/>
      <c r="FT100" s="1069"/>
      <c r="FU100" s="1069"/>
      <c r="FV100" s="1069"/>
      <c r="FW100" s="1069"/>
      <c r="FX100" s="1069"/>
      <c r="FY100" s="1069"/>
      <c r="FZ100" s="1069"/>
      <c r="GA100" s="1069"/>
      <c r="GB100" s="1069"/>
      <c r="GC100" s="1069"/>
      <c r="GD100" s="1069"/>
      <c r="GE100" s="1069"/>
      <c r="GF100" s="1069"/>
      <c r="GG100" s="1069"/>
      <c r="GH100" s="1069"/>
      <c r="GI100" s="1069"/>
      <c r="GJ100" s="1069"/>
      <c r="GK100" s="1069"/>
      <c r="GL100" s="1069"/>
      <c r="GM100" s="1069"/>
      <c r="GN100" s="1069"/>
      <c r="GO100" s="1069"/>
      <c r="GP100" s="1069"/>
      <c r="GQ100" s="1069"/>
      <c r="GR100" s="1069"/>
      <c r="GS100" s="1069"/>
      <c r="GT100" s="1069"/>
      <c r="GU100" s="1069"/>
      <c r="GV100" s="1069"/>
      <c r="GW100" s="1069"/>
      <c r="GX100" s="1069"/>
      <c r="GY100" s="1069"/>
      <c r="GZ100" s="1069"/>
      <c r="HA100" s="1069"/>
      <c r="HB100" s="1069"/>
      <c r="HC100" s="1069"/>
      <c r="HD100" s="1069"/>
      <c r="HE100" s="1069"/>
      <c r="HF100" s="1069"/>
      <c r="HG100" s="1069"/>
      <c r="HH100" s="1069"/>
      <c r="HI100" s="1069"/>
      <c r="HJ100" s="1069"/>
      <c r="HK100" s="1069"/>
      <c r="HL100" s="1069"/>
      <c r="HM100" s="1069"/>
      <c r="HN100" s="1069"/>
      <c r="HO100" s="1069"/>
      <c r="HP100" s="1069"/>
      <c r="HQ100" s="1069"/>
      <c r="HR100" s="1069"/>
      <c r="HS100" s="1069"/>
      <c r="HT100" s="1069"/>
      <c r="HU100" s="1069"/>
      <c r="HV100" s="1069"/>
      <c r="HW100" s="1069"/>
      <c r="HX100" s="1080"/>
      <c r="HY100" s="1069"/>
      <c r="HZ100" s="1069"/>
      <c r="IA100" s="1069"/>
      <c r="IB100" s="1069"/>
      <c r="IC100" s="1080"/>
      <c r="ID100" s="1080"/>
      <c r="IE100" s="1069"/>
      <c r="IF100" s="1069"/>
      <c r="IG100" s="1069"/>
      <c r="IH100" s="1069"/>
      <c r="II100" s="1069"/>
      <c r="IJ100" s="1069"/>
      <c r="IK100" s="1088"/>
      <c r="IL100" s="1088"/>
      <c r="IM100" s="1088"/>
      <c r="IN100" s="1088"/>
      <c r="IO100" s="1088"/>
      <c r="IP100" s="1088"/>
      <c r="IQ100" s="1088"/>
      <c r="IR100" s="1088"/>
      <c r="IS100" s="1088"/>
      <c r="IT100" s="1088"/>
      <c r="IU100" s="1088"/>
      <c r="IV100" s="1088"/>
      <c r="IW100" s="1088"/>
      <c r="IX100" s="1088"/>
      <c r="IY100" s="1088"/>
      <c r="IZ100" s="1088"/>
      <c r="JA100" s="1088"/>
      <c r="JB100" s="1088"/>
      <c r="JC100" s="1088"/>
      <c r="JD100" s="1088"/>
      <c r="JE100" s="1088"/>
      <c r="JF100" s="1088"/>
      <c r="JG100" s="1088"/>
      <c r="JH100" s="1088"/>
      <c r="JI100" s="1088"/>
      <c r="JJ100" s="1088"/>
      <c r="JK100" s="1088"/>
      <c r="JL100" s="1088"/>
      <c r="JM100" s="1088"/>
      <c r="JN100" s="1088"/>
      <c r="JO100" s="1088"/>
      <c r="JP100" s="1088"/>
      <c r="JQ100" s="1088"/>
      <c r="JR100" s="1088"/>
      <c r="JS100" s="1088"/>
      <c r="JT100" s="1088"/>
      <c r="JU100" s="1088"/>
      <c r="JV100" s="1088"/>
      <c r="JW100" s="1088"/>
      <c r="JX100" s="1088"/>
      <c r="JY100" s="1088"/>
      <c r="JZ100" s="1088"/>
      <c r="KA100" s="1088"/>
      <c r="KB100" s="1088"/>
      <c r="KC100" s="1088"/>
      <c r="KD100" s="1088"/>
      <c r="KE100" s="1088"/>
      <c r="KF100" s="1088"/>
      <c r="KG100" s="1088"/>
      <c r="KH100" s="1088"/>
      <c r="KI100" s="1088"/>
      <c r="KJ100" s="1088"/>
      <c r="KK100" s="1088"/>
      <c r="KL100" s="1088"/>
      <c r="KM100" s="1088"/>
      <c r="KN100" s="1088"/>
      <c r="KO100" s="1088"/>
      <c r="KP100" s="1088"/>
      <c r="KQ100" s="1088"/>
      <c r="KR100" s="1088"/>
      <c r="KS100" s="1088"/>
      <c r="KT100" s="1088"/>
      <c r="KU100" s="1088"/>
      <c r="KV100" s="1088"/>
      <c r="KW100" s="1088"/>
      <c r="KX100" s="1088"/>
      <c r="KY100" s="1088"/>
      <c r="KZ100" s="1088"/>
      <c r="LA100" s="1088"/>
      <c r="LB100" s="1088"/>
      <c r="LC100" s="1088"/>
      <c r="LD100" s="1088"/>
      <c r="LE100" s="1088"/>
      <c r="LF100" s="1088"/>
      <c r="LG100" s="1088"/>
      <c r="LH100" s="1088"/>
      <c r="LI100" s="1088"/>
      <c r="LJ100" s="1088"/>
      <c r="LK100" s="1088"/>
      <c r="LL100" s="1088"/>
      <c r="LM100" s="1088"/>
      <c r="LN100" s="1088"/>
      <c r="LO100" s="1088"/>
      <c r="LP100" s="1088"/>
      <c r="LQ100" s="1088"/>
      <c r="LR100" s="1088"/>
      <c r="LS100" s="1088"/>
      <c r="LT100" s="1088"/>
      <c r="LU100" s="1088"/>
      <c r="LV100" s="1088"/>
      <c r="LW100" s="1088"/>
      <c r="LX100" s="1088"/>
      <c r="LY100" s="1088"/>
      <c r="LZ100" s="1088"/>
      <c r="MA100" s="1088"/>
      <c r="MB100" s="1088"/>
      <c r="MC100" s="1088"/>
      <c r="MD100" s="1088"/>
      <c r="ME100" s="1088"/>
      <c r="MF100" s="1088"/>
      <c r="MG100" s="1088"/>
      <c r="MH100" s="1088"/>
      <c r="MI100" s="1088"/>
      <c r="MJ100" s="1088"/>
      <c r="MK100" s="1088"/>
      <c r="ML100" s="1088"/>
      <c r="MM100" s="1088"/>
      <c r="MN100" s="1088"/>
      <c r="MO100" s="1088"/>
      <c r="MP100" s="1088"/>
      <c r="MQ100" s="1088"/>
      <c r="MR100" s="1088"/>
      <c r="MS100" s="1088"/>
      <c r="MT100" s="1088"/>
      <c r="MU100" s="1088"/>
      <c r="MV100" s="1088"/>
      <c r="MW100" s="1088"/>
      <c r="MX100" s="1088"/>
      <c r="MY100" s="1088"/>
      <c r="MZ100" s="1088"/>
      <c r="NA100" s="1088"/>
      <c r="NB100" s="1088"/>
      <c r="NC100" s="1088"/>
      <c r="ND100" s="1088"/>
      <c r="NE100" s="1088"/>
    </row>
    <row r="101" customFormat="1" spans="1:369">
      <c r="A101" s="1068" t="str">
        <f>人物卡!AB57</f>
        <v>自定义6</v>
      </c>
      <c r="B101" s="1069" t="str">
        <f>IF(OR(A101="说服",A101="话术",A101="取悦",A101="恐吓"),"☯",IF(ISNUMBER(SEARCH(A101,VLOOKUP(IX$2,职业列表!$B$1:$G$370,6,0))),"★",""))</f>
        <v/>
      </c>
      <c r="C101" s="1070" t="str">
        <f>IF(ISTEXT(IFERROR(VLOOKUP(A101,职业列表!I37:J44,1,FALSE),0)),"★","")</f>
        <v/>
      </c>
      <c r="D101" s="1069"/>
      <c r="E101" s="1069"/>
      <c r="F101" s="1069"/>
      <c r="G101" s="1069"/>
      <c r="H101" s="1069"/>
      <c r="I101" s="1069"/>
      <c r="J101" s="1069"/>
      <c r="K101" s="1069"/>
      <c r="L101" s="1069"/>
      <c r="M101" s="1069"/>
      <c r="N101" s="1069"/>
      <c r="O101" s="1069"/>
      <c r="P101" s="1069"/>
      <c r="Q101" s="1069"/>
      <c r="R101" s="1069"/>
      <c r="S101" s="1069"/>
      <c r="T101" s="1069"/>
      <c r="U101" s="1069"/>
      <c r="V101" s="1069"/>
      <c r="W101" s="1069"/>
      <c r="X101" s="1069"/>
      <c r="Y101" s="1069"/>
      <c r="Z101" s="1069"/>
      <c r="AA101" s="1069"/>
      <c r="AB101" s="1069"/>
      <c r="AC101" s="1069"/>
      <c r="AD101" s="1069"/>
      <c r="AE101" s="1069"/>
      <c r="AF101" s="1069"/>
      <c r="AG101" s="1069"/>
      <c r="AH101" s="1069"/>
      <c r="AI101" s="1069"/>
      <c r="AJ101" s="1069"/>
      <c r="AK101" s="1069"/>
      <c r="AL101" s="1069"/>
      <c r="AM101" s="1069"/>
      <c r="AN101" s="1069"/>
      <c r="AO101" s="1069"/>
      <c r="AP101" s="1069"/>
      <c r="AQ101" s="1069"/>
      <c r="AR101" s="1069"/>
      <c r="AS101" s="1069"/>
      <c r="AT101" s="1069"/>
      <c r="AU101" s="1069"/>
      <c r="AV101" s="1069"/>
      <c r="AW101" s="1069"/>
      <c r="AX101" s="1069"/>
      <c r="AY101" s="1069"/>
      <c r="AZ101" s="1069"/>
      <c r="BA101" s="1069"/>
      <c r="BB101" s="1069"/>
      <c r="BC101" s="1069"/>
      <c r="BD101" s="1069"/>
      <c r="BE101" s="1069"/>
      <c r="BF101" s="1069"/>
      <c r="BG101" s="1069"/>
      <c r="BH101" s="1069"/>
      <c r="BI101" s="1069"/>
      <c r="BJ101" s="1069"/>
      <c r="BK101" s="1069"/>
      <c r="BL101" s="1069"/>
      <c r="BM101" s="1069"/>
      <c r="BN101" s="1069"/>
      <c r="BO101" s="1069"/>
      <c r="BP101" s="1069"/>
      <c r="BQ101" s="1069"/>
      <c r="BR101" s="1069"/>
      <c r="BS101" s="1069"/>
      <c r="BT101" s="1069"/>
      <c r="BU101" s="1069"/>
      <c r="BV101" s="1069"/>
      <c r="BW101" s="1069"/>
      <c r="BX101" s="1069"/>
      <c r="BY101" s="1069"/>
      <c r="BZ101" s="1069"/>
      <c r="CA101" s="1069"/>
      <c r="CB101" s="1069"/>
      <c r="CC101" s="1069"/>
      <c r="CD101" s="1069"/>
      <c r="CE101" s="1069"/>
      <c r="CF101" s="1069"/>
      <c r="CG101" s="1069"/>
      <c r="CH101" s="1069"/>
      <c r="CI101" s="1069"/>
      <c r="CJ101" s="1069"/>
      <c r="CK101" s="1069"/>
      <c r="CL101" s="1069"/>
      <c r="CM101" s="1069"/>
      <c r="CN101" s="1069"/>
      <c r="CO101" s="1069"/>
      <c r="CP101" s="1069"/>
      <c r="CQ101" s="1069"/>
      <c r="CR101" s="1069"/>
      <c r="CS101" s="1069"/>
      <c r="CT101" s="1069"/>
      <c r="CU101" s="1069"/>
      <c r="CV101" s="1069"/>
      <c r="CW101" s="1069"/>
      <c r="CX101" s="1069"/>
      <c r="CY101" s="1069"/>
      <c r="CZ101" s="1069"/>
      <c r="DA101" s="1069"/>
      <c r="DB101" s="1069"/>
      <c r="DC101" s="1069"/>
      <c r="DD101" s="1069"/>
      <c r="DE101" s="1069"/>
      <c r="DF101" s="1069"/>
      <c r="DG101" s="1069"/>
      <c r="DH101" s="1069"/>
      <c r="DI101" s="1069"/>
      <c r="DJ101" s="1069"/>
      <c r="DK101" s="1069"/>
      <c r="DL101" s="1069"/>
      <c r="DM101" s="1069"/>
      <c r="DN101" s="1069"/>
      <c r="DO101" s="1069"/>
      <c r="DP101" s="1069"/>
      <c r="DQ101" s="1069"/>
      <c r="DR101" s="1069"/>
      <c r="DS101" s="1069"/>
      <c r="DT101" s="1069"/>
      <c r="DU101" s="1069"/>
      <c r="DV101" s="1069"/>
      <c r="DW101" s="1069"/>
      <c r="DX101" s="1069"/>
      <c r="DY101" s="1069"/>
      <c r="DZ101" s="1069"/>
      <c r="EA101" s="1069"/>
      <c r="EB101" s="1069"/>
      <c r="EC101" s="1069"/>
      <c r="ED101" s="1069"/>
      <c r="EE101" s="1069"/>
      <c r="EF101" s="1069"/>
      <c r="EG101" s="1069"/>
      <c r="EH101" s="1069"/>
      <c r="EI101" s="1069"/>
      <c r="EJ101" s="1069"/>
      <c r="EK101" s="1069"/>
      <c r="EL101" s="1069"/>
      <c r="EM101" s="1069"/>
      <c r="EN101" s="1069"/>
      <c r="EO101" s="1069"/>
      <c r="EP101" s="1069"/>
      <c r="EQ101" s="1069"/>
      <c r="ER101" s="1069"/>
      <c r="ES101" s="1069"/>
      <c r="ET101" s="1069"/>
      <c r="EU101" s="1069"/>
      <c r="EV101" s="1069"/>
      <c r="EW101" s="1069"/>
      <c r="EX101" s="1069"/>
      <c r="EY101" s="1069"/>
      <c r="EZ101" s="1069"/>
      <c r="FA101" s="1069"/>
      <c r="FB101" s="1069"/>
      <c r="FC101" s="1069"/>
      <c r="FD101" s="1069"/>
      <c r="FE101" s="1069"/>
      <c r="FF101" s="1069"/>
      <c r="FG101" s="1069"/>
      <c r="FH101" s="1069"/>
      <c r="FI101" s="1069"/>
      <c r="FJ101" s="1069"/>
      <c r="FK101" s="1069"/>
      <c r="FL101" s="1069"/>
      <c r="FM101" s="1069"/>
      <c r="FN101" s="1069"/>
      <c r="FO101" s="1069"/>
      <c r="FP101" s="1069"/>
      <c r="FQ101" s="1069"/>
      <c r="FR101" s="1069"/>
      <c r="FS101" s="1069"/>
      <c r="FT101" s="1069"/>
      <c r="FU101" s="1069"/>
      <c r="FV101" s="1069"/>
      <c r="FW101" s="1069"/>
      <c r="FX101" s="1069"/>
      <c r="FY101" s="1069"/>
      <c r="FZ101" s="1069"/>
      <c r="GA101" s="1069"/>
      <c r="GB101" s="1069"/>
      <c r="GC101" s="1069"/>
      <c r="GD101" s="1069"/>
      <c r="GE101" s="1069"/>
      <c r="GF101" s="1069"/>
      <c r="GG101" s="1069"/>
      <c r="GH101" s="1069"/>
      <c r="GI101" s="1069"/>
      <c r="GJ101" s="1069"/>
      <c r="GK101" s="1069"/>
      <c r="GL101" s="1069"/>
      <c r="GM101" s="1069"/>
      <c r="GN101" s="1069"/>
      <c r="GO101" s="1069"/>
      <c r="GP101" s="1069"/>
      <c r="GQ101" s="1069"/>
      <c r="GR101" s="1069"/>
      <c r="GS101" s="1069"/>
      <c r="GT101" s="1069"/>
      <c r="GU101" s="1069"/>
      <c r="GV101" s="1069"/>
      <c r="GW101" s="1069"/>
      <c r="GX101" s="1069"/>
      <c r="GY101" s="1069"/>
      <c r="GZ101" s="1069"/>
      <c r="HA101" s="1069"/>
      <c r="HB101" s="1069"/>
      <c r="HC101" s="1069"/>
      <c r="HD101" s="1069"/>
      <c r="HE101" s="1069"/>
      <c r="HF101" s="1069"/>
      <c r="HG101" s="1069"/>
      <c r="HH101" s="1069"/>
      <c r="HI101" s="1069"/>
      <c r="HJ101" s="1069"/>
      <c r="HK101" s="1069"/>
      <c r="HL101" s="1069"/>
      <c r="HM101" s="1069"/>
      <c r="HN101" s="1069"/>
      <c r="HO101" s="1069"/>
      <c r="HP101" s="1069"/>
      <c r="HQ101" s="1069"/>
      <c r="HR101" s="1069"/>
      <c r="HS101" s="1069"/>
      <c r="HT101" s="1069"/>
      <c r="HU101" s="1069"/>
      <c r="HV101" s="1069"/>
      <c r="HW101" s="1069"/>
      <c r="HX101" s="1080"/>
      <c r="HY101" s="1069"/>
      <c r="HZ101" s="1069"/>
      <c r="IA101" s="1069"/>
      <c r="IB101" s="1069"/>
      <c r="IC101" s="1080"/>
      <c r="ID101" s="1080"/>
      <c r="IE101" s="1069"/>
      <c r="IF101" s="1069"/>
      <c r="IG101" s="1069"/>
      <c r="IH101" s="1069"/>
      <c r="II101" s="1069"/>
      <c r="IJ101" s="1069"/>
      <c r="IK101" s="1088"/>
      <c r="IL101" s="1088"/>
      <c r="IM101" s="1088"/>
      <c r="IN101" s="1088"/>
      <c r="IO101" s="1088"/>
      <c r="IP101" s="1088"/>
      <c r="IQ101" s="1088"/>
      <c r="IR101" s="1088"/>
      <c r="IS101" s="1088"/>
      <c r="IT101" s="1088"/>
      <c r="IU101" s="1088"/>
      <c r="IV101" s="1088"/>
      <c r="IW101" s="1088"/>
      <c r="IX101" s="1088"/>
      <c r="IY101" s="1088"/>
      <c r="IZ101" s="1088"/>
      <c r="JA101" s="1088"/>
      <c r="JB101" s="1088"/>
      <c r="JC101" s="1088"/>
      <c r="JD101" s="1088"/>
      <c r="JE101" s="1088"/>
      <c r="JF101" s="1088"/>
      <c r="JG101" s="1088"/>
      <c r="JH101" s="1088"/>
      <c r="JI101" s="1088"/>
      <c r="JJ101" s="1088"/>
      <c r="JK101" s="1088"/>
      <c r="JL101" s="1088"/>
      <c r="JM101" s="1088"/>
      <c r="JN101" s="1088"/>
      <c r="JO101" s="1088"/>
      <c r="JP101" s="1088"/>
      <c r="JQ101" s="1088"/>
      <c r="JR101" s="1088"/>
      <c r="JS101" s="1088"/>
      <c r="JT101" s="1088"/>
      <c r="JU101" s="1088"/>
      <c r="JV101" s="1088"/>
      <c r="JW101" s="1088"/>
      <c r="JX101" s="1088"/>
      <c r="JY101" s="1088"/>
      <c r="JZ101" s="1088"/>
      <c r="KA101" s="1088"/>
      <c r="KB101" s="1088"/>
      <c r="KC101" s="1088"/>
      <c r="KD101" s="1088"/>
      <c r="KE101" s="1088"/>
      <c r="KF101" s="1088"/>
      <c r="KG101" s="1088"/>
      <c r="KH101" s="1088"/>
      <c r="KI101" s="1088"/>
      <c r="KJ101" s="1088"/>
      <c r="KK101" s="1088"/>
      <c r="KL101" s="1088"/>
      <c r="KM101" s="1088"/>
      <c r="KN101" s="1088"/>
      <c r="KO101" s="1088"/>
      <c r="KP101" s="1088"/>
      <c r="KQ101" s="1088"/>
      <c r="KR101" s="1088"/>
      <c r="KS101" s="1088"/>
      <c r="KT101" s="1088"/>
      <c r="KU101" s="1088"/>
      <c r="KV101" s="1088"/>
      <c r="KW101" s="1088"/>
      <c r="KX101" s="1088"/>
      <c r="KY101" s="1088"/>
      <c r="KZ101" s="1088"/>
      <c r="LA101" s="1088"/>
      <c r="LB101" s="1088"/>
      <c r="LC101" s="1088"/>
      <c r="LD101" s="1088"/>
      <c r="LE101" s="1088"/>
      <c r="LF101" s="1088"/>
      <c r="LG101" s="1088"/>
      <c r="LH101" s="1088"/>
      <c r="LI101" s="1088"/>
      <c r="LJ101" s="1088"/>
      <c r="LK101" s="1088"/>
      <c r="LL101" s="1088"/>
      <c r="LM101" s="1088"/>
      <c r="LN101" s="1088"/>
      <c r="LO101" s="1088"/>
      <c r="LP101" s="1088"/>
      <c r="LQ101" s="1088"/>
      <c r="LR101" s="1088"/>
      <c r="LS101" s="1088"/>
      <c r="LT101" s="1088"/>
      <c r="LU101" s="1088"/>
      <c r="LV101" s="1088"/>
      <c r="LW101" s="1088"/>
      <c r="LX101" s="1088"/>
      <c r="LY101" s="1088"/>
      <c r="LZ101" s="1088"/>
      <c r="MA101" s="1088"/>
      <c r="MB101" s="1088"/>
      <c r="MC101" s="1088"/>
      <c r="MD101" s="1088"/>
      <c r="ME101" s="1088"/>
      <c r="MF101" s="1088"/>
      <c r="MG101" s="1088"/>
      <c r="MH101" s="1088"/>
      <c r="MI101" s="1088"/>
      <c r="MJ101" s="1088"/>
      <c r="MK101" s="1088"/>
      <c r="ML101" s="1088"/>
      <c r="MM101" s="1088"/>
      <c r="MN101" s="1088"/>
      <c r="MO101" s="1088"/>
      <c r="MP101" s="1088"/>
      <c r="MQ101" s="1088"/>
      <c r="MR101" s="1088"/>
      <c r="MS101" s="1088"/>
      <c r="MT101" s="1088"/>
      <c r="MU101" s="1088"/>
      <c r="MV101" s="1088"/>
      <c r="MW101" s="1088"/>
      <c r="MX101" s="1088"/>
      <c r="MY101" s="1088"/>
      <c r="MZ101" s="1088"/>
      <c r="NA101" s="1088"/>
      <c r="NB101" s="1088"/>
      <c r="NC101" s="1088"/>
      <c r="ND101" s="1088"/>
      <c r="NE101" s="1088"/>
    </row>
    <row r="102" customFormat="1" spans="1:369">
      <c r="A102" s="1068" t="str">
        <f>人物卡!AB58</f>
        <v>自定义7</v>
      </c>
      <c r="B102" s="1069" t="str">
        <f>IF(OR(A102="说服",A102="话术",A102="取悦",A102="恐吓"),"☯",IF(ISNUMBER(SEARCH(A102,VLOOKUP(IX$2,职业列表!$B$1:$G$370,6,0))),"★",""))</f>
        <v/>
      </c>
      <c r="C102" s="1072" t="str">
        <f>IF(ISTEXT(IFERROR(VLOOKUP(A102,职业列表!I37:J44,1,FALSE),0)),"★","")</f>
        <v/>
      </c>
      <c r="D102" s="1069"/>
      <c r="E102" s="1069"/>
      <c r="F102" s="1069"/>
      <c r="G102" s="1069"/>
      <c r="H102" s="1069"/>
      <c r="I102" s="1069"/>
      <c r="J102" s="1069"/>
      <c r="K102" s="1069"/>
      <c r="L102" s="1069"/>
      <c r="M102" s="1069"/>
      <c r="N102" s="1069"/>
      <c r="O102" s="1069"/>
      <c r="P102" s="1069"/>
      <c r="Q102" s="1069"/>
      <c r="R102" s="1069"/>
      <c r="S102" s="1069"/>
      <c r="T102" s="1069"/>
      <c r="U102" s="1069"/>
      <c r="V102" s="1069"/>
      <c r="W102" s="1069"/>
      <c r="X102" s="1069"/>
      <c r="Y102" s="1069"/>
      <c r="Z102" s="1069"/>
      <c r="AA102" s="1069"/>
      <c r="AB102" s="1069"/>
      <c r="AC102" s="1069"/>
      <c r="AD102" s="1069"/>
      <c r="AE102" s="1069"/>
      <c r="AF102" s="1069"/>
      <c r="AG102" s="1069"/>
      <c r="AH102" s="1069"/>
      <c r="AI102" s="1069"/>
      <c r="AJ102" s="1069"/>
      <c r="AK102" s="1069"/>
      <c r="AL102" s="1069"/>
      <c r="AM102" s="1069"/>
      <c r="AN102" s="1069"/>
      <c r="AO102" s="1069"/>
      <c r="AP102" s="1069"/>
      <c r="AQ102" s="1069"/>
      <c r="AR102" s="1069"/>
      <c r="AS102" s="1069"/>
      <c r="AT102" s="1069"/>
      <c r="AU102" s="1069"/>
      <c r="AV102" s="1069"/>
      <c r="AW102" s="1069"/>
      <c r="AX102" s="1069"/>
      <c r="AY102" s="1069"/>
      <c r="AZ102" s="1069"/>
      <c r="BA102" s="1069"/>
      <c r="BB102" s="1069"/>
      <c r="BC102" s="1069"/>
      <c r="BD102" s="1069"/>
      <c r="BE102" s="1069"/>
      <c r="BF102" s="1069"/>
      <c r="BG102" s="1069"/>
      <c r="BH102" s="1069"/>
      <c r="BI102" s="1069"/>
      <c r="BJ102" s="1069"/>
      <c r="BK102" s="1069"/>
      <c r="BL102" s="1069"/>
      <c r="BM102" s="1069"/>
      <c r="BN102" s="1069"/>
      <c r="BO102" s="1069"/>
      <c r="BP102" s="1069"/>
      <c r="BQ102" s="1069"/>
      <c r="BR102" s="1069"/>
      <c r="BS102" s="1069"/>
      <c r="BT102" s="1069"/>
      <c r="BU102" s="1069"/>
      <c r="BV102" s="1069"/>
      <c r="BW102" s="1069"/>
      <c r="BX102" s="1069"/>
      <c r="BY102" s="1069"/>
      <c r="BZ102" s="1069"/>
      <c r="CA102" s="1069"/>
      <c r="CB102" s="1069"/>
      <c r="CC102" s="1069"/>
      <c r="CD102" s="1069"/>
      <c r="CE102" s="1069"/>
      <c r="CF102" s="1069"/>
      <c r="CG102" s="1069"/>
      <c r="CH102" s="1069"/>
      <c r="CI102" s="1069"/>
      <c r="CJ102" s="1069"/>
      <c r="CK102" s="1069"/>
      <c r="CL102" s="1069"/>
      <c r="CM102" s="1069"/>
      <c r="CN102" s="1069"/>
      <c r="CO102" s="1069"/>
      <c r="CP102" s="1069"/>
      <c r="CQ102" s="1069"/>
      <c r="CR102" s="1069"/>
      <c r="CS102" s="1069"/>
      <c r="CT102" s="1069"/>
      <c r="CU102" s="1069"/>
      <c r="CV102" s="1069"/>
      <c r="CW102" s="1069"/>
      <c r="CX102" s="1069"/>
      <c r="CY102" s="1069"/>
      <c r="CZ102" s="1069"/>
      <c r="DA102" s="1069"/>
      <c r="DB102" s="1069"/>
      <c r="DC102" s="1069"/>
      <c r="DD102" s="1069"/>
      <c r="DE102" s="1069"/>
      <c r="DF102" s="1069"/>
      <c r="DG102" s="1069"/>
      <c r="DH102" s="1069"/>
      <c r="DI102" s="1069"/>
      <c r="DJ102" s="1069"/>
      <c r="DK102" s="1069"/>
      <c r="DL102" s="1069"/>
      <c r="DM102" s="1069"/>
      <c r="DN102" s="1069"/>
      <c r="DO102" s="1069"/>
      <c r="DP102" s="1069"/>
      <c r="DQ102" s="1069"/>
      <c r="DR102" s="1069"/>
      <c r="DS102" s="1069"/>
      <c r="DT102" s="1069"/>
      <c r="DU102" s="1069"/>
      <c r="DV102" s="1069"/>
      <c r="DW102" s="1069"/>
      <c r="DX102" s="1069"/>
      <c r="DY102" s="1069"/>
      <c r="DZ102" s="1069"/>
      <c r="EA102" s="1069"/>
      <c r="EB102" s="1069"/>
      <c r="EC102" s="1069"/>
      <c r="ED102" s="1069"/>
      <c r="EE102" s="1069"/>
      <c r="EF102" s="1069"/>
      <c r="EG102" s="1069"/>
      <c r="EH102" s="1069"/>
      <c r="EI102" s="1069"/>
      <c r="EJ102" s="1069"/>
      <c r="EK102" s="1069"/>
      <c r="EL102" s="1069"/>
      <c r="EM102" s="1069"/>
      <c r="EN102" s="1069"/>
      <c r="EO102" s="1069"/>
      <c r="EP102" s="1069"/>
      <c r="EQ102" s="1069"/>
      <c r="ER102" s="1069"/>
      <c r="ES102" s="1069"/>
      <c r="ET102" s="1069"/>
      <c r="EU102" s="1069"/>
      <c r="EV102" s="1069"/>
      <c r="EW102" s="1069"/>
      <c r="EX102" s="1069"/>
      <c r="EY102" s="1069"/>
      <c r="EZ102" s="1069"/>
      <c r="FA102" s="1069"/>
      <c r="FB102" s="1069"/>
      <c r="FC102" s="1069"/>
      <c r="FD102" s="1069"/>
      <c r="FE102" s="1069"/>
      <c r="FF102" s="1069"/>
      <c r="FG102" s="1069"/>
      <c r="FH102" s="1069"/>
      <c r="FI102" s="1069"/>
      <c r="FJ102" s="1069"/>
      <c r="FK102" s="1069"/>
      <c r="FL102" s="1069"/>
      <c r="FM102" s="1069"/>
      <c r="FN102" s="1069"/>
      <c r="FO102" s="1069"/>
      <c r="FP102" s="1069"/>
      <c r="FQ102" s="1069"/>
      <c r="FR102" s="1069"/>
      <c r="FS102" s="1069"/>
      <c r="FT102" s="1069"/>
      <c r="FU102" s="1069"/>
      <c r="FV102" s="1069"/>
      <c r="FW102" s="1069"/>
      <c r="FX102" s="1069"/>
      <c r="FY102" s="1069"/>
      <c r="FZ102" s="1069"/>
      <c r="GA102" s="1069"/>
      <c r="GB102" s="1069"/>
      <c r="GC102" s="1069"/>
      <c r="GD102" s="1069"/>
      <c r="GE102" s="1069"/>
      <c r="GF102" s="1069"/>
      <c r="GG102" s="1069"/>
      <c r="GH102" s="1069"/>
      <c r="GI102" s="1069"/>
      <c r="GJ102" s="1069"/>
      <c r="GK102" s="1069"/>
      <c r="GL102" s="1069"/>
      <c r="GM102" s="1069"/>
      <c r="GN102" s="1069"/>
      <c r="GO102" s="1069"/>
      <c r="GP102" s="1069"/>
      <c r="GQ102" s="1069"/>
      <c r="GR102" s="1069"/>
      <c r="GS102" s="1069"/>
      <c r="GT102" s="1069"/>
      <c r="GU102" s="1069"/>
      <c r="GV102" s="1069"/>
      <c r="GW102" s="1069"/>
      <c r="GX102" s="1069"/>
      <c r="GY102" s="1069"/>
      <c r="GZ102" s="1069"/>
      <c r="HA102" s="1069"/>
      <c r="HB102" s="1069"/>
      <c r="HC102" s="1069"/>
      <c r="HD102" s="1069"/>
      <c r="HE102" s="1069"/>
      <c r="HF102" s="1069"/>
      <c r="HG102" s="1069"/>
      <c r="HH102" s="1069"/>
      <c r="HI102" s="1069"/>
      <c r="HJ102" s="1069"/>
      <c r="HK102" s="1069"/>
      <c r="HL102" s="1069"/>
      <c r="HM102" s="1069"/>
      <c r="HN102" s="1069"/>
      <c r="HO102" s="1069"/>
      <c r="HP102" s="1069"/>
      <c r="HQ102" s="1069"/>
      <c r="HR102" s="1069"/>
      <c r="HS102" s="1069"/>
      <c r="HT102" s="1069"/>
      <c r="HU102" s="1069"/>
      <c r="HV102" s="1069"/>
      <c r="HW102" s="1069"/>
      <c r="HX102" s="1080"/>
      <c r="HY102" s="1069"/>
      <c r="HZ102" s="1069"/>
      <c r="IA102" s="1069"/>
      <c r="IB102" s="1069"/>
      <c r="IC102" s="1080"/>
      <c r="ID102" s="1080"/>
      <c r="IE102" s="1069"/>
      <c r="IF102" s="1069"/>
      <c r="IG102" s="1069"/>
      <c r="IH102" s="1069"/>
      <c r="II102" s="1069"/>
      <c r="IJ102" s="1069"/>
      <c r="IK102" s="1088"/>
      <c r="IL102" s="1088"/>
      <c r="IM102" s="1088"/>
      <c r="IN102" s="1088"/>
      <c r="IO102" s="1088"/>
      <c r="IP102" s="1088"/>
      <c r="IQ102" s="1088"/>
      <c r="IR102" s="1088"/>
      <c r="IS102" s="1088"/>
      <c r="IT102" s="1088"/>
      <c r="IU102" s="1088"/>
      <c r="IV102" s="1088"/>
      <c r="IW102" s="1088"/>
      <c r="IX102" s="1088"/>
      <c r="IY102" s="1088"/>
      <c r="IZ102" s="1088"/>
      <c r="JA102" s="1088"/>
      <c r="JB102" s="1088"/>
      <c r="JC102" s="1088"/>
      <c r="JD102" s="1088"/>
      <c r="JE102" s="1088"/>
      <c r="JF102" s="1088"/>
      <c r="JG102" s="1088"/>
      <c r="JH102" s="1088"/>
      <c r="JI102" s="1088"/>
      <c r="JJ102" s="1088"/>
      <c r="JK102" s="1088"/>
      <c r="JL102" s="1088"/>
      <c r="JM102" s="1088"/>
      <c r="JN102" s="1088"/>
      <c r="JO102" s="1088"/>
      <c r="JP102" s="1088"/>
      <c r="JQ102" s="1088"/>
      <c r="JR102" s="1088"/>
      <c r="JS102" s="1088"/>
      <c r="JT102" s="1088"/>
      <c r="JU102" s="1088"/>
      <c r="JV102" s="1088"/>
      <c r="JW102" s="1088"/>
      <c r="JX102" s="1088"/>
      <c r="JY102" s="1088"/>
      <c r="JZ102" s="1088"/>
      <c r="KA102" s="1088"/>
      <c r="KB102" s="1088"/>
      <c r="KC102" s="1088"/>
      <c r="KD102" s="1088"/>
      <c r="KE102" s="1088"/>
      <c r="KF102" s="1088"/>
      <c r="KG102" s="1088"/>
      <c r="KH102" s="1088"/>
      <c r="KI102" s="1088"/>
      <c r="KJ102" s="1088"/>
      <c r="KK102" s="1088"/>
      <c r="KL102" s="1088"/>
      <c r="KM102" s="1088"/>
      <c r="KN102" s="1088"/>
      <c r="KO102" s="1088"/>
      <c r="KP102" s="1088"/>
      <c r="KQ102" s="1088"/>
      <c r="KR102" s="1088"/>
      <c r="KS102" s="1088"/>
      <c r="KT102" s="1088"/>
      <c r="KU102" s="1088"/>
      <c r="KV102" s="1088"/>
      <c r="KW102" s="1088"/>
      <c r="KX102" s="1088"/>
      <c r="KY102" s="1088"/>
      <c r="KZ102" s="1088"/>
      <c r="LA102" s="1088"/>
      <c r="LB102" s="1088"/>
      <c r="LC102" s="1088"/>
      <c r="LD102" s="1088"/>
      <c r="LE102" s="1088"/>
      <c r="LF102" s="1088"/>
      <c r="LG102" s="1088"/>
      <c r="LH102" s="1088"/>
      <c r="LI102" s="1088"/>
      <c r="LJ102" s="1088"/>
      <c r="LK102" s="1088"/>
      <c r="LL102" s="1088"/>
      <c r="LM102" s="1088"/>
      <c r="LN102" s="1088"/>
      <c r="LO102" s="1088"/>
      <c r="LP102" s="1088"/>
      <c r="LQ102" s="1088"/>
      <c r="LR102" s="1088"/>
      <c r="LS102" s="1088"/>
      <c r="LT102" s="1088"/>
      <c r="LU102" s="1088"/>
      <c r="LV102" s="1088"/>
      <c r="LW102" s="1088"/>
      <c r="LX102" s="1088"/>
      <c r="LY102" s="1088"/>
      <c r="LZ102" s="1088"/>
      <c r="MA102" s="1088"/>
      <c r="MB102" s="1088"/>
      <c r="MC102" s="1088"/>
      <c r="MD102" s="1088"/>
      <c r="ME102" s="1088"/>
      <c r="MF102" s="1088"/>
      <c r="MG102" s="1088"/>
      <c r="MH102" s="1088"/>
      <c r="MI102" s="1088"/>
      <c r="MJ102" s="1088"/>
      <c r="MK102" s="1088"/>
      <c r="ML102" s="1088"/>
      <c r="MM102" s="1088"/>
      <c r="MN102" s="1088"/>
      <c r="MO102" s="1088"/>
      <c r="MP102" s="1088"/>
      <c r="MQ102" s="1088"/>
      <c r="MR102" s="1088"/>
      <c r="MS102" s="1088"/>
      <c r="MT102" s="1088"/>
      <c r="MU102" s="1088"/>
      <c r="MV102" s="1088"/>
      <c r="MW102" s="1088"/>
      <c r="MX102" s="1088"/>
      <c r="MY102" s="1088"/>
      <c r="MZ102" s="1088"/>
      <c r="NA102" s="1088"/>
      <c r="NB102" s="1088"/>
      <c r="NC102" s="1088"/>
      <c r="ND102" s="1088"/>
      <c r="NE102" s="1088"/>
    </row>
    <row r="103" customFormat="1" spans="1:369">
      <c r="A103" s="1068" t="str">
        <f>人物卡!AB59</f>
        <v>自定义8</v>
      </c>
      <c r="B103" s="1069" t="str">
        <f>IF(OR(A103="说服",A103="话术",A103="取悦",A103="恐吓"),"☯",IF(ISNUMBER(SEARCH(A103,VLOOKUP(IX$2,职业列表!$B$1:$G$370,6,0))),"★",""))</f>
        <v/>
      </c>
      <c r="C103" s="1070" t="str">
        <f>IF(ISTEXT(IFERROR(VLOOKUP(A103,职业列表!I37:J44,1,FALSE),0)),"★","")</f>
        <v/>
      </c>
      <c r="D103" s="1069"/>
      <c r="E103" s="1069"/>
      <c r="F103" s="1069"/>
      <c r="G103" s="1069"/>
      <c r="H103" s="1069"/>
      <c r="I103" s="1069"/>
      <c r="J103" s="1069"/>
      <c r="K103" s="1069"/>
      <c r="L103" s="1069"/>
      <c r="M103" s="1069"/>
      <c r="N103" s="1069"/>
      <c r="O103" s="1069"/>
      <c r="P103" s="1069"/>
      <c r="Q103" s="1069"/>
      <c r="R103" s="1069"/>
      <c r="S103" s="1069"/>
      <c r="T103" s="1069"/>
      <c r="U103" s="1069"/>
      <c r="V103" s="1069"/>
      <c r="W103" s="1069"/>
      <c r="X103" s="1069"/>
      <c r="Y103" s="1069"/>
      <c r="Z103" s="1069"/>
      <c r="AA103" s="1069"/>
      <c r="AB103" s="1069"/>
      <c r="AC103" s="1069"/>
      <c r="AD103" s="1069"/>
      <c r="AE103" s="1069"/>
      <c r="AF103" s="1069"/>
      <c r="AG103" s="1069"/>
      <c r="AH103" s="1069"/>
      <c r="AI103" s="1069"/>
      <c r="AJ103" s="1069"/>
      <c r="AK103" s="1069"/>
      <c r="AL103" s="1069"/>
      <c r="AM103" s="1069"/>
      <c r="AN103" s="1069"/>
      <c r="AO103" s="1069"/>
      <c r="AP103" s="1069"/>
      <c r="AQ103" s="1069"/>
      <c r="AR103" s="1069"/>
      <c r="AS103" s="1069"/>
      <c r="AT103" s="1069"/>
      <c r="AU103" s="1069"/>
      <c r="AV103" s="1069"/>
      <c r="AW103" s="1069"/>
      <c r="AX103" s="1069"/>
      <c r="AY103" s="1069"/>
      <c r="AZ103" s="1069"/>
      <c r="BA103" s="1069"/>
      <c r="BB103" s="1069"/>
      <c r="BC103" s="1069"/>
      <c r="BD103" s="1069"/>
      <c r="BE103" s="1069"/>
      <c r="BF103" s="1069"/>
      <c r="BG103" s="1069"/>
      <c r="BH103" s="1069"/>
      <c r="BI103" s="1069"/>
      <c r="BJ103" s="1069"/>
      <c r="BK103" s="1069"/>
      <c r="BL103" s="1069"/>
      <c r="BM103" s="1069"/>
      <c r="BN103" s="1069"/>
      <c r="BO103" s="1069"/>
      <c r="BP103" s="1069"/>
      <c r="BQ103" s="1069"/>
      <c r="BR103" s="1069"/>
      <c r="BS103" s="1069"/>
      <c r="BT103" s="1069"/>
      <c r="BU103" s="1069"/>
      <c r="BV103" s="1069"/>
      <c r="BW103" s="1069"/>
      <c r="BX103" s="1069"/>
      <c r="BY103" s="1069"/>
      <c r="BZ103" s="1069"/>
      <c r="CA103" s="1069"/>
      <c r="CB103" s="1069"/>
      <c r="CC103" s="1069"/>
      <c r="CD103" s="1069"/>
      <c r="CE103" s="1069"/>
      <c r="CF103" s="1069"/>
      <c r="CG103" s="1069"/>
      <c r="CH103" s="1069"/>
      <c r="CI103" s="1069"/>
      <c r="CJ103" s="1069"/>
      <c r="CK103" s="1069"/>
      <c r="CL103" s="1069"/>
      <c r="CM103" s="1069"/>
      <c r="CN103" s="1069"/>
      <c r="CO103" s="1069"/>
      <c r="CP103" s="1069"/>
      <c r="CQ103" s="1069"/>
      <c r="CR103" s="1069"/>
      <c r="CS103" s="1069"/>
      <c r="CT103" s="1069"/>
      <c r="CU103" s="1069"/>
      <c r="CV103" s="1069"/>
      <c r="CW103" s="1069"/>
      <c r="CX103" s="1069"/>
      <c r="CY103" s="1069"/>
      <c r="CZ103" s="1069"/>
      <c r="DA103" s="1069"/>
      <c r="DB103" s="1069"/>
      <c r="DC103" s="1069"/>
      <c r="DD103" s="1069"/>
      <c r="DE103" s="1069"/>
      <c r="DF103" s="1069"/>
      <c r="DG103" s="1069"/>
      <c r="DH103" s="1069"/>
      <c r="DI103" s="1069"/>
      <c r="DJ103" s="1069"/>
      <c r="DK103" s="1069"/>
      <c r="DL103" s="1069"/>
      <c r="DM103" s="1069"/>
      <c r="DN103" s="1069"/>
      <c r="DO103" s="1069"/>
      <c r="DP103" s="1069"/>
      <c r="DQ103" s="1069"/>
      <c r="DR103" s="1069"/>
      <c r="DS103" s="1069"/>
      <c r="DT103" s="1069"/>
      <c r="DU103" s="1069"/>
      <c r="DV103" s="1069"/>
      <c r="DW103" s="1069"/>
      <c r="DX103" s="1069"/>
      <c r="DY103" s="1069"/>
      <c r="DZ103" s="1069"/>
      <c r="EA103" s="1069"/>
      <c r="EB103" s="1069"/>
      <c r="EC103" s="1069"/>
      <c r="ED103" s="1069"/>
      <c r="EE103" s="1069"/>
      <c r="EF103" s="1069"/>
      <c r="EG103" s="1069"/>
      <c r="EH103" s="1069"/>
      <c r="EI103" s="1069"/>
      <c r="EJ103" s="1069"/>
      <c r="EK103" s="1069"/>
      <c r="EL103" s="1069"/>
      <c r="EM103" s="1069"/>
      <c r="EN103" s="1069"/>
      <c r="EO103" s="1069"/>
      <c r="EP103" s="1069"/>
      <c r="EQ103" s="1069"/>
      <c r="ER103" s="1069"/>
      <c r="ES103" s="1069"/>
      <c r="ET103" s="1069"/>
      <c r="EU103" s="1069"/>
      <c r="EV103" s="1069"/>
      <c r="EW103" s="1069"/>
      <c r="EX103" s="1069"/>
      <c r="EY103" s="1069"/>
      <c r="EZ103" s="1069"/>
      <c r="FA103" s="1069"/>
      <c r="FB103" s="1069"/>
      <c r="FC103" s="1069"/>
      <c r="FD103" s="1069"/>
      <c r="FE103" s="1069"/>
      <c r="FF103" s="1069"/>
      <c r="FG103" s="1069"/>
      <c r="FH103" s="1069"/>
      <c r="FI103" s="1069"/>
      <c r="FJ103" s="1069"/>
      <c r="FK103" s="1069"/>
      <c r="FL103" s="1069"/>
      <c r="FM103" s="1069"/>
      <c r="FN103" s="1069"/>
      <c r="FO103" s="1069"/>
      <c r="FP103" s="1069"/>
      <c r="FQ103" s="1069"/>
      <c r="FR103" s="1069"/>
      <c r="FS103" s="1069"/>
      <c r="FT103" s="1069"/>
      <c r="FU103" s="1069"/>
      <c r="FV103" s="1069"/>
      <c r="FW103" s="1069"/>
      <c r="FX103" s="1069"/>
      <c r="FY103" s="1069"/>
      <c r="FZ103" s="1069"/>
      <c r="GA103" s="1069"/>
      <c r="GB103" s="1069"/>
      <c r="GC103" s="1069"/>
      <c r="GD103" s="1069"/>
      <c r="GE103" s="1069"/>
      <c r="GF103" s="1069"/>
      <c r="GG103" s="1069"/>
      <c r="GH103" s="1069"/>
      <c r="GI103" s="1069"/>
      <c r="GJ103" s="1069"/>
      <c r="GK103" s="1069"/>
      <c r="GL103" s="1069"/>
      <c r="GM103" s="1069"/>
      <c r="GN103" s="1069"/>
      <c r="GO103" s="1069"/>
      <c r="GP103" s="1069"/>
      <c r="GQ103" s="1069"/>
      <c r="GR103" s="1069"/>
      <c r="GS103" s="1069"/>
      <c r="GT103" s="1069"/>
      <c r="GU103" s="1069"/>
      <c r="GV103" s="1069"/>
      <c r="GW103" s="1069"/>
      <c r="GX103" s="1069"/>
      <c r="GY103" s="1069"/>
      <c r="GZ103" s="1069"/>
      <c r="HA103" s="1069"/>
      <c r="HB103" s="1069"/>
      <c r="HC103" s="1069"/>
      <c r="HD103" s="1069"/>
      <c r="HE103" s="1069"/>
      <c r="HF103" s="1069"/>
      <c r="HG103" s="1069"/>
      <c r="HH103" s="1069"/>
      <c r="HI103" s="1069"/>
      <c r="HJ103" s="1069"/>
      <c r="HK103" s="1069"/>
      <c r="HL103" s="1069"/>
      <c r="HM103" s="1069"/>
      <c r="HN103" s="1069"/>
      <c r="HO103" s="1069"/>
      <c r="HP103" s="1069"/>
      <c r="HQ103" s="1069"/>
      <c r="HR103" s="1069"/>
      <c r="HS103" s="1069"/>
      <c r="HT103" s="1069"/>
      <c r="HU103" s="1069"/>
      <c r="HV103" s="1069"/>
      <c r="HW103" s="1069"/>
      <c r="HX103" s="1080"/>
      <c r="HY103" s="1069"/>
      <c r="HZ103" s="1069"/>
      <c r="IA103" s="1069"/>
      <c r="IB103" s="1069"/>
      <c r="IC103" s="1080"/>
      <c r="ID103" s="1080"/>
      <c r="IE103" s="1069"/>
      <c r="IF103" s="1069"/>
      <c r="IG103" s="1069"/>
      <c r="IH103" s="1069"/>
      <c r="II103" s="1069"/>
      <c r="IJ103" s="1069"/>
      <c r="IK103" s="1088"/>
      <c r="IL103" s="1088"/>
      <c r="IM103" s="1088"/>
      <c r="IN103" s="1088"/>
      <c r="IO103" s="1088"/>
      <c r="IP103" s="1088"/>
      <c r="IQ103" s="1088"/>
      <c r="IR103" s="1088"/>
      <c r="IS103" s="1088"/>
      <c r="IT103" s="1088"/>
      <c r="IU103" s="1088"/>
      <c r="IV103" s="1088"/>
      <c r="IW103" s="1088"/>
      <c r="IX103" s="1088"/>
      <c r="IY103" s="1088"/>
      <c r="IZ103" s="1088"/>
      <c r="JA103" s="1088"/>
      <c r="JB103" s="1088"/>
      <c r="JC103" s="1088"/>
      <c r="JD103" s="1088"/>
      <c r="JE103" s="1088"/>
      <c r="JF103" s="1088"/>
      <c r="JG103" s="1088"/>
      <c r="JH103" s="1088"/>
      <c r="JI103" s="1088"/>
      <c r="JJ103" s="1088"/>
      <c r="JK103" s="1088"/>
      <c r="JL103" s="1088"/>
      <c r="JM103" s="1088"/>
      <c r="JN103" s="1088"/>
      <c r="JO103" s="1088"/>
      <c r="JP103" s="1088"/>
      <c r="JQ103" s="1088"/>
      <c r="JR103" s="1088"/>
      <c r="JS103" s="1088"/>
      <c r="JT103" s="1088"/>
      <c r="JU103" s="1088"/>
      <c r="JV103" s="1088"/>
      <c r="JW103" s="1088"/>
      <c r="JX103" s="1088"/>
      <c r="JY103" s="1088"/>
      <c r="JZ103" s="1088"/>
      <c r="KA103" s="1088"/>
      <c r="KB103" s="1088"/>
      <c r="KC103" s="1088"/>
      <c r="KD103" s="1088"/>
      <c r="KE103" s="1088"/>
      <c r="KF103" s="1088"/>
      <c r="KG103" s="1088"/>
      <c r="KH103" s="1088"/>
      <c r="KI103" s="1088"/>
      <c r="KJ103" s="1088"/>
      <c r="KK103" s="1088"/>
      <c r="KL103" s="1088"/>
      <c r="KM103" s="1088"/>
      <c r="KN103" s="1088"/>
      <c r="KO103" s="1088"/>
      <c r="KP103" s="1088"/>
      <c r="KQ103" s="1088"/>
      <c r="KR103" s="1088"/>
      <c r="KS103" s="1088"/>
      <c r="KT103" s="1088"/>
      <c r="KU103" s="1088"/>
      <c r="KV103" s="1088"/>
      <c r="KW103" s="1088"/>
      <c r="KX103" s="1088"/>
      <c r="KY103" s="1088"/>
      <c r="KZ103" s="1088"/>
      <c r="LA103" s="1088"/>
      <c r="LB103" s="1088"/>
      <c r="LC103" s="1088"/>
      <c r="LD103" s="1088"/>
      <c r="LE103" s="1088"/>
      <c r="LF103" s="1088"/>
      <c r="LG103" s="1088"/>
      <c r="LH103" s="1088"/>
      <c r="LI103" s="1088"/>
      <c r="LJ103" s="1088"/>
      <c r="LK103" s="1088"/>
      <c r="LL103" s="1088"/>
      <c r="LM103" s="1088"/>
      <c r="LN103" s="1088"/>
      <c r="LO103" s="1088"/>
      <c r="LP103" s="1088"/>
      <c r="LQ103" s="1088"/>
      <c r="LR103" s="1088"/>
      <c r="LS103" s="1088"/>
      <c r="LT103" s="1088"/>
      <c r="LU103" s="1088"/>
      <c r="LV103" s="1088"/>
      <c r="LW103" s="1088"/>
      <c r="LX103" s="1088"/>
      <c r="LY103" s="1088"/>
      <c r="LZ103" s="1088"/>
      <c r="MA103" s="1088"/>
      <c r="MB103" s="1088"/>
      <c r="MC103" s="1088"/>
      <c r="MD103" s="1088"/>
      <c r="ME103" s="1088"/>
      <c r="MF103" s="1088"/>
      <c r="MG103" s="1088"/>
      <c r="MH103" s="1088"/>
      <c r="MI103" s="1088"/>
      <c r="MJ103" s="1088"/>
      <c r="MK103" s="1088"/>
      <c r="ML103" s="1088"/>
      <c r="MM103" s="1088"/>
      <c r="MN103" s="1088"/>
      <c r="MO103" s="1088"/>
      <c r="MP103" s="1088"/>
      <c r="MQ103" s="1088"/>
      <c r="MR103" s="1088"/>
      <c r="MS103" s="1088"/>
      <c r="MT103" s="1088"/>
      <c r="MU103" s="1088"/>
      <c r="MV103" s="1088"/>
      <c r="MW103" s="1088"/>
      <c r="MX103" s="1088"/>
      <c r="MY103" s="1088"/>
      <c r="MZ103" s="1088"/>
      <c r="NA103" s="1088"/>
      <c r="NB103" s="1088"/>
      <c r="NC103" s="1088"/>
      <c r="ND103" s="1088"/>
      <c r="NE103" s="1088"/>
    </row>
    <row r="104" customFormat="1" ht="14.5" spans="1:369">
      <c r="A104" s="1068" t="str">
        <f>人物卡!AB60</f>
        <v>自定义9</v>
      </c>
      <c r="B104" s="1069" t="str">
        <f>IF(OR(A104="说服",A104="话术",A104="取悦",A104="恐吓"),"☯",IF(ISNUMBER(SEARCH(A104,VLOOKUP(IX$2,职业列表!$B$1:$G$370,6,0))),"★",""))</f>
        <v/>
      </c>
      <c r="C104" s="1071" t="str">
        <f>IF(ISTEXT(IFERROR(VLOOKUP(A104,职业列表!I37:J44,1,FALSE),0)),"★","")</f>
        <v/>
      </c>
      <c r="D104" s="1069"/>
      <c r="E104" s="1069"/>
      <c r="F104" s="1069"/>
      <c r="G104" s="1069"/>
      <c r="H104" s="1069"/>
      <c r="I104" s="1069"/>
      <c r="J104" s="1069"/>
      <c r="K104" s="1069"/>
      <c r="L104" s="1069"/>
      <c r="M104" s="1069"/>
      <c r="N104" s="1069"/>
      <c r="O104" s="1069"/>
      <c r="P104" s="1069"/>
      <c r="Q104" s="1069"/>
      <c r="R104" s="1069"/>
      <c r="S104" s="1069"/>
      <c r="T104" s="1069"/>
      <c r="U104" s="1069"/>
      <c r="V104" s="1069"/>
      <c r="W104" s="1069"/>
      <c r="X104" s="1069"/>
      <c r="Y104" s="1069"/>
      <c r="Z104" s="1069"/>
      <c r="AA104" s="1069"/>
      <c r="AB104" s="1069"/>
      <c r="AC104" s="1069"/>
      <c r="AD104" s="1069"/>
      <c r="AE104" s="1069"/>
      <c r="AF104" s="1069"/>
      <c r="AG104" s="1069"/>
      <c r="AH104" s="1069"/>
      <c r="AI104" s="1069"/>
      <c r="AJ104" s="1069"/>
      <c r="AK104" s="1069"/>
      <c r="AL104" s="1069"/>
      <c r="AM104" s="1069"/>
      <c r="AN104" s="1069"/>
      <c r="AO104" s="1069"/>
      <c r="AP104" s="1069"/>
      <c r="AQ104" s="1069"/>
      <c r="AR104" s="1069"/>
      <c r="AS104" s="1069"/>
      <c r="AT104" s="1069"/>
      <c r="AU104" s="1069"/>
      <c r="AV104" s="1069"/>
      <c r="AW104" s="1069"/>
      <c r="AX104" s="1069"/>
      <c r="AY104" s="1069"/>
      <c r="AZ104" s="1069"/>
      <c r="BA104" s="1069"/>
      <c r="BB104" s="1069"/>
      <c r="BC104" s="1069"/>
      <c r="BD104" s="1069"/>
      <c r="BE104" s="1069"/>
      <c r="BF104" s="1069"/>
      <c r="BG104" s="1069"/>
      <c r="BH104" s="1069"/>
      <c r="BI104" s="1069"/>
      <c r="BJ104" s="1069"/>
      <c r="BK104" s="1069"/>
      <c r="BL104" s="1069"/>
      <c r="BM104" s="1069"/>
      <c r="BN104" s="1069"/>
      <c r="BO104" s="1069"/>
      <c r="BP104" s="1069"/>
      <c r="BQ104" s="1069"/>
      <c r="BR104" s="1069"/>
      <c r="BS104" s="1069"/>
      <c r="BT104" s="1069"/>
      <c r="BU104" s="1069"/>
      <c r="BV104" s="1069"/>
      <c r="BW104" s="1069"/>
      <c r="BX104" s="1069"/>
      <c r="BY104" s="1069"/>
      <c r="BZ104" s="1069"/>
      <c r="CA104" s="1069"/>
      <c r="CB104" s="1069"/>
      <c r="CC104" s="1069"/>
      <c r="CD104" s="1069"/>
      <c r="CE104" s="1069"/>
      <c r="CF104" s="1069"/>
      <c r="CG104" s="1069"/>
      <c r="CH104" s="1069"/>
      <c r="CI104" s="1069"/>
      <c r="CJ104" s="1069"/>
      <c r="CK104" s="1069"/>
      <c r="CL104" s="1069"/>
      <c r="CM104" s="1069"/>
      <c r="CN104" s="1069"/>
      <c r="CO104" s="1069"/>
      <c r="CP104" s="1069"/>
      <c r="CQ104" s="1069"/>
      <c r="CR104" s="1069"/>
      <c r="CS104" s="1069"/>
      <c r="CT104" s="1069"/>
      <c r="CU104" s="1069"/>
      <c r="CV104" s="1069"/>
      <c r="CW104" s="1069"/>
      <c r="CX104" s="1069"/>
      <c r="CY104" s="1069"/>
      <c r="CZ104" s="1069"/>
      <c r="DA104" s="1069"/>
      <c r="DB104" s="1069"/>
      <c r="DC104" s="1069"/>
      <c r="DD104" s="1069"/>
      <c r="DE104" s="1069"/>
      <c r="DF104" s="1069"/>
      <c r="DG104" s="1069"/>
      <c r="DH104" s="1069"/>
      <c r="DI104" s="1069"/>
      <c r="DJ104" s="1069"/>
      <c r="DK104" s="1069"/>
      <c r="DL104" s="1069"/>
      <c r="DM104" s="1069"/>
      <c r="DN104" s="1069"/>
      <c r="DO104" s="1069"/>
      <c r="DP104" s="1069"/>
      <c r="DQ104" s="1069"/>
      <c r="DR104" s="1069"/>
      <c r="DS104" s="1069"/>
      <c r="DT104" s="1069"/>
      <c r="DU104" s="1069"/>
      <c r="DV104" s="1069"/>
      <c r="DW104" s="1069"/>
      <c r="DX104" s="1069"/>
      <c r="DY104" s="1069"/>
      <c r="DZ104" s="1069"/>
      <c r="EA104" s="1069"/>
      <c r="EB104" s="1069"/>
      <c r="EC104" s="1069"/>
      <c r="ED104" s="1069"/>
      <c r="EE104" s="1069"/>
      <c r="EF104" s="1069"/>
      <c r="EG104" s="1069"/>
      <c r="EH104" s="1069"/>
      <c r="EI104" s="1069"/>
      <c r="EJ104" s="1069"/>
      <c r="EK104" s="1069"/>
      <c r="EL104" s="1069"/>
      <c r="EM104" s="1069"/>
      <c r="EN104" s="1069"/>
      <c r="EO104" s="1069"/>
      <c r="EP104" s="1069"/>
      <c r="EQ104" s="1069"/>
      <c r="ER104" s="1069"/>
      <c r="ES104" s="1069"/>
      <c r="ET104" s="1069"/>
      <c r="EU104" s="1069"/>
      <c r="EV104" s="1069"/>
      <c r="EW104" s="1069"/>
      <c r="EX104" s="1069"/>
      <c r="EY104" s="1069"/>
      <c r="EZ104" s="1069"/>
      <c r="FA104" s="1069"/>
      <c r="FB104" s="1069"/>
      <c r="FC104" s="1069"/>
      <c r="FD104" s="1069"/>
      <c r="FE104" s="1069"/>
      <c r="FF104" s="1069"/>
      <c r="FG104" s="1069"/>
      <c r="FH104" s="1069"/>
      <c r="FI104" s="1069"/>
      <c r="FJ104" s="1069"/>
      <c r="FK104" s="1069"/>
      <c r="FL104" s="1069"/>
      <c r="FM104" s="1069"/>
      <c r="FN104" s="1069"/>
      <c r="FO104" s="1069"/>
      <c r="FP104" s="1069"/>
      <c r="FQ104" s="1069"/>
      <c r="FR104" s="1069"/>
      <c r="FS104" s="1069"/>
      <c r="FT104" s="1069"/>
      <c r="FU104" s="1069"/>
      <c r="FV104" s="1069"/>
      <c r="FW104" s="1069"/>
      <c r="FX104" s="1069"/>
      <c r="FY104" s="1069"/>
      <c r="FZ104" s="1069"/>
      <c r="GA104" s="1069"/>
      <c r="GB104" s="1069"/>
      <c r="GC104" s="1069"/>
      <c r="GD104" s="1069"/>
      <c r="GE104" s="1069"/>
      <c r="GF104" s="1069"/>
      <c r="GG104" s="1069"/>
      <c r="GH104" s="1069"/>
      <c r="GI104" s="1069"/>
      <c r="GJ104" s="1069"/>
      <c r="GK104" s="1069"/>
      <c r="GL104" s="1069"/>
      <c r="GM104" s="1069"/>
      <c r="GN104" s="1069"/>
      <c r="GO104" s="1069"/>
      <c r="GP104" s="1069"/>
      <c r="GQ104" s="1069"/>
      <c r="GR104" s="1069"/>
      <c r="GS104" s="1069"/>
      <c r="GT104" s="1069"/>
      <c r="GU104" s="1069"/>
      <c r="GV104" s="1069"/>
      <c r="GW104" s="1069"/>
      <c r="GX104" s="1069"/>
      <c r="GY104" s="1069"/>
      <c r="GZ104" s="1069"/>
      <c r="HA104" s="1069"/>
      <c r="HB104" s="1069"/>
      <c r="HC104" s="1069"/>
      <c r="HD104" s="1069"/>
      <c r="HE104" s="1069"/>
      <c r="HF104" s="1069"/>
      <c r="HG104" s="1069"/>
      <c r="HH104" s="1069"/>
      <c r="HI104" s="1069"/>
      <c r="HJ104" s="1069"/>
      <c r="HK104" s="1069"/>
      <c r="HL104" s="1069"/>
      <c r="HM104" s="1069"/>
      <c r="HN104" s="1069"/>
      <c r="HO104" s="1069"/>
      <c r="HP104" s="1069"/>
      <c r="HQ104" s="1069"/>
      <c r="HR104" s="1069"/>
      <c r="HS104" s="1069"/>
      <c r="HT104" s="1069"/>
      <c r="HU104" s="1069"/>
      <c r="HV104" s="1069"/>
      <c r="HW104" s="1069"/>
      <c r="HX104" s="1080"/>
      <c r="HY104" s="1069"/>
      <c r="HZ104" s="1069"/>
      <c r="IA104" s="1069"/>
      <c r="IB104" s="1069"/>
      <c r="IC104" s="1080"/>
      <c r="ID104" s="1080"/>
      <c r="IE104" s="1069"/>
      <c r="IF104" s="1069"/>
      <c r="IG104" s="1069"/>
      <c r="IH104" s="1069"/>
      <c r="II104" s="1069"/>
      <c r="IJ104" s="1069"/>
      <c r="IK104" s="1088"/>
      <c r="IL104" s="1088"/>
      <c r="IM104" s="1088"/>
      <c r="IN104" s="1088"/>
      <c r="IO104" s="1088"/>
      <c r="IP104" s="1088"/>
      <c r="IQ104" s="1088"/>
      <c r="IR104" s="1088"/>
      <c r="IS104" s="1088"/>
      <c r="IT104" s="1088"/>
      <c r="IU104" s="1088"/>
      <c r="IV104" s="1088"/>
      <c r="IW104" s="1088"/>
      <c r="IX104" s="1088"/>
      <c r="IY104" s="1088"/>
      <c r="IZ104" s="1088"/>
      <c r="JA104" s="1088"/>
      <c r="JB104" s="1088"/>
      <c r="JC104" s="1088"/>
      <c r="JD104" s="1088"/>
      <c r="JE104" s="1088"/>
      <c r="JF104" s="1088"/>
      <c r="JG104" s="1088"/>
      <c r="JH104" s="1088"/>
      <c r="JI104" s="1088"/>
      <c r="JJ104" s="1088"/>
      <c r="JK104" s="1088"/>
      <c r="JL104" s="1088"/>
      <c r="JM104" s="1088"/>
      <c r="JN104" s="1088"/>
      <c r="JO104" s="1088"/>
      <c r="JP104" s="1088"/>
      <c r="JQ104" s="1088"/>
      <c r="JR104" s="1088"/>
      <c r="JS104" s="1088"/>
      <c r="JT104" s="1088"/>
      <c r="JU104" s="1088"/>
      <c r="JV104" s="1088"/>
      <c r="JW104" s="1088"/>
      <c r="JX104" s="1088"/>
      <c r="JY104" s="1088"/>
      <c r="JZ104" s="1088"/>
      <c r="KA104" s="1088"/>
      <c r="KB104" s="1088"/>
      <c r="KC104" s="1088"/>
      <c r="KD104" s="1088"/>
      <c r="KE104" s="1088"/>
      <c r="KF104" s="1088"/>
      <c r="KG104" s="1088"/>
      <c r="KH104" s="1088"/>
      <c r="KI104" s="1088"/>
      <c r="KJ104" s="1088"/>
      <c r="KK104" s="1088"/>
      <c r="KL104" s="1088"/>
      <c r="KM104" s="1088"/>
      <c r="KN104" s="1088"/>
      <c r="KO104" s="1088"/>
      <c r="KP104" s="1088"/>
      <c r="KQ104" s="1088"/>
      <c r="KR104" s="1088"/>
      <c r="KS104" s="1088"/>
      <c r="KT104" s="1088"/>
      <c r="KU104" s="1088"/>
      <c r="KV104" s="1088"/>
      <c r="KW104" s="1088"/>
      <c r="KX104" s="1088"/>
      <c r="KY104" s="1088"/>
      <c r="KZ104" s="1088"/>
      <c r="LA104" s="1088"/>
      <c r="LB104" s="1088"/>
      <c r="LC104" s="1088"/>
      <c r="LD104" s="1088"/>
      <c r="LE104" s="1088"/>
      <c r="LF104" s="1088"/>
      <c r="LG104" s="1088"/>
      <c r="LH104" s="1088"/>
      <c r="LI104" s="1088"/>
      <c r="LJ104" s="1088"/>
      <c r="LK104" s="1088"/>
      <c r="LL104" s="1088"/>
      <c r="LM104" s="1088"/>
      <c r="LN104" s="1088"/>
      <c r="LO104" s="1088"/>
      <c r="LP104" s="1088"/>
      <c r="LQ104" s="1088"/>
      <c r="LR104" s="1088"/>
      <c r="LS104" s="1088"/>
      <c r="LT104" s="1088"/>
      <c r="LU104" s="1088"/>
      <c r="LV104" s="1088"/>
      <c r="LW104" s="1088"/>
      <c r="LX104" s="1088"/>
      <c r="LY104" s="1088"/>
      <c r="LZ104" s="1088"/>
      <c r="MA104" s="1088"/>
      <c r="MB104" s="1088"/>
      <c r="MC104" s="1088"/>
      <c r="MD104" s="1088"/>
      <c r="ME104" s="1088"/>
      <c r="MF104" s="1088"/>
      <c r="MG104" s="1088"/>
      <c r="MH104" s="1088"/>
      <c r="MI104" s="1088"/>
      <c r="MJ104" s="1088"/>
      <c r="MK104" s="1088"/>
      <c r="ML104" s="1088"/>
      <c r="MM104" s="1088"/>
      <c r="MN104" s="1088"/>
      <c r="MO104" s="1088"/>
      <c r="MP104" s="1088"/>
      <c r="MQ104" s="1088"/>
      <c r="MR104" s="1088"/>
      <c r="MS104" s="1088"/>
      <c r="MT104" s="1088"/>
      <c r="MU104" s="1088"/>
      <c r="MV104" s="1088"/>
      <c r="MW104" s="1088"/>
      <c r="MX104" s="1088"/>
      <c r="MY104" s="1088"/>
      <c r="MZ104" s="1088"/>
      <c r="NA104" s="1088"/>
      <c r="NB104" s="1088"/>
      <c r="NC104" s="1088"/>
      <c r="ND104" s="1088"/>
      <c r="NE104" s="1088"/>
    </row>
    <row r="105" customFormat="1" ht="14.5" spans="1:369">
      <c r="A105" s="1068" t="str">
        <f>人物卡!AB61</f>
        <v>自定义10</v>
      </c>
      <c r="B105" s="1069" t="str">
        <f>IF(OR(A105="说服",A105="话术",A105="取悦",A105="恐吓"),"☯",IF(ISNUMBER(SEARCH(A105,VLOOKUP(IX$2,职业列表!$B$1:$G$370,6,0))),"★",""))</f>
        <v/>
      </c>
      <c r="C105" s="1071" t="str">
        <f>IF(ISTEXT(IFERROR(VLOOKUP(A105,职业列表!I37:J44,1,FALSE),0)),"★","")</f>
        <v/>
      </c>
      <c r="D105" s="1069"/>
      <c r="E105" s="1069"/>
      <c r="F105" s="1069"/>
      <c r="G105" s="1069"/>
      <c r="H105" s="1069"/>
      <c r="I105" s="1069"/>
      <c r="J105" s="1069"/>
      <c r="K105" s="1069"/>
      <c r="L105" s="1069"/>
      <c r="M105" s="1069"/>
      <c r="N105" s="1069"/>
      <c r="O105" s="1069"/>
      <c r="P105" s="1069"/>
      <c r="Q105" s="1069"/>
      <c r="R105" s="1069"/>
      <c r="S105" s="1069"/>
      <c r="T105" s="1069"/>
      <c r="U105" s="1069"/>
      <c r="V105" s="1069"/>
      <c r="W105" s="1069"/>
      <c r="X105" s="1069"/>
      <c r="Y105" s="1069"/>
      <c r="Z105" s="1069"/>
      <c r="AA105" s="1069"/>
      <c r="AB105" s="1069"/>
      <c r="AC105" s="1069"/>
      <c r="AD105" s="1069"/>
      <c r="AE105" s="1069"/>
      <c r="AF105" s="1069"/>
      <c r="AG105" s="1069"/>
      <c r="AH105" s="1069"/>
      <c r="AI105" s="1069"/>
      <c r="AJ105" s="1069"/>
      <c r="AK105" s="1069"/>
      <c r="AL105" s="1069"/>
      <c r="AM105" s="1069"/>
      <c r="AN105" s="1069"/>
      <c r="AO105" s="1069"/>
      <c r="AP105" s="1069"/>
      <c r="AQ105" s="1069"/>
      <c r="AR105" s="1069"/>
      <c r="AS105" s="1069"/>
      <c r="AT105" s="1069"/>
      <c r="AU105" s="1069"/>
      <c r="AV105" s="1069"/>
      <c r="AW105" s="1069"/>
      <c r="AX105" s="1069"/>
      <c r="AY105" s="1069"/>
      <c r="AZ105" s="1069"/>
      <c r="BA105" s="1069"/>
      <c r="BB105" s="1069"/>
      <c r="BC105" s="1069"/>
      <c r="BD105" s="1069"/>
      <c r="BE105" s="1069"/>
      <c r="BF105" s="1069"/>
      <c r="BG105" s="1069"/>
      <c r="BH105" s="1069"/>
      <c r="BI105" s="1069"/>
      <c r="BJ105" s="1069"/>
      <c r="BK105" s="1069"/>
      <c r="BL105" s="1069"/>
      <c r="BM105" s="1069"/>
      <c r="BN105" s="1069"/>
      <c r="BO105" s="1069"/>
      <c r="BP105" s="1069"/>
      <c r="BQ105" s="1069"/>
      <c r="BR105" s="1069"/>
      <c r="BS105" s="1069"/>
      <c r="BT105" s="1069"/>
      <c r="BU105" s="1069"/>
      <c r="BV105" s="1069"/>
      <c r="BW105" s="1069"/>
      <c r="BX105" s="1069"/>
      <c r="BY105" s="1069"/>
      <c r="BZ105" s="1069"/>
      <c r="CA105" s="1069"/>
      <c r="CB105" s="1069"/>
      <c r="CC105" s="1069"/>
      <c r="CD105" s="1069"/>
      <c r="CE105" s="1069"/>
      <c r="CF105" s="1069"/>
      <c r="CG105" s="1069"/>
      <c r="CH105" s="1069"/>
      <c r="CI105" s="1069"/>
      <c r="CJ105" s="1069"/>
      <c r="CK105" s="1069"/>
      <c r="CL105" s="1069"/>
      <c r="CM105" s="1069"/>
      <c r="CN105" s="1069"/>
      <c r="CO105" s="1069"/>
      <c r="CP105" s="1069"/>
      <c r="CQ105" s="1069"/>
      <c r="CR105" s="1069"/>
      <c r="CS105" s="1069"/>
      <c r="CT105" s="1069"/>
      <c r="CU105" s="1069"/>
      <c r="CV105" s="1069"/>
      <c r="CW105" s="1069"/>
      <c r="CX105" s="1069"/>
      <c r="CY105" s="1069"/>
      <c r="CZ105" s="1069"/>
      <c r="DA105" s="1069"/>
      <c r="DB105" s="1069"/>
      <c r="DC105" s="1069"/>
      <c r="DD105" s="1069"/>
      <c r="DE105" s="1069"/>
      <c r="DF105" s="1069"/>
      <c r="DG105" s="1069"/>
      <c r="DH105" s="1069"/>
      <c r="DI105" s="1069"/>
      <c r="DJ105" s="1069"/>
      <c r="DK105" s="1069"/>
      <c r="DL105" s="1069"/>
      <c r="DM105" s="1069"/>
      <c r="DN105" s="1069"/>
      <c r="DO105" s="1069"/>
      <c r="DP105" s="1069"/>
      <c r="DQ105" s="1069"/>
      <c r="DR105" s="1069"/>
      <c r="DS105" s="1069"/>
      <c r="DT105" s="1069"/>
      <c r="DU105" s="1069"/>
      <c r="DV105" s="1069"/>
      <c r="DW105" s="1069"/>
      <c r="DX105" s="1069"/>
      <c r="DY105" s="1069"/>
      <c r="DZ105" s="1069"/>
      <c r="EA105" s="1069"/>
      <c r="EB105" s="1069"/>
      <c r="EC105" s="1069"/>
      <c r="ED105" s="1069"/>
      <c r="EE105" s="1069"/>
      <c r="EF105" s="1069"/>
      <c r="EG105" s="1069"/>
      <c r="EH105" s="1069"/>
      <c r="EI105" s="1069"/>
      <c r="EJ105" s="1069"/>
      <c r="EK105" s="1069"/>
      <c r="EL105" s="1069"/>
      <c r="EM105" s="1069"/>
      <c r="EN105" s="1069"/>
      <c r="EO105" s="1069"/>
      <c r="EP105" s="1069"/>
      <c r="EQ105" s="1069"/>
      <c r="ER105" s="1069"/>
      <c r="ES105" s="1069"/>
      <c r="ET105" s="1069"/>
      <c r="EU105" s="1069"/>
      <c r="EV105" s="1069"/>
      <c r="EW105" s="1069"/>
      <c r="EX105" s="1069"/>
      <c r="EY105" s="1069"/>
      <c r="EZ105" s="1069"/>
      <c r="FA105" s="1069"/>
      <c r="FB105" s="1069"/>
      <c r="FC105" s="1069"/>
      <c r="FD105" s="1069"/>
      <c r="FE105" s="1069"/>
      <c r="FF105" s="1069"/>
      <c r="FG105" s="1069"/>
      <c r="FH105" s="1069"/>
      <c r="FI105" s="1069"/>
      <c r="FJ105" s="1069"/>
      <c r="FK105" s="1069"/>
      <c r="FL105" s="1069"/>
      <c r="FM105" s="1069"/>
      <c r="FN105" s="1069"/>
      <c r="FO105" s="1069"/>
      <c r="FP105" s="1069"/>
      <c r="FQ105" s="1069"/>
      <c r="FR105" s="1069"/>
      <c r="FS105" s="1069"/>
      <c r="FT105" s="1069"/>
      <c r="FU105" s="1069"/>
      <c r="FV105" s="1069"/>
      <c r="FW105" s="1069"/>
      <c r="FX105" s="1069"/>
      <c r="FY105" s="1069"/>
      <c r="FZ105" s="1069"/>
      <c r="GA105" s="1069"/>
      <c r="GB105" s="1069"/>
      <c r="GC105" s="1069"/>
      <c r="GD105" s="1069"/>
      <c r="GE105" s="1069"/>
      <c r="GF105" s="1069"/>
      <c r="GG105" s="1069"/>
      <c r="GH105" s="1069"/>
      <c r="GI105" s="1069"/>
      <c r="GJ105" s="1069"/>
      <c r="GK105" s="1069"/>
      <c r="GL105" s="1069"/>
      <c r="GM105" s="1069"/>
      <c r="GN105" s="1069"/>
      <c r="GO105" s="1069"/>
      <c r="GP105" s="1069"/>
      <c r="GQ105" s="1069"/>
      <c r="GR105" s="1069"/>
      <c r="GS105" s="1069"/>
      <c r="GT105" s="1069"/>
      <c r="GU105" s="1069"/>
      <c r="GV105" s="1069"/>
      <c r="GW105" s="1069"/>
      <c r="GX105" s="1069"/>
      <c r="GY105" s="1069"/>
      <c r="GZ105" s="1069"/>
      <c r="HA105" s="1069"/>
      <c r="HB105" s="1069"/>
      <c r="HC105" s="1069"/>
      <c r="HD105" s="1069"/>
      <c r="HE105" s="1069"/>
      <c r="HF105" s="1069"/>
      <c r="HG105" s="1069"/>
      <c r="HH105" s="1069"/>
      <c r="HI105" s="1069"/>
      <c r="HJ105" s="1069"/>
      <c r="HK105" s="1069"/>
      <c r="HL105" s="1069"/>
      <c r="HM105" s="1069"/>
      <c r="HN105" s="1069"/>
      <c r="HO105" s="1069"/>
      <c r="HP105" s="1069"/>
      <c r="HQ105" s="1069"/>
      <c r="HR105" s="1069"/>
      <c r="HS105" s="1069"/>
      <c r="HT105" s="1069"/>
      <c r="HU105" s="1069"/>
      <c r="HV105" s="1069"/>
      <c r="HW105" s="1069"/>
      <c r="HX105" s="1080"/>
      <c r="HY105" s="1069"/>
      <c r="HZ105" s="1069"/>
      <c r="IA105" s="1069"/>
      <c r="IB105" s="1069"/>
      <c r="IC105" s="1080"/>
      <c r="ID105" s="1080"/>
      <c r="IE105" s="1069"/>
      <c r="IF105" s="1069"/>
      <c r="IG105" s="1069"/>
      <c r="IH105" s="1069"/>
      <c r="II105" s="1069"/>
      <c r="IJ105" s="1069"/>
      <c r="IK105" s="1088"/>
      <c r="IL105" s="1088"/>
      <c r="IM105" s="1088"/>
      <c r="IN105" s="1088"/>
      <c r="IO105" s="1088"/>
      <c r="IP105" s="1088"/>
      <c r="IQ105" s="1088"/>
      <c r="IR105" s="1088"/>
      <c r="IS105" s="1088"/>
      <c r="IT105" s="1088"/>
      <c r="IU105" s="1088"/>
      <c r="IV105" s="1088"/>
      <c r="IW105" s="1088"/>
      <c r="IX105" s="1088"/>
      <c r="IY105" s="1088"/>
      <c r="IZ105" s="1088"/>
      <c r="JA105" s="1088"/>
      <c r="JB105" s="1088"/>
      <c r="JC105" s="1088"/>
      <c r="JD105" s="1088"/>
      <c r="JE105" s="1088"/>
      <c r="JF105" s="1088"/>
      <c r="JG105" s="1088"/>
      <c r="JH105" s="1088"/>
      <c r="JI105" s="1088"/>
      <c r="JJ105" s="1088"/>
      <c r="JK105" s="1088"/>
      <c r="JL105" s="1088"/>
      <c r="JM105" s="1088"/>
      <c r="JN105" s="1088"/>
      <c r="JO105" s="1088"/>
      <c r="JP105" s="1088"/>
      <c r="JQ105" s="1088"/>
      <c r="JR105" s="1088"/>
      <c r="JS105" s="1088"/>
      <c r="JT105" s="1088"/>
      <c r="JU105" s="1088"/>
      <c r="JV105" s="1088"/>
      <c r="JW105" s="1088"/>
      <c r="JX105" s="1088"/>
      <c r="JY105" s="1088"/>
      <c r="JZ105" s="1088"/>
      <c r="KA105" s="1088"/>
      <c r="KB105" s="1088"/>
      <c r="KC105" s="1088"/>
      <c r="KD105" s="1088"/>
      <c r="KE105" s="1088"/>
      <c r="KF105" s="1088"/>
      <c r="KG105" s="1088"/>
      <c r="KH105" s="1088"/>
      <c r="KI105" s="1088"/>
      <c r="KJ105" s="1088"/>
      <c r="KK105" s="1088"/>
      <c r="KL105" s="1088"/>
      <c r="KM105" s="1088"/>
      <c r="KN105" s="1088"/>
      <c r="KO105" s="1088"/>
      <c r="KP105" s="1088"/>
      <c r="KQ105" s="1088"/>
      <c r="KR105" s="1088"/>
      <c r="KS105" s="1088"/>
      <c r="KT105" s="1088"/>
      <c r="KU105" s="1088"/>
      <c r="KV105" s="1088"/>
      <c r="KW105" s="1088"/>
      <c r="KX105" s="1088"/>
      <c r="KY105" s="1088"/>
      <c r="KZ105" s="1088"/>
      <c r="LA105" s="1088"/>
      <c r="LB105" s="1088"/>
      <c r="LC105" s="1088"/>
      <c r="LD105" s="1088"/>
      <c r="LE105" s="1088"/>
      <c r="LF105" s="1088"/>
      <c r="LG105" s="1088"/>
      <c r="LH105" s="1088"/>
      <c r="LI105" s="1088"/>
      <c r="LJ105" s="1088"/>
      <c r="LK105" s="1088"/>
      <c r="LL105" s="1088"/>
      <c r="LM105" s="1088"/>
      <c r="LN105" s="1088"/>
      <c r="LO105" s="1088"/>
      <c r="LP105" s="1088"/>
      <c r="LQ105" s="1088"/>
      <c r="LR105" s="1088"/>
      <c r="LS105" s="1088"/>
      <c r="LT105" s="1088"/>
      <c r="LU105" s="1088"/>
      <c r="LV105" s="1088"/>
      <c r="LW105" s="1088"/>
      <c r="LX105" s="1088"/>
      <c r="LY105" s="1088"/>
      <c r="LZ105" s="1088"/>
      <c r="MA105" s="1088"/>
      <c r="MB105" s="1088"/>
      <c r="MC105" s="1088"/>
      <c r="MD105" s="1088"/>
      <c r="ME105" s="1088"/>
      <c r="MF105" s="1088"/>
      <c r="MG105" s="1088"/>
      <c r="MH105" s="1088"/>
      <c r="MI105" s="1088"/>
      <c r="MJ105" s="1088"/>
      <c r="MK105" s="1088"/>
      <c r="ML105" s="1088"/>
      <c r="MM105" s="1088"/>
      <c r="MN105" s="1088"/>
      <c r="MO105" s="1088"/>
      <c r="MP105" s="1088"/>
      <c r="MQ105" s="1088"/>
      <c r="MR105" s="1088"/>
      <c r="MS105" s="1088"/>
      <c r="MT105" s="1088"/>
      <c r="MU105" s="1088"/>
      <c r="MV105" s="1088"/>
      <c r="MW105" s="1088"/>
      <c r="MX105" s="1088"/>
      <c r="MY105" s="1088"/>
      <c r="MZ105" s="1088"/>
      <c r="NA105" s="1088"/>
      <c r="NB105" s="1088"/>
      <c r="NC105" s="1088"/>
      <c r="ND105" s="1088"/>
      <c r="NE105" s="1088"/>
    </row>
    <row r="106" customFormat="1" spans="1:369">
      <c r="A106" s="932" t="str">
        <f>人物卡!F73</f>
        <v>生活水平</v>
      </c>
      <c r="B106" s="929" t="str">
        <f>IF(OR(A106="说服",A106="话术",A106="取悦",A106="恐吓"),"☯",IF(ISNUMBER(SEARCH(A106,VLOOKUP(IX$2,职业列表!$B$1:$G$370,6,0))),"★",""))</f>
        <v/>
      </c>
      <c r="C106" s="940"/>
      <c r="D106" s="929"/>
      <c r="E106" s="929"/>
      <c r="F106" s="929"/>
      <c r="G106" s="929"/>
      <c r="H106" s="929"/>
      <c r="I106" s="929"/>
      <c r="J106" s="929"/>
      <c r="K106" s="929"/>
      <c r="L106" s="929"/>
      <c r="M106" s="929"/>
      <c r="N106" s="929"/>
      <c r="O106" s="929"/>
      <c r="P106" s="929"/>
      <c r="Q106" s="929"/>
      <c r="R106" s="929"/>
      <c r="S106" s="929"/>
      <c r="T106" s="929"/>
      <c r="U106" s="929"/>
      <c r="V106" s="929"/>
      <c r="W106" s="929"/>
      <c r="X106" s="929"/>
      <c r="Y106" s="929"/>
      <c r="Z106" s="929"/>
      <c r="AA106" s="929"/>
      <c r="AB106" s="929"/>
      <c r="AC106" s="929"/>
      <c r="AD106" s="929"/>
      <c r="AE106" s="929"/>
      <c r="AF106" s="929"/>
      <c r="AG106" s="929"/>
      <c r="AH106" s="929"/>
      <c r="AI106" s="929"/>
      <c r="AJ106" s="929"/>
      <c r="AK106" s="929"/>
      <c r="AL106" s="929"/>
      <c r="AM106" s="929"/>
      <c r="AN106" s="929"/>
      <c r="AO106" s="929"/>
      <c r="AP106" s="929"/>
      <c r="AQ106" s="929"/>
      <c r="AR106" s="929"/>
      <c r="AS106" s="929"/>
      <c r="AT106" s="929"/>
      <c r="AU106" s="929"/>
      <c r="AV106" s="929"/>
      <c r="AW106" s="929"/>
      <c r="AX106" s="929"/>
      <c r="AY106" s="929"/>
      <c r="AZ106" s="929"/>
      <c r="BA106" s="929"/>
      <c r="BB106" s="929"/>
      <c r="BC106" s="929"/>
      <c r="BD106" s="929"/>
      <c r="BE106" s="929"/>
      <c r="BF106" s="929"/>
      <c r="BG106" s="929"/>
      <c r="BH106" s="929"/>
      <c r="BI106" s="929"/>
      <c r="BJ106" s="929"/>
      <c r="BK106" s="929"/>
      <c r="BL106" s="929"/>
      <c r="BM106" s="929"/>
      <c r="BN106" s="929"/>
      <c r="BO106" s="929"/>
      <c r="BP106" s="929"/>
      <c r="BQ106" s="929"/>
      <c r="BR106" s="929"/>
      <c r="BS106" s="929"/>
      <c r="BT106" s="929"/>
      <c r="BU106" s="929"/>
      <c r="BV106" s="929"/>
      <c r="BW106" s="929"/>
      <c r="BX106" s="929"/>
      <c r="BY106" s="929"/>
      <c r="BZ106" s="929"/>
      <c r="CA106" s="929"/>
      <c r="CB106" s="929"/>
      <c r="CC106" s="929"/>
      <c r="CD106" s="929"/>
      <c r="CE106" s="929"/>
      <c r="CF106" s="929"/>
      <c r="CG106" s="929"/>
      <c r="CH106" s="929"/>
      <c r="CI106" s="929"/>
      <c r="CJ106" s="929"/>
      <c r="CK106" s="929"/>
      <c r="CL106" s="929"/>
      <c r="CM106" s="929"/>
      <c r="CN106" s="929"/>
      <c r="CO106" s="929"/>
      <c r="CP106" s="929"/>
      <c r="CQ106" s="929"/>
      <c r="CR106" s="929"/>
      <c r="CS106" s="929"/>
      <c r="CT106" s="929"/>
      <c r="CU106" s="929"/>
      <c r="CV106" s="929"/>
      <c r="CW106" s="929"/>
      <c r="CX106" s="929"/>
      <c r="CY106" s="929"/>
      <c r="CZ106" s="929"/>
      <c r="DA106" s="929"/>
      <c r="DB106" s="929"/>
      <c r="DC106" s="929"/>
      <c r="DD106" s="929"/>
      <c r="DE106" s="929"/>
      <c r="DF106" s="929"/>
      <c r="DG106" s="929"/>
      <c r="DH106" s="929"/>
      <c r="DI106" s="929"/>
      <c r="DJ106" s="929"/>
      <c r="DK106" s="929"/>
      <c r="DL106" s="929"/>
      <c r="DM106" s="929"/>
      <c r="DN106" s="929"/>
      <c r="DO106" s="929"/>
      <c r="DP106" s="929"/>
      <c r="DQ106" s="929"/>
      <c r="DR106" s="929"/>
      <c r="DS106" s="929"/>
      <c r="DT106" s="929"/>
      <c r="DU106" s="929"/>
      <c r="DV106" s="929"/>
      <c r="DW106" s="929"/>
      <c r="DX106" s="929"/>
      <c r="DY106" s="929"/>
      <c r="DZ106" s="929"/>
      <c r="EA106" s="929"/>
      <c r="EB106" s="929"/>
      <c r="EC106" s="929"/>
      <c r="ED106" s="929"/>
      <c r="EE106" s="929"/>
      <c r="EF106" s="929"/>
      <c r="EG106" s="929"/>
      <c r="EH106" s="929"/>
      <c r="EI106" s="929"/>
      <c r="EJ106" s="929"/>
      <c r="EK106" s="929"/>
      <c r="EL106" s="929"/>
      <c r="EM106" s="929"/>
      <c r="EN106" s="929"/>
      <c r="EO106" s="929"/>
      <c r="EP106" s="929"/>
      <c r="EQ106" s="929"/>
      <c r="ER106" s="929"/>
      <c r="ES106" s="929"/>
      <c r="ET106" s="929"/>
      <c r="EU106" s="929"/>
      <c r="EV106" s="929"/>
      <c r="EW106" s="929"/>
      <c r="EX106" s="929"/>
      <c r="EY106" s="929"/>
      <c r="EZ106" s="929"/>
      <c r="FA106" s="929"/>
      <c r="FB106" s="929"/>
      <c r="FC106" s="929"/>
      <c r="FD106" s="929"/>
      <c r="FE106" s="929"/>
      <c r="FF106" s="929"/>
      <c r="FG106" s="929"/>
      <c r="FH106" s="929"/>
      <c r="FI106" s="929"/>
      <c r="FJ106" s="929"/>
      <c r="FK106" s="929"/>
      <c r="FL106" s="929"/>
      <c r="FM106" s="929"/>
      <c r="FN106" s="929"/>
      <c r="FO106" s="929"/>
      <c r="FP106" s="929"/>
      <c r="FQ106" s="929"/>
      <c r="FR106" s="929"/>
      <c r="FS106" s="929"/>
      <c r="FT106" s="929"/>
      <c r="FU106" s="929"/>
      <c r="FV106" s="929"/>
      <c r="FW106" s="929"/>
      <c r="FX106" s="929"/>
      <c r="FY106" s="929"/>
      <c r="FZ106" s="929"/>
      <c r="GA106" s="929"/>
      <c r="GB106" s="929"/>
      <c r="GC106" s="929"/>
      <c r="GD106" s="929"/>
      <c r="GE106" s="929"/>
      <c r="GF106" s="929"/>
      <c r="GG106" s="929"/>
      <c r="GH106" s="929"/>
      <c r="GI106" s="929"/>
      <c r="GJ106" s="929"/>
      <c r="GK106" s="929"/>
      <c r="GL106" s="929"/>
      <c r="GM106" s="929"/>
      <c r="GN106" s="929"/>
      <c r="GO106" s="929"/>
      <c r="GP106" s="929"/>
      <c r="GQ106" s="929"/>
      <c r="GR106" s="929"/>
      <c r="GS106" s="929"/>
      <c r="GT106" s="929"/>
      <c r="GU106" s="929"/>
      <c r="GV106" s="929"/>
      <c r="GW106" s="929"/>
      <c r="GX106" s="929"/>
      <c r="GY106" s="929"/>
      <c r="GZ106" s="929"/>
      <c r="HA106" s="929"/>
      <c r="HB106" s="929"/>
      <c r="HC106" s="929"/>
      <c r="HD106" s="929"/>
      <c r="HE106" s="929"/>
      <c r="HF106" s="929"/>
      <c r="HG106" s="929"/>
      <c r="HH106" s="929"/>
      <c r="HI106" s="929"/>
      <c r="HJ106" s="929"/>
      <c r="HK106" s="929"/>
      <c r="HL106" s="929"/>
      <c r="HM106" s="929"/>
      <c r="HN106" s="929"/>
      <c r="HO106" s="929"/>
      <c r="HP106" s="929"/>
      <c r="HQ106" s="929"/>
      <c r="HR106" s="929"/>
      <c r="HS106" s="929"/>
      <c r="HT106" s="929"/>
      <c r="HU106" s="929"/>
      <c r="HV106" s="929"/>
      <c r="HW106" s="929"/>
      <c r="HX106" s="1011"/>
      <c r="HY106" s="929"/>
      <c r="HZ106" s="929"/>
      <c r="IA106" s="929"/>
      <c r="IB106" s="929"/>
      <c r="IC106" s="1011"/>
      <c r="ID106" s="1011"/>
      <c r="IE106" s="929"/>
      <c r="IF106" s="929"/>
      <c r="IG106" s="929"/>
      <c r="IH106" s="929"/>
      <c r="II106" s="929"/>
      <c r="IJ106" s="1048"/>
      <c r="IK106" s="1048"/>
      <c r="IL106" s="1048"/>
      <c r="IM106" s="1048"/>
      <c r="IN106" s="1048"/>
      <c r="IO106" s="1048"/>
      <c r="IP106" s="1048"/>
      <c r="IQ106" s="1048"/>
      <c r="IR106" s="1048"/>
      <c r="IS106" s="1048"/>
      <c r="IT106" s="1048"/>
      <c r="IU106" s="1048"/>
      <c r="IV106" s="1048"/>
      <c r="IW106" s="1048"/>
      <c r="IX106" s="1048"/>
      <c r="IY106" s="1048"/>
      <c r="IZ106" s="1048"/>
      <c r="JA106" s="1048"/>
      <c r="JB106" s="1048"/>
      <c r="JC106" s="1048"/>
      <c r="JD106" s="1048"/>
      <c r="JE106" s="1048"/>
      <c r="JF106" s="1048"/>
      <c r="JG106" s="1048"/>
      <c r="JH106" s="1048"/>
      <c r="JI106" s="1048"/>
      <c r="JJ106" s="1048"/>
      <c r="JK106" s="1048"/>
      <c r="JL106" s="1048"/>
      <c r="JM106" s="1048"/>
      <c r="JN106" s="1048"/>
      <c r="JO106" s="1048"/>
      <c r="JP106" s="1048"/>
      <c r="JQ106" s="1048"/>
      <c r="JR106" s="1048"/>
      <c r="JS106" s="1048"/>
      <c r="JT106" s="1048"/>
      <c r="JU106" s="1048"/>
      <c r="JV106" s="1048"/>
      <c r="JW106" s="1048"/>
      <c r="JX106" s="1048"/>
      <c r="JY106" s="1048"/>
      <c r="JZ106" s="1048"/>
      <c r="KA106" s="1048"/>
      <c r="KB106" s="1048"/>
      <c r="KC106" s="1048"/>
      <c r="KD106" s="1048"/>
      <c r="KE106" s="1048"/>
      <c r="KF106" s="1048"/>
      <c r="KG106" s="1048"/>
      <c r="KH106" s="1048"/>
      <c r="KI106" s="1048"/>
      <c r="KJ106" s="1048"/>
      <c r="KK106" s="1048"/>
      <c r="KL106" s="1048"/>
      <c r="KM106" s="1048"/>
      <c r="KN106" s="1048"/>
      <c r="KO106" s="1048"/>
      <c r="KP106" s="1048"/>
      <c r="KQ106" s="1048"/>
      <c r="KR106" s="1048"/>
      <c r="KS106" s="1048"/>
      <c r="KT106" s="1048"/>
      <c r="KU106" s="1048"/>
      <c r="KV106" s="1048"/>
      <c r="KW106" s="1048"/>
      <c r="KX106" s="1048"/>
      <c r="KY106" s="1048"/>
      <c r="KZ106" s="1048"/>
      <c r="LA106" s="1048"/>
      <c r="LB106" s="1048"/>
      <c r="LC106" s="1048"/>
      <c r="LD106" s="1048"/>
      <c r="LE106" s="1048"/>
      <c r="LF106" s="1048"/>
      <c r="LG106" s="1048"/>
      <c r="LH106" s="1048"/>
      <c r="LI106" s="1048"/>
      <c r="LJ106" s="1048"/>
      <c r="LK106" s="1048"/>
      <c r="LL106" s="1048"/>
      <c r="LM106" s="1048"/>
      <c r="LN106" s="1048"/>
      <c r="LO106" s="1048"/>
      <c r="LP106" s="1048"/>
      <c r="LQ106" s="1048"/>
      <c r="LR106" s="1048"/>
      <c r="LS106" s="1048"/>
      <c r="LT106" s="1048"/>
      <c r="LU106" s="1048"/>
      <c r="LV106" s="1048"/>
      <c r="LW106" s="1048"/>
      <c r="LX106" s="1048"/>
      <c r="LY106" s="1048"/>
      <c r="LZ106" s="1048"/>
      <c r="MA106" s="1048"/>
      <c r="MB106" s="1048"/>
      <c r="MC106" s="1048"/>
      <c r="MD106" s="1048"/>
      <c r="ME106" s="1048"/>
      <c r="MF106" s="1048"/>
      <c r="MG106" s="1048"/>
      <c r="MH106" s="1048"/>
      <c r="MI106" s="1048"/>
      <c r="MJ106" s="1048"/>
      <c r="MK106" s="1048"/>
      <c r="ML106" s="1048"/>
      <c r="MM106" s="1048"/>
      <c r="MN106" s="1048"/>
      <c r="MO106" s="1048"/>
      <c r="MP106" s="1048"/>
      <c r="MQ106" s="1048"/>
      <c r="MR106" s="1048"/>
      <c r="MS106" s="1048"/>
      <c r="MT106" s="1048"/>
      <c r="MU106" s="1048"/>
      <c r="MV106" s="1048"/>
      <c r="MW106" s="1048"/>
      <c r="MX106" s="1048"/>
      <c r="MY106" s="1048"/>
      <c r="MZ106" s="1048"/>
      <c r="NA106" s="1048"/>
      <c r="NB106" s="1048"/>
      <c r="NC106" s="1048"/>
      <c r="ND106" s="1048"/>
      <c r="NE106" s="1048"/>
    </row>
    <row r="107" customFormat="1" spans="1:369">
      <c r="A107" s="932">
        <f>人物卡!AB72</f>
        <v>0</v>
      </c>
      <c r="B107" s="929" t="str">
        <f>IF(OR(A107="说服",A107="话术",A107="取悦",A107="恐吓"),"☯",IF(ISNUMBER(SEARCH(A107,VLOOKUP(IX$2,职业列表!$B$1:$G$370,6,0))),"★",""))</f>
        <v/>
      </c>
      <c r="C107" s="939"/>
      <c r="D107" s="929"/>
      <c r="E107" s="929"/>
      <c r="F107" s="929"/>
      <c r="G107" s="929"/>
      <c r="H107" s="929"/>
      <c r="I107" s="929"/>
      <c r="J107" s="929"/>
      <c r="K107" s="929"/>
      <c r="L107" s="929"/>
      <c r="M107" s="929"/>
      <c r="N107" s="929"/>
      <c r="O107" s="929"/>
      <c r="P107" s="929"/>
      <c r="Q107" s="929"/>
      <c r="R107" s="929"/>
      <c r="S107" s="929"/>
      <c r="T107" s="929"/>
      <c r="U107" s="929"/>
      <c r="V107" s="929"/>
      <c r="W107" s="929"/>
      <c r="X107" s="929"/>
      <c r="Y107" s="929"/>
      <c r="Z107" s="929"/>
      <c r="AA107" s="929"/>
      <c r="AB107" s="929"/>
      <c r="AC107" s="929"/>
      <c r="AD107" s="929"/>
      <c r="AE107" s="929"/>
      <c r="AF107" s="929"/>
      <c r="AG107" s="929"/>
      <c r="AH107" s="929"/>
      <c r="AI107" s="929"/>
      <c r="AJ107" s="929"/>
      <c r="AK107" s="929"/>
      <c r="AL107" s="929"/>
      <c r="AM107" s="929"/>
      <c r="AN107" s="929"/>
      <c r="AO107" s="929"/>
      <c r="AP107" s="929"/>
      <c r="AQ107" s="929"/>
      <c r="AR107" s="929"/>
      <c r="AS107" s="929"/>
      <c r="AT107" s="929"/>
      <c r="AU107" s="929"/>
      <c r="AV107" s="929"/>
      <c r="AW107" s="929"/>
      <c r="AX107" s="929"/>
      <c r="AY107" s="929"/>
      <c r="AZ107" s="929"/>
      <c r="BA107" s="929"/>
      <c r="BB107" s="929"/>
      <c r="BC107" s="929"/>
      <c r="BD107" s="929"/>
      <c r="BE107" s="929"/>
      <c r="BF107" s="929"/>
      <c r="BG107" s="929"/>
      <c r="BH107" s="929"/>
      <c r="BI107" s="929"/>
      <c r="BJ107" s="929"/>
      <c r="BK107" s="929"/>
      <c r="BL107" s="929"/>
      <c r="BM107" s="929"/>
      <c r="BN107" s="929"/>
      <c r="BO107" s="929"/>
      <c r="BP107" s="929"/>
      <c r="BQ107" s="929"/>
      <c r="BR107" s="929"/>
      <c r="BS107" s="929"/>
      <c r="BT107" s="929"/>
      <c r="BU107" s="929"/>
      <c r="BV107" s="929"/>
      <c r="BW107" s="929"/>
      <c r="BX107" s="929"/>
      <c r="BY107" s="929"/>
      <c r="BZ107" s="929"/>
      <c r="CA107" s="929"/>
      <c r="CB107" s="929"/>
      <c r="CC107" s="929"/>
      <c r="CD107" s="929"/>
      <c r="CE107" s="929"/>
      <c r="CF107" s="929"/>
      <c r="CG107" s="929"/>
      <c r="CH107" s="929"/>
      <c r="CI107" s="929"/>
      <c r="CJ107" s="929"/>
      <c r="CK107" s="929"/>
      <c r="CL107" s="929"/>
      <c r="CM107" s="929"/>
      <c r="CN107" s="929"/>
      <c r="CO107" s="929"/>
      <c r="CP107" s="929"/>
      <c r="CQ107" s="929"/>
      <c r="CR107" s="929"/>
      <c r="CS107" s="929"/>
      <c r="CT107" s="929"/>
      <c r="CU107" s="929"/>
      <c r="CV107" s="929"/>
      <c r="CW107" s="929"/>
      <c r="CX107" s="929"/>
      <c r="CY107" s="929"/>
      <c r="CZ107" s="929"/>
      <c r="DA107" s="929"/>
      <c r="DB107" s="929"/>
      <c r="DC107" s="929"/>
      <c r="DD107" s="929"/>
      <c r="DE107" s="929"/>
      <c r="DF107" s="929"/>
      <c r="DG107" s="929"/>
      <c r="DH107" s="929"/>
      <c r="DI107" s="929"/>
      <c r="DJ107" s="929"/>
      <c r="DK107" s="929"/>
      <c r="DL107" s="929"/>
      <c r="DM107" s="929"/>
      <c r="DN107" s="929"/>
      <c r="DO107" s="929"/>
      <c r="DP107" s="929"/>
      <c r="DQ107" s="929"/>
      <c r="DR107" s="929"/>
      <c r="DS107" s="929"/>
      <c r="DT107" s="929"/>
      <c r="DU107" s="929"/>
      <c r="DV107" s="929"/>
      <c r="DW107" s="929"/>
      <c r="DX107" s="929"/>
      <c r="DY107" s="929"/>
      <c r="DZ107" s="929"/>
      <c r="EA107" s="929"/>
      <c r="EB107" s="929"/>
      <c r="EC107" s="929"/>
      <c r="ED107" s="929"/>
      <c r="EE107" s="929"/>
      <c r="EF107" s="929"/>
      <c r="EG107" s="929"/>
      <c r="EH107" s="929"/>
      <c r="EI107" s="929"/>
      <c r="EJ107" s="929"/>
      <c r="EK107" s="929"/>
      <c r="EL107" s="929"/>
      <c r="EM107" s="929"/>
      <c r="EN107" s="929"/>
      <c r="EO107" s="929"/>
      <c r="EP107" s="929"/>
      <c r="EQ107" s="929"/>
      <c r="ER107" s="929"/>
      <c r="ES107" s="929"/>
      <c r="ET107" s="929"/>
      <c r="EU107" s="929"/>
      <c r="EV107" s="929"/>
      <c r="EW107" s="929"/>
      <c r="EX107" s="929"/>
      <c r="EY107" s="929"/>
      <c r="EZ107" s="929"/>
      <c r="FA107" s="929"/>
      <c r="FB107" s="929"/>
      <c r="FC107" s="929"/>
      <c r="FD107" s="929"/>
      <c r="FE107" s="929"/>
      <c r="FF107" s="929"/>
      <c r="FG107" s="929"/>
      <c r="FH107" s="929"/>
      <c r="FI107" s="929"/>
      <c r="FJ107" s="929"/>
      <c r="FK107" s="929"/>
      <c r="FL107" s="929"/>
      <c r="FM107" s="929"/>
      <c r="FN107" s="929"/>
      <c r="FO107" s="929"/>
      <c r="FP107" s="929"/>
      <c r="FQ107" s="929"/>
      <c r="FR107" s="929"/>
      <c r="FS107" s="929"/>
      <c r="FT107" s="929"/>
      <c r="FU107" s="929"/>
      <c r="FV107" s="929"/>
      <c r="FW107" s="929"/>
      <c r="FX107" s="929"/>
      <c r="FY107" s="929"/>
      <c r="FZ107" s="929"/>
      <c r="GA107" s="929"/>
      <c r="GB107" s="929"/>
      <c r="GC107" s="929"/>
      <c r="GD107" s="929"/>
      <c r="GE107" s="929"/>
      <c r="GF107" s="929"/>
      <c r="GG107" s="929"/>
      <c r="GH107" s="929"/>
      <c r="GI107" s="929"/>
      <c r="GJ107" s="929"/>
      <c r="GK107" s="929"/>
      <c r="GL107" s="929"/>
      <c r="GM107" s="929"/>
      <c r="GN107" s="929"/>
      <c r="GO107" s="929"/>
      <c r="GP107" s="929"/>
      <c r="GQ107" s="929"/>
      <c r="GR107" s="929"/>
      <c r="GS107" s="929"/>
      <c r="GT107" s="929"/>
      <c r="GU107" s="929"/>
      <c r="GV107" s="929"/>
      <c r="GW107" s="929"/>
      <c r="GX107" s="929"/>
      <c r="GY107" s="929"/>
      <c r="GZ107" s="929"/>
      <c r="HA107" s="929"/>
      <c r="HB107" s="929"/>
      <c r="HC107" s="929"/>
      <c r="HD107" s="929"/>
      <c r="HE107" s="929"/>
      <c r="HF107" s="929"/>
      <c r="HG107" s="929"/>
      <c r="HH107" s="929"/>
      <c r="HI107" s="929"/>
      <c r="HJ107" s="929"/>
      <c r="HK107" s="929"/>
      <c r="HL107" s="929"/>
      <c r="HM107" s="929"/>
      <c r="HN107" s="929"/>
      <c r="HO107" s="929"/>
      <c r="HP107" s="929"/>
      <c r="HQ107" s="929"/>
      <c r="HR107" s="929"/>
      <c r="HS107" s="929"/>
      <c r="HT107" s="929"/>
      <c r="HU107" s="929"/>
      <c r="HV107" s="929"/>
      <c r="HW107" s="929"/>
      <c r="HX107" s="1011"/>
      <c r="HY107" s="929"/>
      <c r="HZ107" s="929"/>
      <c r="IA107" s="929"/>
      <c r="IB107" s="929"/>
      <c r="IC107" s="1011"/>
      <c r="ID107" s="1011"/>
      <c r="IE107" s="929"/>
      <c r="IF107" s="929"/>
      <c r="IG107" s="929"/>
      <c r="IH107" s="929"/>
      <c r="II107" s="929"/>
      <c r="IJ107" s="1048"/>
      <c r="IK107" s="1048"/>
      <c r="IL107" s="1048"/>
      <c r="IM107" s="1048"/>
      <c r="IN107" s="1048"/>
      <c r="IO107" s="1048"/>
      <c r="IP107" s="1048"/>
      <c r="IQ107" s="1048"/>
      <c r="IR107" s="1048"/>
      <c r="IS107" s="1048"/>
      <c r="IT107" s="1048"/>
      <c r="IU107" s="1048"/>
      <c r="IV107" s="1048"/>
      <c r="IW107" s="1048"/>
      <c r="IX107" s="1048"/>
      <c r="IY107" s="1048"/>
      <c r="IZ107" s="1048"/>
      <c r="JA107" s="1048"/>
      <c r="JB107" s="1048"/>
      <c r="JC107" s="1048"/>
      <c r="JD107" s="1048"/>
      <c r="JE107" s="1048"/>
      <c r="JF107" s="1048"/>
      <c r="JG107" s="1048"/>
      <c r="JH107" s="1048"/>
      <c r="JI107" s="1048"/>
      <c r="JJ107" s="1048"/>
      <c r="JK107" s="1048"/>
      <c r="JL107" s="1048"/>
      <c r="JM107" s="1048"/>
      <c r="JN107" s="1048"/>
      <c r="JO107" s="1048"/>
      <c r="JP107" s="1048"/>
      <c r="JQ107" s="1048"/>
      <c r="JR107" s="1048"/>
      <c r="JS107" s="1048"/>
      <c r="JT107" s="1048"/>
      <c r="JU107" s="1048"/>
      <c r="JV107" s="1048"/>
      <c r="JW107" s="1048"/>
      <c r="JX107" s="1048"/>
      <c r="JY107" s="1048"/>
      <c r="JZ107" s="1048"/>
      <c r="KA107" s="1048"/>
      <c r="KB107" s="1048"/>
      <c r="KC107" s="1048"/>
      <c r="KD107" s="1048"/>
      <c r="KE107" s="1048"/>
      <c r="KF107" s="1048"/>
      <c r="KG107" s="1048"/>
      <c r="KH107" s="1048"/>
      <c r="KI107" s="1048"/>
      <c r="KJ107" s="1048"/>
      <c r="KK107" s="1048"/>
      <c r="KL107" s="1048"/>
      <c r="KM107" s="1048"/>
      <c r="KN107" s="1048"/>
      <c r="KO107" s="1048"/>
      <c r="KP107" s="1048"/>
      <c r="KQ107" s="1048"/>
      <c r="KR107" s="1048"/>
      <c r="KS107" s="1048"/>
      <c r="KT107" s="1048"/>
      <c r="KU107" s="1048"/>
      <c r="KV107" s="1048"/>
      <c r="KW107" s="1048"/>
      <c r="KX107" s="1048"/>
      <c r="KY107" s="1048"/>
      <c r="KZ107" s="1048"/>
      <c r="LA107" s="1048"/>
      <c r="LB107" s="1048"/>
      <c r="LC107" s="1048"/>
      <c r="LD107" s="1048"/>
      <c r="LE107" s="1048"/>
      <c r="LF107" s="1048"/>
      <c r="LG107" s="1048"/>
      <c r="LH107" s="1048"/>
      <c r="LI107" s="1048"/>
      <c r="LJ107" s="1048"/>
      <c r="LK107" s="1048"/>
      <c r="LL107" s="1048"/>
      <c r="LM107" s="1048"/>
      <c r="LN107" s="1048"/>
      <c r="LO107" s="1048"/>
      <c r="LP107" s="1048"/>
      <c r="LQ107" s="1048"/>
      <c r="LR107" s="1048"/>
      <c r="LS107" s="1048"/>
      <c r="LT107" s="1048"/>
      <c r="LU107" s="1048"/>
      <c r="LV107" s="1048"/>
      <c r="LW107" s="1048"/>
      <c r="LX107" s="1048"/>
      <c r="LY107" s="1048"/>
      <c r="LZ107" s="1048"/>
      <c r="MA107" s="1048"/>
      <c r="MB107" s="1048"/>
      <c r="MC107" s="1048"/>
      <c r="MD107" s="1048"/>
      <c r="ME107" s="1048"/>
      <c r="MF107" s="1048"/>
      <c r="MG107" s="1048"/>
      <c r="MH107" s="1048"/>
      <c r="MI107" s="1048"/>
      <c r="MJ107" s="1048"/>
      <c r="MK107" s="1048"/>
      <c r="ML107" s="1048"/>
      <c r="MM107" s="1048"/>
      <c r="MN107" s="1048"/>
      <c r="MO107" s="1048"/>
      <c r="MP107" s="1048"/>
      <c r="MQ107" s="1048"/>
      <c r="MR107" s="1048"/>
      <c r="MS107" s="1048"/>
      <c r="MT107" s="1048"/>
      <c r="MU107" s="1048"/>
      <c r="MV107" s="1048"/>
      <c r="MW107" s="1048"/>
      <c r="MX107" s="1048"/>
      <c r="MY107" s="1048"/>
      <c r="MZ107" s="1048"/>
      <c r="NA107" s="1048"/>
      <c r="NB107" s="1048"/>
      <c r="NC107" s="1048"/>
      <c r="ND107" s="1048"/>
      <c r="NE107" s="1048"/>
    </row>
    <row r="108" customFormat="1" ht="14.5" spans="1:369">
      <c r="A108" s="932">
        <f>人物卡!AB73</f>
        <v>0</v>
      </c>
      <c r="B108" s="929" t="str">
        <f>IF(OR(A108="说服",A108="话术",A108="取悦",A108="恐吓"),"☯",IF(ISNUMBER(SEARCH(A108,VLOOKUP(IX$2,职业列表!$B$1:$G$370,6,0))),"★",""))</f>
        <v/>
      </c>
      <c r="C108" s="950"/>
      <c r="D108" s="929"/>
      <c r="E108" s="929"/>
      <c r="F108" s="929"/>
      <c r="G108" s="929"/>
      <c r="H108" s="929"/>
      <c r="I108" s="929"/>
      <c r="J108" s="929"/>
      <c r="K108" s="929"/>
      <c r="L108" s="929"/>
      <c r="M108" s="929"/>
      <c r="N108" s="929"/>
      <c r="O108" s="929"/>
      <c r="P108" s="929"/>
      <c r="Q108" s="929"/>
      <c r="R108" s="929"/>
      <c r="S108" s="929"/>
      <c r="T108" s="929"/>
      <c r="U108" s="929"/>
      <c r="V108" s="929"/>
      <c r="W108" s="929"/>
      <c r="X108" s="929"/>
      <c r="Y108" s="929"/>
      <c r="Z108" s="929"/>
      <c r="AA108" s="929"/>
      <c r="AB108" s="929"/>
      <c r="AC108" s="929"/>
      <c r="AD108" s="929"/>
      <c r="AE108" s="929"/>
      <c r="AF108" s="929"/>
      <c r="AG108" s="929"/>
      <c r="AH108" s="929"/>
      <c r="AI108" s="929"/>
      <c r="AJ108" s="929"/>
      <c r="AK108" s="929"/>
      <c r="AL108" s="929"/>
      <c r="AM108" s="929"/>
      <c r="AN108" s="929"/>
      <c r="AO108" s="929"/>
      <c r="AP108" s="929"/>
      <c r="AQ108" s="929"/>
      <c r="AR108" s="929"/>
      <c r="AS108" s="929"/>
      <c r="AT108" s="929"/>
      <c r="AU108" s="929"/>
      <c r="AV108" s="929"/>
      <c r="AW108" s="929"/>
      <c r="AX108" s="929"/>
      <c r="AY108" s="929"/>
      <c r="AZ108" s="929"/>
      <c r="BA108" s="929"/>
      <c r="BB108" s="929"/>
      <c r="BC108" s="929"/>
      <c r="BD108" s="929"/>
      <c r="BE108" s="929"/>
      <c r="BF108" s="929"/>
      <c r="BG108" s="929"/>
      <c r="BH108" s="929"/>
      <c r="BI108" s="929"/>
      <c r="BJ108" s="929"/>
      <c r="BK108" s="929"/>
      <c r="BL108" s="929"/>
      <c r="BM108" s="929"/>
      <c r="BN108" s="929"/>
      <c r="BO108" s="929"/>
      <c r="BP108" s="929"/>
      <c r="BQ108" s="929"/>
      <c r="BR108" s="929"/>
      <c r="BS108" s="929"/>
      <c r="BT108" s="929"/>
      <c r="BU108" s="929"/>
      <c r="BV108" s="929"/>
      <c r="BW108" s="929"/>
      <c r="BX108" s="929"/>
      <c r="BY108" s="929"/>
      <c r="BZ108" s="929"/>
      <c r="CA108" s="929"/>
      <c r="CB108" s="929"/>
      <c r="CC108" s="929"/>
      <c r="CD108" s="929"/>
      <c r="CE108" s="929"/>
      <c r="CF108" s="929"/>
      <c r="CG108" s="929"/>
      <c r="CH108" s="929"/>
      <c r="CI108" s="929"/>
      <c r="CJ108" s="929"/>
      <c r="CK108" s="929"/>
      <c r="CL108" s="929"/>
      <c r="CM108" s="929"/>
      <c r="CN108" s="929"/>
      <c r="CO108" s="929"/>
      <c r="CP108" s="929"/>
      <c r="CQ108" s="929"/>
      <c r="CR108" s="929"/>
      <c r="CS108" s="929"/>
      <c r="CT108" s="929"/>
      <c r="CU108" s="929"/>
      <c r="CV108" s="929"/>
      <c r="CW108" s="929"/>
      <c r="CX108" s="929"/>
      <c r="CY108" s="929"/>
      <c r="CZ108" s="929"/>
      <c r="DA108" s="929"/>
      <c r="DB108" s="929"/>
      <c r="DC108" s="929"/>
      <c r="DD108" s="929"/>
      <c r="DE108" s="929"/>
      <c r="DF108" s="929"/>
      <c r="DG108" s="929"/>
      <c r="DH108" s="929"/>
      <c r="DI108" s="929"/>
      <c r="DJ108" s="929"/>
      <c r="DK108" s="929"/>
      <c r="DL108" s="929"/>
      <c r="DM108" s="929"/>
      <c r="DN108" s="929"/>
      <c r="DO108" s="929"/>
      <c r="DP108" s="929"/>
      <c r="DQ108" s="929"/>
      <c r="DR108" s="929"/>
      <c r="DS108" s="929"/>
      <c r="DT108" s="929"/>
      <c r="DU108" s="929"/>
      <c r="DV108" s="929"/>
      <c r="DW108" s="929"/>
      <c r="DX108" s="929"/>
      <c r="DY108" s="929"/>
      <c r="DZ108" s="929"/>
      <c r="EA108" s="929"/>
      <c r="EB108" s="929"/>
      <c r="EC108" s="929"/>
      <c r="ED108" s="929"/>
      <c r="EE108" s="929"/>
      <c r="EF108" s="929"/>
      <c r="EG108" s="929"/>
      <c r="EH108" s="929"/>
      <c r="EI108" s="929"/>
      <c r="EJ108" s="929"/>
      <c r="EK108" s="929"/>
      <c r="EL108" s="929"/>
      <c r="EM108" s="929"/>
      <c r="EN108" s="929"/>
      <c r="EO108" s="929"/>
      <c r="EP108" s="929"/>
      <c r="EQ108" s="929"/>
      <c r="ER108" s="929"/>
      <c r="ES108" s="929"/>
      <c r="ET108" s="929"/>
      <c r="EU108" s="929"/>
      <c r="EV108" s="929"/>
      <c r="EW108" s="929"/>
      <c r="EX108" s="929"/>
      <c r="EY108" s="929"/>
      <c r="EZ108" s="929"/>
      <c r="FA108" s="929"/>
      <c r="FB108" s="929"/>
      <c r="FC108" s="929"/>
      <c r="FD108" s="929"/>
      <c r="FE108" s="929"/>
      <c r="FF108" s="929"/>
      <c r="FG108" s="929"/>
      <c r="FH108" s="929"/>
      <c r="FI108" s="929"/>
      <c r="FJ108" s="929"/>
      <c r="FK108" s="929"/>
      <c r="FL108" s="929"/>
      <c r="FM108" s="929"/>
      <c r="FN108" s="929"/>
      <c r="FO108" s="929"/>
      <c r="FP108" s="929"/>
      <c r="FQ108" s="929"/>
      <c r="FR108" s="929"/>
      <c r="FS108" s="929"/>
      <c r="FT108" s="929"/>
      <c r="FU108" s="929"/>
      <c r="FV108" s="929"/>
      <c r="FW108" s="929"/>
      <c r="FX108" s="929"/>
      <c r="FY108" s="929"/>
      <c r="FZ108" s="929"/>
      <c r="GA108" s="929"/>
      <c r="GB108" s="929"/>
      <c r="GC108" s="929"/>
      <c r="GD108" s="929"/>
      <c r="GE108" s="929"/>
      <c r="GF108" s="929"/>
      <c r="GG108" s="929"/>
      <c r="GH108" s="929"/>
      <c r="GI108" s="929"/>
      <c r="GJ108" s="929"/>
      <c r="GK108" s="929"/>
      <c r="GL108" s="929"/>
      <c r="GM108" s="929"/>
      <c r="GN108" s="929"/>
      <c r="GO108" s="929"/>
      <c r="GP108" s="929"/>
      <c r="GQ108" s="929"/>
      <c r="GR108" s="929"/>
      <c r="GS108" s="929"/>
      <c r="GT108" s="929"/>
      <c r="GU108" s="929"/>
      <c r="GV108" s="929"/>
      <c r="GW108" s="929"/>
      <c r="GX108" s="929"/>
      <c r="GY108" s="929"/>
      <c r="GZ108" s="929"/>
      <c r="HA108" s="929"/>
      <c r="HB108" s="929"/>
      <c r="HC108" s="929"/>
      <c r="HD108" s="929"/>
      <c r="HE108" s="929"/>
      <c r="HF108" s="929"/>
      <c r="HG108" s="929"/>
      <c r="HH108" s="929"/>
      <c r="HI108" s="929"/>
      <c r="HJ108" s="929"/>
      <c r="HK108" s="929"/>
      <c r="HL108" s="929"/>
      <c r="HM108" s="929"/>
      <c r="HN108" s="929"/>
      <c r="HO108" s="929"/>
      <c r="HP108" s="929"/>
      <c r="HQ108" s="929"/>
      <c r="HR108" s="929"/>
      <c r="HS108" s="929"/>
      <c r="HT108" s="929"/>
      <c r="HU108" s="929"/>
      <c r="HV108" s="929"/>
      <c r="HW108" s="929"/>
      <c r="HX108" s="1011"/>
      <c r="HY108" s="929"/>
      <c r="HZ108" s="929"/>
      <c r="IA108" s="929"/>
      <c r="IB108" s="929"/>
      <c r="IC108" s="1011"/>
      <c r="ID108" s="1011"/>
      <c r="IE108" s="929"/>
      <c r="IF108" s="929"/>
      <c r="IG108" s="929"/>
      <c r="IH108" s="929"/>
      <c r="II108" s="929"/>
      <c r="IJ108" s="1048"/>
      <c r="IK108" s="1048"/>
      <c r="IL108" s="1048"/>
      <c r="IM108" s="1048"/>
      <c r="IN108" s="1048"/>
      <c r="IO108" s="1048"/>
      <c r="IP108" s="1048"/>
      <c r="IQ108" s="1048"/>
      <c r="IR108" s="1048"/>
      <c r="IS108" s="1048"/>
      <c r="IT108" s="1048"/>
      <c r="IU108" s="1048"/>
      <c r="IV108" s="1048"/>
      <c r="IW108" s="1048"/>
      <c r="IX108" s="1048"/>
      <c r="IY108" s="1048"/>
      <c r="IZ108" s="1048"/>
      <c r="JA108" s="1048"/>
      <c r="JB108" s="1048"/>
      <c r="JC108" s="1048"/>
      <c r="JD108" s="1048"/>
      <c r="JE108" s="1048"/>
      <c r="JF108" s="1048"/>
      <c r="JG108" s="1048"/>
      <c r="JH108" s="1048"/>
      <c r="JI108" s="1048"/>
      <c r="JJ108" s="1048"/>
      <c r="JK108" s="1048"/>
      <c r="JL108" s="1048"/>
      <c r="JM108" s="1048"/>
      <c r="JN108" s="1048"/>
      <c r="JO108" s="1048"/>
      <c r="JP108" s="1048"/>
      <c r="JQ108" s="1048"/>
      <c r="JR108" s="1048"/>
      <c r="JS108" s="1048"/>
      <c r="JT108" s="1048"/>
      <c r="JU108" s="1048"/>
      <c r="JV108" s="1048"/>
      <c r="JW108" s="1048"/>
      <c r="JX108" s="1048"/>
      <c r="JY108" s="1048"/>
      <c r="JZ108" s="1048"/>
      <c r="KA108" s="1048"/>
      <c r="KB108" s="1048"/>
      <c r="KC108" s="1048"/>
      <c r="KD108" s="1048"/>
      <c r="KE108" s="1048"/>
      <c r="KF108" s="1048"/>
      <c r="KG108" s="1048"/>
      <c r="KH108" s="1048"/>
      <c r="KI108" s="1048"/>
      <c r="KJ108" s="1048"/>
      <c r="KK108" s="1048"/>
      <c r="KL108" s="1048"/>
      <c r="KM108" s="1048"/>
      <c r="KN108" s="1048"/>
      <c r="KO108" s="1048"/>
      <c r="KP108" s="1048"/>
      <c r="KQ108" s="1048"/>
      <c r="KR108" s="1048"/>
      <c r="KS108" s="1048"/>
      <c r="KT108" s="1048"/>
      <c r="KU108" s="1048"/>
      <c r="KV108" s="1048"/>
      <c r="KW108" s="1048"/>
      <c r="KX108" s="1048"/>
      <c r="KY108" s="1048"/>
      <c r="KZ108" s="1048"/>
      <c r="LA108" s="1048"/>
      <c r="LB108" s="1048"/>
      <c r="LC108" s="1048"/>
      <c r="LD108" s="1048"/>
      <c r="LE108" s="1048"/>
      <c r="LF108" s="1048"/>
      <c r="LG108" s="1048"/>
      <c r="LH108" s="1048"/>
      <c r="LI108" s="1048"/>
      <c r="LJ108" s="1048"/>
      <c r="LK108" s="1048"/>
      <c r="LL108" s="1048"/>
      <c r="LM108" s="1048"/>
      <c r="LN108" s="1048"/>
      <c r="LO108" s="1048"/>
      <c r="LP108" s="1048"/>
      <c r="LQ108" s="1048"/>
      <c r="LR108" s="1048"/>
      <c r="LS108" s="1048"/>
      <c r="LT108" s="1048"/>
      <c r="LU108" s="1048"/>
      <c r="LV108" s="1048"/>
      <c r="LW108" s="1048"/>
      <c r="LX108" s="1048"/>
      <c r="LY108" s="1048"/>
      <c r="LZ108" s="1048"/>
      <c r="MA108" s="1048"/>
      <c r="MB108" s="1048"/>
      <c r="MC108" s="1048"/>
      <c r="MD108" s="1048"/>
      <c r="ME108" s="1048"/>
      <c r="MF108" s="1048"/>
      <c r="MG108" s="1048"/>
      <c r="MH108" s="1048"/>
      <c r="MI108" s="1048"/>
      <c r="MJ108" s="1048"/>
      <c r="MK108" s="1048"/>
      <c r="ML108" s="1048"/>
      <c r="MM108" s="1048"/>
      <c r="MN108" s="1048"/>
      <c r="MO108" s="1048"/>
      <c r="MP108" s="1048"/>
      <c r="MQ108" s="1048"/>
      <c r="MR108" s="1048"/>
      <c r="MS108" s="1048"/>
      <c r="MT108" s="1048"/>
      <c r="MU108" s="1048"/>
      <c r="MV108" s="1048"/>
      <c r="MW108" s="1048"/>
      <c r="MX108" s="1048"/>
      <c r="MY108" s="1048"/>
      <c r="MZ108" s="1048"/>
      <c r="NA108" s="1048"/>
      <c r="NB108" s="1048"/>
      <c r="NC108" s="1048"/>
      <c r="ND108" s="1048"/>
      <c r="NE108" s="1048"/>
    </row>
    <row r="109" customFormat="1" ht="14.5" spans="1:369">
      <c r="A109" s="932">
        <f>人物卡!F76</f>
        <v>0</v>
      </c>
      <c r="B109" s="929" t="str">
        <f>IF(OR(A109="说服",A109="话术",A109="取悦",A109="恐吓"),"☯",IF(ISNUMBER(SEARCH(A109,VLOOKUP(IX$2,职业列表!$B$1:$G$370,6,0))),"★",""))</f>
        <v/>
      </c>
      <c r="C109" s="950"/>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29"/>
      <c r="AA109" s="929"/>
      <c r="AB109" s="929"/>
      <c r="AC109" s="929"/>
      <c r="AD109" s="929"/>
      <c r="AE109" s="929"/>
      <c r="AF109" s="929"/>
      <c r="AG109" s="929"/>
      <c r="AH109" s="929"/>
      <c r="AI109" s="929"/>
      <c r="AJ109" s="929"/>
      <c r="AK109" s="929"/>
      <c r="AL109" s="929"/>
      <c r="AM109" s="929"/>
      <c r="AN109" s="929"/>
      <c r="AO109" s="929"/>
      <c r="AP109" s="929"/>
      <c r="AQ109" s="929"/>
      <c r="AR109" s="929"/>
      <c r="AS109" s="929"/>
      <c r="AT109" s="929"/>
      <c r="AU109" s="929"/>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29"/>
      <c r="BQ109" s="929"/>
      <c r="BR109" s="929"/>
      <c r="BS109" s="929"/>
      <c r="BT109" s="929"/>
      <c r="BU109" s="929"/>
      <c r="BV109" s="929"/>
      <c r="BW109" s="929"/>
      <c r="BX109" s="929"/>
      <c r="BY109" s="929"/>
      <c r="BZ109" s="929"/>
      <c r="CA109" s="929"/>
      <c r="CB109" s="929"/>
      <c r="CC109" s="929"/>
      <c r="CD109" s="929"/>
      <c r="CE109" s="929"/>
      <c r="CF109" s="929"/>
      <c r="CG109" s="929"/>
      <c r="CH109" s="929"/>
      <c r="CI109" s="929"/>
      <c r="CJ109" s="929"/>
      <c r="CK109" s="929"/>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29"/>
      <c r="DG109" s="929"/>
      <c r="DH109" s="929"/>
      <c r="DI109" s="929"/>
      <c r="DJ109" s="929"/>
      <c r="DK109" s="929"/>
      <c r="DL109" s="929"/>
      <c r="DM109" s="929"/>
      <c r="DN109" s="929"/>
      <c r="DO109" s="929"/>
      <c r="DP109" s="929"/>
      <c r="DQ109" s="929"/>
      <c r="DR109" s="929"/>
      <c r="DS109" s="929"/>
      <c r="DT109" s="929"/>
      <c r="DU109" s="929"/>
      <c r="DV109" s="929"/>
      <c r="DW109" s="929"/>
      <c r="DX109" s="929"/>
      <c r="DY109" s="929"/>
      <c r="DZ109" s="929"/>
      <c r="EA109" s="929"/>
      <c r="EB109" s="929"/>
      <c r="EC109" s="929"/>
      <c r="ED109" s="929"/>
      <c r="EE109" s="929"/>
      <c r="EF109" s="929"/>
      <c r="EG109" s="929"/>
      <c r="EH109" s="929"/>
      <c r="EI109" s="929"/>
      <c r="EJ109" s="929"/>
      <c r="EK109" s="929"/>
      <c r="EL109" s="929"/>
      <c r="EM109" s="929"/>
      <c r="EN109" s="929"/>
      <c r="EO109" s="929"/>
      <c r="EP109" s="929"/>
      <c r="EQ109" s="929"/>
      <c r="ER109" s="929"/>
      <c r="ES109" s="929"/>
      <c r="ET109" s="929"/>
      <c r="EU109" s="929"/>
      <c r="EV109" s="929"/>
      <c r="EW109" s="929"/>
      <c r="EX109" s="929"/>
      <c r="EY109" s="929"/>
      <c r="EZ109" s="929"/>
      <c r="FA109" s="929"/>
      <c r="FB109" s="929"/>
      <c r="FC109" s="929"/>
      <c r="FD109" s="929"/>
      <c r="FE109" s="929"/>
      <c r="FF109" s="929"/>
      <c r="FG109" s="929"/>
      <c r="FH109" s="929"/>
      <c r="FI109" s="929"/>
      <c r="FJ109" s="929"/>
      <c r="FK109" s="929"/>
      <c r="FL109" s="929"/>
      <c r="FM109" s="929"/>
      <c r="FN109" s="929"/>
      <c r="FO109" s="929"/>
      <c r="FP109" s="929"/>
      <c r="FQ109" s="929"/>
      <c r="FR109" s="929"/>
      <c r="FS109" s="929"/>
      <c r="FT109" s="929"/>
      <c r="FU109" s="929"/>
      <c r="FV109" s="929"/>
      <c r="FW109" s="929"/>
      <c r="FX109" s="929"/>
      <c r="FY109" s="929"/>
      <c r="FZ109" s="929"/>
      <c r="GA109" s="929"/>
      <c r="GB109" s="929"/>
      <c r="GC109" s="929"/>
      <c r="GD109" s="929"/>
      <c r="GE109" s="929"/>
      <c r="GF109" s="929"/>
      <c r="GG109" s="929"/>
      <c r="GH109" s="929"/>
      <c r="GI109" s="929"/>
      <c r="GJ109" s="929"/>
      <c r="GK109" s="929"/>
      <c r="GL109" s="929"/>
      <c r="GM109" s="929"/>
      <c r="GN109" s="929"/>
      <c r="GO109" s="929"/>
      <c r="GP109" s="929"/>
      <c r="GQ109" s="929"/>
      <c r="GR109" s="929"/>
      <c r="GS109" s="929"/>
      <c r="GT109" s="929"/>
      <c r="GU109" s="929"/>
      <c r="GV109" s="929"/>
      <c r="GW109" s="929"/>
      <c r="GX109" s="929"/>
      <c r="GY109" s="929"/>
      <c r="GZ109" s="929"/>
      <c r="HA109" s="929"/>
      <c r="HB109" s="929"/>
      <c r="HC109" s="929"/>
      <c r="HD109" s="929"/>
      <c r="HE109" s="929"/>
      <c r="HF109" s="929"/>
      <c r="HG109" s="929"/>
      <c r="HH109" s="929"/>
      <c r="HI109" s="929"/>
      <c r="HJ109" s="929"/>
      <c r="HK109" s="929"/>
      <c r="HL109" s="929"/>
      <c r="HM109" s="929"/>
      <c r="HN109" s="929"/>
      <c r="HO109" s="929"/>
      <c r="HP109" s="929"/>
      <c r="HQ109" s="929"/>
      <c r="HR109" s="929"/>
      <c r="HS109" s="929"/>
      <c r="HT109" s="929"/>
      <c r="HU109" s="929"/>
      <c r="HV109" s="929"/>
      <c r="HW109" s="929"/>
      <c r="HX109" s="1011"/>
      <c r="HY109" s="929"/>
      <c r="HZ109" s="929"/>
      <c r="IA109" s="929"/>
      <c r="IB109" s="929"/>
      <c r="IC109" s="1011"/>
      <c r="ID109" s="1011"/>
      <c r="IE109" s="929"/>
      <c r="IF109" s="929"/>
      <c r="IG109" s="929"/>
      <c r="IH109" s="929"/>
      <c r="II109" s="929"/>
      <c r="IJ109" s="1048"/>
      <c r="IK109" s="1048"/>
      <c r="IL109" s="1048"/>
      <c r="IM109" s="1048"/>
      <c r="IN109" s="1048"/>
      <c r="IO109" s="1048"/>
      <c r="IP109" s="1048"/>
      <c r="IQ109" s="1048"/>
      <c r="IR109" s="1048"/>
      <c r="IS109" s="1048"/>
      <c r="IT109" s="1048"/>
      <c r="IU109" s="1048"/>
      <c r="IV109" s="1048"/>
      <c r="IW109" s="1048"/>
      <c r="IX109" s="1048"/>
      <c r="IY109" s="1048"/>
      <c r="IZ109" s="1048"/>
      <c r="JA109" s="1048"/>
      <c r="JB109" s="1048"/>
      <c r="JC109" s="1048"/>
      <c r="JD109" s="1048"/>
      <c r="JE109" s="1048"/>
      <c r="JF109" s="1048"/>
      <c r="JG109" s="1048"/>
      <c r="JH109" s="1048"/>
      <c r="JI109" s="1048"/>
      <c r="JJ109" s="1048"/>
      <c r="JK109" s="1048"/>
      <c r="JL109" s="1048"/>
      <c r="JM109" s="1048"/>
      <c r="JN109" s="1048"/>
      <c r="JO109" s="1048"/>
      <c r="JP109" s="1048"/>
      <c r="JQ109" s="1048"/>
      <c r="JR109" s="1048"/>
      <c r="JS109" s="1048"/>
      <c r="JT109" s="1048"/>
      <c r="JU109" s="1048"/>
      <c r="JV109" s="1048"/>
      <c r="JW109" s="1048"/>
      <c r="JX109" s="1048"/>
      <c r="JY109" s="1048"/>
      <c r="JZ109" s="1048"/>
      <c r="KA109" s="1048"/>
      <c r="KB109" s="1048"/>
      <c r="KC109" s="1048"/>
      <c r="KD109" s="1048"/>
      <c r="KE109" s="1048"/>
      <c r="KF109" s="1048"/>
      <c r="KG109" s="1048"/>
      <c r="KH109" s="1048"/>
      <c r="KI109" s="1048"/>
      <c r="KJ109" s="1048"/>
      <c r="KK109" s="1048"/>
      <c r="KL109" s="1048"/>
      <c r="KM109" s="1048"/>
      <c r="KN109" s="1048"/>
      <c r="KO109" s="1048"/>
      <c r="KP109" s="1048"/>
      <c r="KQ109" s="1048"/>
      <c r="KR109" s="1048"/>
      <c r="KS109" s="1048"/>
      <c r="KT109" s="1048"/>
      <c r="KU109" s="1048"/>
      <c r="KV109" s="1048"/>
      <c r="KW109" s="1048"/>
      <c r="KX109" s="1048"/>
      <c r="KY109" s="1048"/>
      <c r="KZ109" s="1048"/>
      <c r="LA109" s="1048"/>
      <c r="LB109" s="1048"/>
      <c r="LC109" s="1048"/>
      <c r="LD109" s="1048"/>
      <c r="LE109" s="1048"/>
      <c r="LF109" s="1048"/>
      <c r="LG109" s="1048"/>
      <c r="LH109" s="1048"/>
      <c r="LI109" s="1048"/>
      <c r="LJ109" s="1048"/>
      <c r="LK109" s="1048"/>
      <c r="LL109" s="1048"/>
      <c r="LM109" s="1048"/>
      <c r="LN109" s="1048"/>
      <c r="LO109" s="1048"/>
      <c r="LP109" s="1048"/>
      <c r="LQ109" s="1048"/>
      <c r="LR109" s="1048"/>
      <c r="LS109" s="1048"/>
      <c r="LT109" s="1048"/>
      <c r="LU109" s="1048"/>
      <c r="LV109" s="1048"/>
      <c r="LW109" s="1048"/>
      <c r="LX109" s="1048"/>
      <c r="LY109" s="1048"/>
      <c r="LZ109" s="1048"/>
      <c r="MA109" s="1048"/>
      <c r="MB109" s="1048"/>
      <c r="MC109" s="1048"/>
      <c r="MD109" s="1048"/>
      <c r="ME109" s="1048"/>
      <c r="MF109" s="1048"/>
      <c r="MG109" s="1048"/>
      <c r="MH109" s="1048"/>
      <c r="MI109" s="1048"/>
      <c r="MJ109" s="1048"/>
      <c r="MK109" s="1048"/>
      <c r="ML109" s="1048"/>
      <c r="MM109" s="1048"/>
      <c r="MN109" s="1048"/>
      <c r="MO109" s="1048"/>
      <c r="MP109" s="1048"/>
      <c r="MQ109" s="1048"/>
      <c r="MR109" s="1048"/>
      <c r="MS109" s="1048"/>
      <c r="MT109" s="1048"/>
      <c r="MU109" s="1048"/>
      <c r="MV109" s="1048"/>
      <c r="MW109" s="1048"/>
      <c r="MX109" s="1048"/>
      <c r="MY109" s="1048"/>
      <c r="MZ109" s="1048"/>
      <c r="NA109" s="1048"/>
      <c r="NB109" s="1048"/>
      <c r="NC109" s="1048"/>
      <c r="ND109" s="1048"/>
      <c r="NE109" s="1048"/>
    </row>
    <row r="110" customFormat="1" ht="14.5" spans="1:369">
      <c r="A110" s="932">
        <f>人物卡!F77</f>
        <v>0</v>
      </c>
      <c r="B110" s="929" t="str">
        <f>IF(OR(A110="说服",A110="话术",A110="取悦",A110="恐吓"),"☯",IF(ISNUMBER(SEARCH(A110,VLOOKUP(IX$2,职业列表!$B$1:$G$370,6,0))),"★",""))</f>
        <v/>
      </c>
      <c r="C110" s="950"/>
      <c r="D110" s="929"/>
      <c r="E110" s="929"/>
      <c r="F110" s="929"/>
      <c r="G110" s="929"/>
      <c r="H110" s="929"/>
      <c r="I110" s="929"/>
      <c r="J110" s="929"/>
      <c r="K110" s="929"/>
      <c r="L110" s="929"/>
      <c r="M110" s="929"/>
      <c r="N110" s="929"/>
      <c r="O110" s="929"/>
      <c r="P110" s="929"/>
      <c r="Q110" s="929"/>
      <c r="R110" s="929"/>
      <c r="S110" s="929"/>
      <c r="T110" s="929"/>
      <c r="U110" s="929"/>
      <c r="V110" s="929"/>
      <c r="W110" s="929"/>
      <c r="X110" s="929"/>
      <c r="Y110" s="929"/>
      <c r="Z110" s="929"/>
      <c r="AA110" s="929"/>
      <c r="AB110" s="929"/>
      <c r="AC110" s="929"/>
      <c r="AD110" s="929"/>
      <c r="AE110" s="929"/>
      <c r="AF110" s="929"/>
      <c r="AG110" s="929"/>
      <c r="AH110" s="929"/>
      <c r="AI110" s="929"/>
      <c r="AJ110" s="929"/>
      <c r="AK110" s="929"/>
      <c r="AL110" s="929"/>
      <c r="AM110" s="929"/>
      <c r="AN110" s="929"/>
      <c r="AO110" s="929"/>
      <c r="AP110" s="929"/>
      <c r="AQ110" s="929"/>
      <c r="AR110" s="929"/>
      <c r="AS110" s="929"/>
      <c r="AT110" s="929"/>
      <c r="AU110" s="929"/>
      <c r="AV110" s="929"/>
      <c r="AW110" s="929"/>
      <c r="AX110" s="929"/>
      <c r="AY110" s="929"/>
      <c r="AZ110" s="929"/>
      <c r="BA110" s="929"/>
      <c r="BB110" s="929"/>
      <c r="BC110" s="929"/>
      <c r="BD110" s="929"/>
      <c r="BE110" s="929"/>
      <c r="BF110" s="929"/>
      <c r="BG110" s="929"/>
      <c r="BH110" s="929"/>
      <c r="BI110" s="929"/>
      <c r="BJ110" s="929"/>
      <c r="BK110" s="929"/>
      <c r="BL110" s="929"/>
      <c r="BM110" s="929"/>
      <c r="BN110" s="929"/>
      <c r="BO110" s="929"/>
      <c r="BP110" s="929"/>
      <c r="BQ110" s="929"/>
      <c r="BR110" s="929"/>
      <c r="BS110" s="929"/>
      <c r="BT110" s="929"/>
      <c r="BU110" s="929"/>
      <c r="BV110" s="929"/>
      <c r="BW110" s="929"/>
      <c r="BX110" s="929"/>
      <c r="BY110" s="929"/>
      <c r="BZ110" s="929"/>
      <c r="CA110" s="929"/>
      <c r="CB110" s="929"/>
      <c r="CC110" s="929"/>
      <c r="CD110" s="929"/>
      <c r="CE110" s="929"/>
      <c r="CF110" s="929"/>
      <c r="CG110" s="929"/>
      <c r="CH110" s="929"/>
      <c r="CI110" s="929"/>
      <c r="CJ110" s="929"/>
      <c r="CK110" s="929"/>
      <c r="CL110" s="929"/>
      <c r="CM110" s="929"/>
      <c r="CN110" s="929"/>
      <c r="CO110" s="929"/>
      <c r="CP110" s="929"/>
      <c r="CQ110" s="929"/>
      <c r="CR110" s="929"/>
      <c r="CS110" s="929"/>
      <c r="CT110" s="929"/>
      <c r="CU110" s="929"/>
      <c r="CV110" s="929"/>
      <c r="CW110" s="929"/>
      <c r="CX110" s="929"/>
      <c r="CY110" s="929"/>
      <c r="CZ110" s="929"/>
      <c r="DA110" s="929"/>
      <c r="DB110" s="929"/>
      <c r="DC110" s="929"/>
      <c r="DD110" s="929"/>
      <c r="DE110" s="929"/>
      <c r="DF110" s="929"/>
      <c r="DG110" s="929"/>
      <c r="DH110" s="929"/>
      <c r="DI110" s="929"/>
      <c r="DJ110" s="929"/>
      <c r="DK110" s="929"/>
      <c r="DL110" s="929"/>
      <c r="DM110" s="929"/>
      <c r="DN110" s="929"/>
      <c r="DO110" s="929"/>
      <c r="DP110" s="929"/>
      <c r="DQ110" s="929"/>
      <c r="DR110" s="929"/>
      <c r="DS110" s="929"/>
      <c r="DT110" s="929"/>
      <c r="DU110" s="929"/>
      <c r="DV110" s="929"/>
      <c r="DW110" s="929"/>
      <c r="DX110" s="929"/>
      <c r="DY110" s="929"/>
      <c r="DZ110" s="929"/>
      <c r="EA110" s="929"/>
      <c r="EB110" s="929"/>
      <c r="EC110" s="929"/>
      <c r="ED110" s="929"/>
      <c r="EE110" s="929"/>
      <c r="EF110" s="929"/>
      <c r="EG110" s="929"/>
      <c r="EH110" s="929"/>
      <c r="EI110" s="929"/>
      <c r="EJ110" s="929"/>
      <c r="EK110" s="929"/>
      <c r="EL110" s="929"/>
      <c r="EM110" s="929"/>
      <c r="EN110" s="929"/>
      <c r="EO110" s="929"/>
      <c r="EP110" s="929"/>
      <c r="EQ110" s="929"/>
      <c r="ER110" s="929"/>
      <c r="ES110" s="929"/>
      <c r="ET110" s="929"/>
      <c r="EU110" s="929"/>
      <c r="EV110" s="929"/>
      <c r="EW110" s="929"/>
      <c r="EX110" s="929"/>
      <c r="EY110" s="929"/>
      <c r="EZ110" s="929"/>
      <c r="FA110" s="929"/>
      <c r="FB110" s="929"/>
      <c r="FC110" s="929"/>
      <c r="FD110" s="929"/>
      <c r="FE110" s="929"/>
      <c r="FF110" s="929"/>
      <c r="FG110" s="929"/>
      <c r="FH110" s="929"/>
      <c r="FI110" s="929"/>
      <c r="FJ110" s="929"/>
      <c r="FK110" s="929"/>
      <c r="FL110" s="929"/>
      <c r="FM110" s="929"/>
      <c r="FN110" s="929"/>
      <c r="FO110" s="929"/>
      <c r="FP110" s="929"/>
      <c r="FQ110" s="929"/>
      <c r="FR110" s="929"/>
      <c r="FS110" s="929"/>
      <c r="FT110" s="929"/>
      <c r="FU110" s="929"/>
      <c r="FV110" s="929"/>
      <c r="FW110" s="929"/>
      <c r="FX110" s="929"/>
      <c r="FY110" s="929"/>
      <c r="FZ110" s="929"/>
      <c r="GA110" s="929"/>
      <c r="GB110" s="929"/>
      <c r="GC110" s="929"/>
      <c r="GD110" s="929"/>
      <c r="GE110" s="929"/>
      <c r="GF110" s="929"/>
      <c r="GG110" s="929"/>
      <c r="GH110" s="929"/>
      <c r="GI110" s="929"/>
      <c r="GJ110" s="929"/>
      <c r="GK110" s="929"/>
      <c r="GL110" s="929"/>
      <c r="GM110" s="929"/>
      <c r="GN110" s="929"/>
      <c r="GO110" s="929"/>
      <c r="GP110" s="929"/>
      <c r="GQ110" s="929"/>
      <c r="GR110" s="929"/>
      <c r="GS110" s="929"/>
      <c r="GT110" s="929"/>
      <c r="GU110" s="929"/>
      <c r="GV110" s="929"/>
      <c r="GW110" s="929"/>
      <c r="GX110" s="929"/>
      <c r="GY110" s="929"/>
      <c r="GZ110" s="929"/>
      <c r="HA110" s="929"/>
      <c r="HB110" s="929"/>
      <c r="HC110" s="929"/>
      <c r="HD110" s="929"/>
      <c r="HE110" s="929"/>
      <c r="HF110" s="929"/>
      <c r="HG110" s="929"/>
      <c r="HH110" s="929"/>
      <c r="HI110" s="929"/>
      <c r="HJ110" s="929"/>
      <c r="HK110" s="929"/>
      <c r="HL110" s="929"/>
      <c r="HM110" s="929"/>
      <c r="HN110" s="929"/>
      <c r="HO110" s="929"/>
      <c r="HP110" s="929"/>
      <c r="HQ110" s="929"/>
      <c r="HR110" s="929"/>
      <c r="HS110" s="929"/>
      <c r="HT110" s="929"/>
      <c r="HU110" s="929"/>
      <c r="HV110" s="929"/>
      <c r="HW110" s="929"/>
      <c r="HX110" s="1011"/>
      <c r="HY110" s="929"/>
      <c r="HZ110" s="929"/>
      <c r="IA110" s="929"/>
      <c r="IB110" s="929"/>
      <c r="IC110" s="1011"/>
      <c r="ID110" s="1011"/>
      <c r="IE110" s="929"/>
      <c r="IF110" s="929"/>
      <c r="IG110" s="929"/>
      <c r="IH110" s="929"/>
      <c r="II110" s="929"/>
      <c r="IJ110" s="1048"/>
      <c r="IK110" s="1048"/>
      <c r="IL110" s="1048"/>
      <c r="IM110" s="1048"/>
      <c r="IN110" s="1048"/>
      <c r="IO110" s="1048"/>
      <c r="IP110" s="1048"/>
      <c r="IQ110" s="1048"/>
      <c r="IR110" s="1048"/>
      <c r="IS110" s="1048"/>
      <c r="IT110" s="1048"/>
      <c r="IU110" s="1048"/>
      <c r="IV110" s="1048"/>
      <c r="IW110" s="1048"/>
      <c r="IX110" s="1048"/>
      <c r="IY110" s="1048"/>
      <c r="IZ110" s="1048"/>
      <c r="JA110" s="1048"/>
      <c r="JB110" s="1048"/>
      <c r="JC110" s="1048"/>
      <c r="JD110" s="1048"/>
      <c r="JE110" s="1048"/>
      <c r="JF110" s="1048"/>
      <c r="JG110" s="1048"/>
      <c r="JH110" s="1048"/>
      <c r="JI110" s="1048"/>
      <c r="JJ110" s="1048"/>
      <c r="JK110" s="1048"/>
      <c r="JL110" s="1048"/>
      <c r="JM110" s="1048"/>
      <c r="JN110" s="1048"/>
      <c r="JO110" s="1048"/>
      <c r="JP110" s="1048"/>
      <c r="JQ110" s="1048"/>
      <c r="JR110" s="1048"/>
      <c r="JS110" s="1048"/>
      <c r="JT110" s="1048"/>
      <c r="JU110" s="1048"/>
      <c r="JV110" s="1048"/>
      <c r="JW110" s="1048"/>
      <c r="JX110" s="1048"/>
      <c r="JY110" s="1048"/>
      <c r="JZ110" s="1048"/>
      <c r="KA110" s="1048"/>
      <c r="KB110" s="1048"/>
      <c r="KC110" s="1048"/>
      <c r="KD110" s="1048"/>
      <c r="KE110" s="1048"/>
      <c r="KF110" s="1048"/>
      <c r="KG110" s="1048"/>
      <c r="KH110" s="1048"/>
      <c r="KI110" s="1048"/>
      <c r="KJ110" s="1048"/>
      <c r="KK110" s="1048"/>
      <c r="KL110" s="1048"/>
      <c r="KM110" s="1048"/>
      <c r="KN110" s="1048"/>
      <c r="KO110" s="1048"/>
      <c r="KP110" s="1048"/>
      <c r="KQ110" s="1048"/>
      <c r="KR110" s="1048"/>
      <c r="KS110" s="1048"/>
      <c r="KT110" s="1048"/>
      <c r="KU110" s="1048"/>
      <c r="KV110" s="1048"/>
      <c r="KW110" s="1048"/>
      <c r="KX110" s="1048"/>
      <c r="KY110" s="1048"/>
      <c r="KZ110" s="1048"/>
      <c r="LA110" s="1048"/>
      <c r="LB110" s="1048"/>
      <c r="LC110" s="1048"/>
      <c r="LD110" s="1048"/>
      <c r="LE110" s="1048"/>
      <c r="LF110" s="1048"/>
      <c r="LG110" s="1048"/>
      <c r="LH110" s="1048"/>
      <c r="LI110" s="1048"/>
      <c r="LJ110" s="1048"/>
      <c r="LK110" s="1048"/>
      <c r="LL110" s="1048"/>
      <c r="LM110" s="1048"/>
      <c r="LN110" s="1048"/>
      <c r="LO110" s="1048"/>
      <c r="LP110" s="1048"/>
      <c r="LQ110" s="1048"/>
      <c r="LR110" s="1048"/>
      <c r="LS110" s="1048"/>
      <c r="LT110" s="1048"/>
      <c r="LU110" s="1048"/>
      <c r="LV110" s="1048"/>
      <c r="LW110" s="1048"/>
      <c r="LX110" s="1048"/>
      <c r="LY110" s="1048"/>
      <c r="LZ110" s="1048"/>
      <c r="MA110" s="1048"/>
      <c r="MB110" s="1048"/>
      <c r="MC110" s="1048"/>
      <c r="MD110" s="1048"/>
      <c r="ME110" s="1048"/>
      <c r="MF110" s="1048"/>
      <c r="MG110" s="1048"/>
      <c r="MH110" s="1048"/>
      <c r="MI110" s="1048"/>
      <c r="MJ110" s="1048"/>
      <c r="MK110" s="1048"/>
      <c r="ML110" s="1048"/>
      <c r="MM110" s="1048"/>
      <c r="MN110" s="1048"/>
      <c r="MO110" s="1048"/>
      <c r="MP110" s="1048"/>
      <c r="MQ110" s="1048"/>
      <c r="MR110" s="1048"/>
      <c r="MS110" s="1048"/>
      <c r="MT110" s="1048"/>
      <c r="MU110" s="1048"/>
      <c r="MV110" s="1048"/>
      <c r="MW110" s="1048"/>
      <c r="MX110" s="1048"/>
      <c r="MY110" s="1048"/>
      <c r="MZ110" s="1048"/>
      <c r="NA110" s="1048"/>
      <c r="NB110" s="1048"/>
      <c r="NC110" s="1048"/>
      <c r="ND110" s="1048"/>
      <c r="NE110" s="1048"/>
    </row>
    <row r="111" customFormat="1" spans="1:369">
      <c r="A111" s="932">
        <f>人物卡!AB76</f>
        <v>0</v>
      </c>
      <c r="B111" s="929" t="str">
        <f>IF(OR(A111="说服",A111="话术",A111="取悦",A111="恐吓"),"☯",IF(ISNUMBER(SEARCH(A111,VLOOKUP(IX$2,职业列表!$B$1:$G$370,6,0))),"★",""))</f>
        <v/>
      </c>
      <c r="C111" s="940"/>
      <c r="D111" s="929"/>
      <c r="E111" s="929"/>
      <c r="F111" s="929"/>
      <c r="G111" s="929"/>
      <c r="H111" s="929"/>
      <c r="I111" s="929"/>
      <c r="J111" s="929"/>
      <c r="K111" s="929"/>
      <c r="L111" s="929"/>
      <c r="M111" s="929"/>
      <c r="N111" s="929"/>
      <c r="O111" s="929"/>
      <c r="P111" s="929"/>
      <c r="Q111" s="929"/>
      <c r="R111" s="929"/>
      <c r="S111" s="929"/>
      <c r="T111" s="929"/>
      <c r="U111" s="929"/>
      <c r="V111" s="929"/>
      <c r="W111" s="929"/>
      <c r="X111" s="929"/>
      <c r="Y111" s="929"/>
      <c r="Z111" s="929"/>
      <c r="AA111" s="929"/>
      <c r="AB111" s="929"/>
      <c r="AC111" s="929"/>
      <c r="AD111" s="929"/>
      <c r="AE111" s="929"/>
      <c r="AF111" s="929"/>
      <c r="AG111" s="929"/>
      <c r="AH111" s="929"/>
      <c r="AI111" s="929"/>
      <c r="AJ111" s="929"/>
      <c r="AK111" s="929"/>
      <c r="AL111" s="929"/>
      <c r="AM111" s="929"/>
      <c r="AN111" s="929"/>
      <c r="AO111" s="929"/>
      <c r="AP111" s="929"/>
      <c r="AQ111" s="929"/>
      <c r="AR111" s="929"/>
      <c r="AS111" s="929"/>
      <c r="AT111" s="929"/>
      <c r="AU111" s="929"/>
      <c r="AV111" s="929"/>
      <c r="AW111" s="929"/>
      <c r="AX111" s="929"/>
      <c r="AY111" s="929"/>
      <c r="AZ111" s="929"/>
      <c r="BA111" s="929"/>
      <c r="BB111" s="929"/>
      <c r="BC111" s="929"/>
      <c r="BD111" s="929"/>
      <c r="BE111" s="929"/>
      <c r="BF111" s="929"/>
      <c r="BG111" s="929"/>
      <c r="BH111" s="929"/>
      <c r="BI111" s="929"/>
      <c r="BJ111" s="929"/>
      <c r="BK111" s="929"/>
      <c r="BL111" s="929"/>
      <c r="BM111" s="929"/>
      <c r="BN111" s="929"/>
      <c r="BO111" s="929"/>
      <c r="BP111" s="929"/>
      <c r="BQ111" s="929"/>
      <c r="BR111" s="929"/>
      <c r="BS111" s="929"/>
      <c r="BT111" s="929"/>
      <c r="BU111" s="929"/>
      <c r="BV111" s="929"/>
      <c r="BW111" s="929"/>
      <c r="BX111" s="929"/>
      <c r="BY111" s="929"/>
      <c r="BZ111" s="929"/>
      <c r="CA111" s="929"/>
      <c r="CB111" s="929"/>
      <c r="CC111" s="929"/>
      <c r="CD111" s="929"/>
      <c r="CE111" s="929"/>
      <c r="CF111" s="929"/>
      <c r="CG111" s="929"/>
      <c r="CH111" s="929"/>
      <c r="CI111" s="929"/>
      <c r="CJ111" s="929"/>
      <c r="CK111" s="929"/>
      <c r="CL111" s="929"/>
      <c r="CM111" s="929"/>
      <c r="CN111" s="929"/>
      <c r="CO111" s="929"/>
      <c r="CP111" s="929"/>
      <c r="CQ111" s="929"/>
      <c r="CR111" s="929"/>
      <c r="CS111" s="929"/>
      <c r="CT111" s="929"/>
      <c r="CU111" s="929"/>
      <c r="CV111" s="929"/>
      <c r="CW111" s="929"/>
      <c r="CX111" s="929"/>
      <c r="CY111" s="929"/>
      <c r="CZ111" s="929"/>
      <c r="DA111" s="929"/>
      <c r="DB111" s="929"/>
      <c r="DC111" s="929"/>
      <c r="DD111" s="929"/>
      <c r="DE111" s="929"/>
      <c r="DF111" s="929"/>
      <c r="DG111" s="929"/>
      <c r="DH111" s="929"/>
      <c r="DI111" s="929"/>
      <c r="DJ111" s="929"/>
      <c r="DK111" s="929"/>
      <c r="DL111" s="929"/>
      <c r="DM111" s="929"/>
      <c r="DN111" s="929"/>
      <c r="DO111" s="929"/>
      <c r="DP111" s="929"/>
      <c r="DQ111" s="929"/>
      <c r="DR111" s="929"/>
      <c r="DS111" s="929"/>
      <c r="DT111" s="929"/>
      <c r="DU111" s="929"/>
      <c r="DV111" s="929"/>
      <c r="DW111" s="929"/>
      <c r="DX111" s="929"/>
      <c r="DY111" s="929"/>
      <c r="DZ111" s="929"/>
      <c r="EA111" s="929"/>
      <c r="EB111" s="929"/>
      <c r="EC111" s="929"/>
      <c r="ED111" s="929"/>
      <c r="EE111" s="929"/>
      <c r="EF111" s="929"/>
      <c r="EG111" s="929"/>
      <c r="EH111" s="929"/>
      <c r="EI111" s="929"/>
      <c r="EJ111" s="929"/>
      <c r="EK111" s="929"/>
      <c r="EL111" s="929"/>
      <c r="EM111" s="929"/>
      <c r="EN111" s="929"/>
      <c r="EO111" s="929"/>
      <c r="EP111" s="929"/>
      <c r="EQ111" s="929"/>
      <c r="ER111" s="929"/>
      <c r="ES111" s="929"/>
      <c r="ET111" s="929"/>
      <c r="EU111" s="929"/>
      <c r="EV111" s="929"/>
      <c r="EW111" s="929"/>
      <c r="EX111" s="929"/>
      <c r="EY111" s="929"/>
      <c r="EZ111" s="929"/>
      <c r="FA111" s="929"/>
      <c r="FB111" s="929"/>
      <c r="FC111" s="929"/>
      <c r="FD111" s="929"/>
      <c r="FE111" s="929"/>
      <c r="FF111" s="929"/>
      <c r="FG111" s="929"/>
      <c r="FH111" s="929"/>
      <c r="FI111" s="929"/>
      <c r="FJ111" s="929"/>
      <c r="FK111" s="929"/>
      <c r="FL111" s="929"/>
      <c r="FM111" s="929"/>
      <c r="FN111" s="929"/>
      <c r="FO111" s="929"/>
      <c r="FP111" s="929"/>
      <c r="FQ111" s="929"/>
      <c r="FR111" s="929"/>
      <c r="FS111" s="929"/>
      <c r="FT111" s="929"/>
      <c r="FU111" s="929"/>
      <c r="FV111" s="929"/>
      <c r="FW111" s="929"/>
      <c r="FX111" s="929"/>
      <c r="FY111" s="929"/>
      <c r="FZ111" s="929"/>
      <c r="GA111" s="929"/>
      <c r="GB111" s="929"/>
      <c r="GC111" s="929"/>
      <c r="GD111" s="929"/>
      <c r="GE111" s="929"/>
      <c r="GF111" s="929"/>
      <c r="GG111" s="929"/>
      <c r="GH111" s="929"/>
      <c r="GI111" s="929"/>
      <c r="GJ111" s="929"/>
      <c r="GK111" s="929"/>
      <c r="GL111" s="929"/>
      <c r="GM111" s="929"/>
      <c r="GN111" s="929"/>
      <c r="GO111" s="929"/>
      <c r="GP111" s="929"/>
      <c r="GQ111" s="929"/>
      <c r="GR111" s="929"/>
      <c r="GS111" s="929"/>
      <c r="GT111" s="929"/>
      <c r="GU111" s="929"/>
      <c r="GV111" s="929"/>
      <c r="GW111" s="929"/>
      <c r="GX111" s="929"/>
      <c r="GY111" s="929"/>
      <c r="GZ111" s="929"/>
      <c r="HA111" s="929"/>
      <c r="HB111" s="929"/>
      <c r="HC111" s="929"/>
      <c r="HD111" s="929"/>
      <c r="HE111" s="929"/>
      <c r="HF111" s="929"/>
      <c r="HG111" s="929"/>
      <c r="HH111" s="929"/>
      <c r="HI111" s="929"/>
      <c r="HJ111" s="929"/>
      <c r="HK111" s="929"/>
      <c r="HL111" s="929"/>
      <c r="HM111" s="929"/>
      <c r="HN111" s="929"/>
      <c r="HO111" s="929"/>
      <c r="HP111" s="929"/>
      <c r="HQ111" s="929"/>
      <c r="HR111" s="929"/>
      <c r="HS111" s="929"/>
      <c r="HT111" s="929"/>
      <c r="HU111" s="929"/>
      <c r="HV111" s="929"/>
      <c r="HW111" s="929"/>
      <c r="HX111" s="1011"/>
      <c r="HY111" s="929"/>
      <c r="HZ111" s="929"/>
      <c r="IA111" s="929"/>
      <c r="IB111" s="929"/>
      <c r="IC111" s="1011"/>
      <c r="ID111" s="1011"/>
      <c r="IE111" s="929"/>
      <c r="IF111" s="929"/>
      <c r="IG111" s="929"/>
      <c r="IH111" s="929"/>
      <c r="II111" s="929"/>
      <c r="IJ111" s="1048"/>
      <c r="IK111" s="1048"/>
      <c r="IL111" s="1048"/>
      <c r="IM111" s="1048"/>
      <c r="IN111" s="1048"/>
      <c r="IO111" s="1048"/>
      <c r="IP111" s="1048"/>
      <c r="IQ111" s="1048"/>
      <c r="IR111" s="1048"/>
      <c r="IS111" s="1048"/>
      <c r="IT111" s="1048"/>
      <c r="IU111" s="1048"/>
      <c r="IV111" s="1048"/>
      <c r="IW111" s="1048"/>
      <c r="IX111" s="1048"/>
      <c r="IY111" s="1048"/>
      <c r="IZ111" s="1048"/>
      <c r="JA111" s="1048"/>
      <c r="JB111" s="1048"/>
      <c r="JC111" s="1048"/>
      <c r="JD111" s="1048"/>
      <c r="JE111" s="1048"/>
      <c r="JF111" s="1048"/>
      <c r="JG111" s="1048"/>
      <c r="JH111" s="1048"/>
      <c r="JI111" s="1048"/>
      <c r="JJ111" s="1048"/>
      <c r="JK111" s="1048"/>
      <c r="JL111" s="1048"/>
      <c r="JM111" s="1048"/>
      <c r="JN111" s="1048"/>
      <c r="JO111" s="1048"/>
      <c r="JP111" s="1048"/>
      <c r="JQ111" s="1048"/>
      <c r="JR111" s="1048"/>
      <c r="JS111" s="1048"/>
      <c r="JT111" s="1048"/>
      <c r="JU111" s="1048"/>
      <c r="JV111" s="1048"/>
      <c r="JW111" s="1048"/>
      <c r="JX111" s="1048"/>
      <c r="JY111" s="1048"/>
      <c r="JZ111" s="1048"/>
      <c r="KA111" s="1048"/>
      <c r="KB111" s="1048"/>
      <c r="KC111" s="1048"/>
      <c r="KD111" s="1048"/>
      <c r="KE111" s="1048"/>
      <c r="KF111" s="1048"/>
      <c r="KG111" s="1048"/>
      <c r="KH111" s="1048"/>
      <c r="KI111" s="1048"/>
      <c r="KJ111" s="1048"/>
      <c r="KK111" s="1048"/>
      <c r="KL111" s="1048"/>
      <c r="KM111" s="1048"/>
      <c r="KN111" s="1048"/>
      <c r="KO111" s="1048"/>
      <c r="KP111" s="1048"/>
      <c r="KQ111" s="1048"/>
      <c r="KR111" s="1048"/>
      <c r="KS111" s="1048"/>
      <c r="KT111" s="1048"/>
      <c r="KU111" s="1048"/>
      <c r="KV111" s="1048"/>
      <c r="KW111" s="1048"/>
      <c r="KX111" s="1048"/>
      <c r="KY111" s="1048"/>
      <c r="KZ111" s="1048"/>
      <c r="LA111" s="1048"/>
      <c r="LB111" s="1048"/>
      <c r="LC111" s="1048"/>
      <c r="LD111" s="1048"/>
      <c r="LE111" s="1048"/>
      <c r="LF111" s="1048"/>
      <c r="LG111" s="1048"/>
      <c r="LH111" s="1048"/>
      <c r="LI111" s="1048"/>
      <c r="LJ111" s="1048"/>
      <c r="LK111" s="1048"/>
      <c r="LL111" s="1048"/>
      <c r="LM111" s="1048"/>
      <c r="LN111" s="1048"/>
      <c r="LO111" s="1048"/>
      <c r="LP111" s="1048"/>
      <c r="LQ111" s="1048"/>
      <c r="LR111" s="1048"/>
      <c r="LS111" s="1048"/>
      <c r="LT111" s="1048"/>
      <c r="LU111" s="1048"/>
      <c r="LV111" s="1048"/>
      <c r="LW111" s="1048"/>
      <c r="LX111" s="1048"/>
      <c r="LY111" s="1048"/>
      <c r="LZ111" s="1048"/>
      <c r="MA111" s="1048"/>
      <c r="MB111" s="1048"/>
      <c r="MC111" s="1048"/>
      <c r="MD111" s="1048"/>
      <c r="ME111" s="1048"/>
      <c r="MF111" s="1048"/>
      <c r="MG111" s="1048"/>
      <c r="MH111" s="1048"/>
      <c r="MI111" s="1048"/>
      <c r="MJ111" s="1048"/>
      <c r="MK111" s="1048"/>
      <c r="ML111" s="1048"/>
      <c r="MM111" s="1048"/>
      <c r="MN111" s="1048"/>
      <c r="MO111" s="1048"/>
      <c r="MP111" s="1048"/>
      <c r="MQ111" s="1048"/>
      <c r="MR111" s="1048"/>
      <c r="MS111" s="1048"/>
      <c r="MT111" s="1048"/>
      <c r="MU111" s="1048"/>
      <c r="MV111" s="1048"/>
      <c r="MW111" s="1048"/>
      <c r="MX111" s="1048"/>
      <c r="MY111" s="1048"/>
      <c r="MZ111" s="1048"/>
      <c r="NA111" s="1048"/>
      <c r="NB111" s="1048"/>
      <c r="NC111" s="1048"/>
      <c r="ND111" s="1048"/>
      <c r="NE111" s="1048"/>
    </row>
    <row r="112" customFormat="1" spans="1:369">
      <c r="A112" s="932">
        <f>人物卡!AB77</f>
        <v>0</v>
      </c>
      <c r="B112" s="929" t="str">
        <f>IF(OR(A112="说服",A112="话术",A112="取悦",A112="恐吓"),"☯",IF(ISNUMBER(SEARCH(A112,VLOOKUP(IX$2,职业列表!$B$1:$G$370,6,0))),"★",""))</f>
        <v/>
      </c>
      <c r="C112" s="939"/>
      <c r="D112" s="929"/>
      <c r="E112" s="929"/>
      <c r="F112" s="929"/>
      <c r="G112" s="929"/>
      <c r="H112" s="929"/>
      <c r="I112" s="929"/>
      <c r="J112" s="929"/>
      <c r="K112" s="929"/>
      <c r="L112" s="929"/>
      <c r="M112" s="929"/>
      <c r="N112" s="929"/>
      <c r="O112" s="929"/>
      <c r="P112" s="929"/>
      <c r="Q112" s="929"/>
      <c r="R112" s="929"/>
      <c r="S112" s="929"/>
      <c r="T112" s="929"/>
      <c r="U112" s="929"/>
      <c r="V112" s="929"/>
      <c r="W112" s="929"/>
      <c r="X112" s="929"/>
      <c r="Y112" s="929"/>
      <c r="Z112" s="929"/>
      <c r="AA112" s="929"/>
      <c r="AB112" s="929"/>
      <c r="AC112" s="929"/>
      <c r="AD112" s="929"/>
      <c r="AE112" s="929"/>
      <c r="AF112" s="929"/>
      <c r="AG112" s="929"/>
      <c r="AH112" s="929"/>
      <c r="AI112" s="929"/>
      <c r="AJ112" s="929"/>
      <c r="AK112" s="929"/>
      <c r="AL112" s="929"/>
      <c r="AM112" s="929"/>
      <c r="AN112" s="929"/>
      <c r="AO112" s="929"/>
      <c r="AP112" s="929"/>
      <c r="AQ112" s="929"/>
      <c r="AR112" s="929"/>
      <c r="AS112" s="929"/>
      <c r="AT112" s="929"/>
      <c r="AU112" s="929"/>
      <c r="AV112" s="929"/>
      <c r="AW112" s="929"/>
      <c r="AX112" s="929"/>
      <c r="AY112" s="929"/>
      <c r="AZ112" s="929"/>
      <c r="BA112" s="929"/>
      <c r="BB112" s="929"/>
      <c r="BC112" s="929"/>
      <c r="BD112" s="929"/>
      <c r="BE112" s="929"/>
      <c r="BF112" s="929"/>
      <c r="BG112" s="929"/>
      <c r="BH112" s="929"/>
      <c r="BI112" s="929"/>
      <c r="BJ112" s="929"/>
      <c r="BK112" s="929"/>
      <c r="BL112" s="929"/>
      <c r="BM112" s="929"/>
      <c r="BN112" s="929"/>
      <c r="BO112" s="929"/>
      <c r="BP112" s="929"/>
      <c r="BQ112" s="929"/>
      <c r="BR112" s="929"/>
      <c r="BS112" s="929"/>
      <c r="BT112" s="929"/>
      <c r="BU112" s="929"/>
      <c r="BV112" s="929"/>
      <c r="BW112" s="929"/>
      <c r="BX112" s="929"/>
      <c r="BY112" s="929"/>
      <c r="BZ112" s="929"/>
      <c r="CA112" s="929"/>
      <c r="CB112" s="929"/>
      <c r="CC112" s="929"/>
      <c r="CD112" s="929"/>
      <c r="CE112" s="929"/>
      <c r="CF112" s="929"/>
      <c r="CG112" s="929"/>
      <c r="CH112" s="929"/>
      <c r="CI112" s="929"/>
      <c r="CJ112" s="929"/>
      <c r="CK112" s="929"/>
      <c r="CL112" s="929"/>
      <c r="CM112" s="929"/>
      <c r="CN112" s="929"/>
      <c r="CO112" s="929"/>
      <c r="CP112" s="929"/>
      <c r="CQ112" s="929"/>
      <c r="CR112" s="929"/>
      <c r="CS112" s="929"/>
      <c r="CT112" s="929"/>
      <c r="CU112" s="929"/>
      <c r="CV112" s="929"/>
      <c r="CW112" s="929"/>
      <c r="CX112" s="929"/>
      <c r="CY112" s="929"/>
      <c r="CZ112" s="929"/>
      <c r="DA112" s="929"/>
      <c r="DB112" s="929"/>
      <c r="DC112" s="929"/>
      <c r="DD112" s="929"/>
      <c r="DE112" s="929"/>
      <c r="DF112" s="929"/>
      <c r="DG112" s="929"/>
      <c r="DH112" s="929"/>
      <c r="DI112" s="929"/>
      <c r="DJ112" s="929"/>
      <c r="DK112" s="929"/>
      <c r="DL112" s="929"/>
      <c r="DM112" s="929"/>
      <c r="DN112" s="929"/>
      <c r="DO112" s="929"/>
      <c r="DP112" s="929"/>
      <c r="DQ112" s="929"/>
      <c r="DR112" s="929"/>
      <c r="DS112" s="929"/>
      <c r="DT112" s="929"/>
      <c r="DU112" s="929"/>
      <c r="DV112" s="929"/>
      <c r="DW112" s="929"/>
      <c r="DX112" s="929"/>
      <c r="DY112" s="929"/>
      <c r="DZ112" s="929"/>
      <c r="EA112" s="929"/>
      <c r="EB112" s="929"/>
      <c r="EC112" s="929"/>
      <c r="ED112" s="929"/>
      <c r="EE112" s="929"/>
      <c r="EF112" s="929"/>
      <c r="EG112" s="929"/>
      <c r="EH112" s="929"/>
      <c r="EI112" s="929"/>
      <c r="EJ112" s="929"/>
      <c r="EK112" s="929"/>
      <c r="EL112" s="929"/>
      <c r="EM112" s="929"/>
      <c r="EN112" s="929"/>
      <c r="EO112" s="929"/>
      <c r="EP112" s="929"/>
      <c r="EQ112" s="929"/>
      <c r="ER112" s="929"/>
      <c r="ES112" s="929"/>
      <c r="ET112" s="929"/>
      <c r="EU112" s="929"/>
      <c r="EV112" s="929"/>
      <c r="EW112" s="929"/>
      <c r="EX112" s="929"/>
      <c r="EY112" s="929"/>
      <c r="EZ112" s="929"/>
      <c r="FA112" s="929"/>
      <c r="FB112" s="929"/>
      <c r="FC112" s="929"/>
      <c r="FD112" s="929"/>
      <c r="FE112" s="929"/>
      <c r="FF112" s="929"/>
      <c r="FG112" s="929"/>
      <c r="FH112" s="929"/>
      <c r="FI112" s="929"/>
      <c r="FJ112" s="929"/>
      <c r="FK112" s="929"/>
      <c r="FL112" s="929"/>
      <c r="FM112" s="929"/>
      <c r="FN112" s="929"/>
      <c r="FO112" s="929"/>
      <c r="FP112" s="929"/>
      <c r="FQ112" s="929"/>
      <c r="FR112" s="929"/>
      <c r="FS112" s="929"/>
      <c r="FT112" s="929"/>
      <c r="FU112" s="929"/>
      <c r="FV112" s="929"/>
      <c r="FW112" s="929"/>
      <c r="FX112" s="929"/>
      <c r="FY112" s="929"/>
      <c r="FZ112" s="929"/>
      <c r="GA112" s="929"/>
      <c r="GB112" s="929"/>
      <c r="GC112" s="929"/>
      <c r="GD112" s="929"/>
      <c r="GE112" s="929"/>
      <c r="GF112" s="929"/>
      <c r="GG112" s="929"/>
      <c r="GH112" s="929"/>
      <c r="GI112" s="929"/>
      <c r="GJ112" s="929"/>
      <c r="GK112" s="929"/>
      <c r="GL112" s="929"/>
      <c r="GM112" s="929"/>
      <c r="GN112" s="929"/>
      <c r="GO112" s="929"/>
      <c r="GP112" s="929"/>
      <c r="GQ112" s="929"/>
      <c r="GR112" s="929"/>
      <c r="GS112" s="929"/>
      <c r="GT112" s="929"/>
      <c r="GU112" s="929"/>
      <c r="GV112" s="929"/>
      <c r="GW112" s="929"/>
      <c r="GX112" s="929"/>
      <c r="GY112" s="929"/>
      <c r="GZ112" s="929"/>
      <c r="HA112" s="929"/>
      <c r="HB112" s="929"/>
      <c r="HC112" s="929"/>
      <c r="HD112" s="929"/>
      <c r="HE112" s="929"/>
      <c r="HF112" s="929"/>
      <c r="HG112" s="929"/>
      <c r="HH112" s="929"/>
      <c r="HI112" s="929"/>
      <c r="HJ112" s="929"/>
      <c r="HK112" s="929"/>
      <c r="HL112" s="929"/>
      <c r="HM112" s="929"/>
      <c r="HN112" s="929"/>
      <c r="HO112" s="929"/>
      <c r="HP112" s="929"/>
      <c r="HQ112" s="929"/>
      <c r="HR112" s="929"/>
      <c r="HS112" s="929"/>
      <c r="HT112" s="929"/>
      <c r="HU112" s="929"/>
      <c r="HV112" s="929"/>
      <c r="HW112" s="929"/>
      <c r="HX112" s="1011"/>
      <c r="HY112" s="929"/>
      <c r="HZ112" s="929"/>
      <c r="IA112" s="929"/>
      <c r="IB112" s="929"/>
      <c r="IC112" s="1011"/>
      <c r="ID112" s="1011"/>
      <c r="IE112" s="929"/>
      <c r="IF112" s="929"/>
      <c r="IG112" s="929"/>
      <c r="IH112" s="929"/>
      <c r="II112" s="929"/>
      <c r="IJ112" s="1048"/>
      <c r="IK112" s="1048"/>
      <c r="IL112" s="1048"/>
      <c r="IM112" s="1048"/>
      <c r="IN112" s="1048"/>
      <c r="IO112" s="1048"/>
      <c r="IP112" s="1048"/>
      <c r="IQ112" s="1048"/>
      <c r="IR112" s="1048"/>
      <c r="IS112" s="1048"/>
      <c r="IT112" s="1048"/>
      <c r="IU112" s="1048"/>
      <c r="IV112" s="1048"/>
      <c r="IW112" s="1048"/>
      <c r="IX112" s="1048"/>
      <c r="IY112" s="1048"/>
      <c r="IZ112" s="1048"/>
      <c r="JA112" s="1048"/>
      <c r="JB112" s="1048"/>
      <c r="JC112" s="1048"/>
      <c r="JD112" s="1048"/>
      <c r="JE112" s="1048"/>
      <c r="JF112" s="1048"/>
      <c r="JG112" s="1048"/>
      <c r="JH112" s="1048"/>
      <c r="JI112" s="1048"/>
      <c r="JJ112" s="1048"/>
      <c r="JK112" s="1048"/>
      <c r="JL112" s="1048"/>
      <c r="JM112" s="1048"/>
      <c r="JN112" s="1048"/>
      <c r="JO112" s="1048"/>
      <c r="JP112" s="1048"/>
      <c r="JQ112" s="1048"/>
      <c r="JR112" s="1048"/>
      <c r="JS112" s="1048"/>
      <c r="JT112" s="1048"/>
      <c r="JU112" s="1048"/>
      <c r="JV112" s="1048"/>
      <c r="JW112" s="1048"/>
      <c r="JX112" s="1048"/>
      <c r="JY112" s="1048"/>
      <c r="JZ112" s="1048"/>
      <c r="KA112" s="1048"/>
      <c r="KB112" s="1048"/>
      <c r="KC112" s="1048"/>
      <c r="KD112" s="1048"/>
      <c r="KE112" s="1048"/>
      <c r="KF112" s="1048"/>
      <c r="KG112" s="1048"/>
      <c r="KH112" s="1048"/>
      <c r="KI112" s="1048"/>
      <c r="KJ112" s="1048"/>
      <c r="KK112" s="1048"/>
      <c r="KL112" s="1048"/>
      <c r="KM112" s="1048"/>
      <c r="KN112" s="1048"/>
      <c r="KO112" s="1048"/>
      <c r="KP112" s="1048"/>
      <c r="KQ112" s="1048"/>
      <c r="KR112" s="1048"/>
      <c r="KS112" s="1048"/>
      <c r="KT112" s="1048"/>
      <c r="KU112" s="1048"/>
      <c r="KV112" s="1048"/>
      <c r="KW112" s="1048"/>
      <c r="KX112" s="1048"/>
      <c r="KY112" s="1048"/>
      <c r="KZ112" s="1048"/>
      <c r="LA112" s="1048"/>
      <c r="LB112" s="1048"/>
      <c r="LC112" s="1048"/>
      <c r="LD112" s="1048"/>
      <c r="LE112" s="1048"/>
      <c r="LF112" s="1048"/>
      <c r="LG112" s="1048"/>
      <c r="LH112" s="1048"/>
      <c r="LI112" s="1048"/>
      <c r="LJ112" s="1048"/>
      <c r="LK112" s="1048"/>
      <c r="LL112" s="1048"/>
      <c r="LM112" s="1048"/>
      <c r="LN112" s="1048"/>
      <c r="LO112" s="1048"/>
      <c r="LP112" s="1048"/>
      <c r="LQ112" s="1048"/>
      <c r="LR112" s="1048"/>
      <c r="LS112" s="1048"/>
      <c r="LT112" s="1048"/>
      <c r="LU112" s="1048"/>
      <c r="LV112" s="1048"/>
      <c r="LW112" s="1048"/>
      <c r="LX112" s="1048"/>
      <c r="LY112" s="1048"/>
      <c r="LZ112" s="1048"/>
      <c r="MA112" s="1048"/>
      <c r="MB112" s="1048"/>
      <c r="MC112" s="1048"/>
      <c r="MD112" s="1048"/>
      <c r="ME112" s="1048"/>
      <c r="MF112" s="1048"/>
      <c r="MG112" s="1048"/>
      <c r="MH112" s="1048"/>
      <c r="MI112" s="1048"/>
      <c r="MJ112" s="1048"/>
      <c r="MK112" s="1048"/>
      <c r="ML112" s="1048"/>
      <c r="MM112" s="1048"/>
      <c r="MN112" s="1048"/>
      <c r="MO112" s="1048"/>
      <c r="MP112" s="1048"/>
      <c r="MQ112" s="1048"/>
      <c r="MR112" s="1048"/>
      <c r="MS112" s="1048"/>
      <c r="MT112" s="1048"/>
      <c r="MU112" s="1048"/>
      <c r="MV112" s="1048"/>
      <c r="MW112" s="1048"/>
      <c r="MX112" s="1048"/>
      <c r="MY112" s="1048"/>
      <c r="MZ112" s="1048"/>
      <c r="NA112" s="1048"/>
      <c r="NB112" s="1048"/>
      <c r="NC112" s="1048"/>
      <c r="ND112" s="1048"/>
      <c r="NE112" s="1048"/>
    </row>
    <row r="113" customFormat="1" spans="1:369">
      <c r="A113" s="932">
        <f>人物卡!F80</f>
        <v>0</v>
      </c>
      <c r="B113" s="929" t="str">
        <f>IF(OR(A113="说服",A113="话术",A113="取悦",A113="恐吓"),"☯",IF(ISNUMBER(SEARCH(A113,VLOOKUP(IX$2,职业列表!$B$1:$G$370,6,0))),"★",""))</f>
        <v/>
      </c>
      <c r="C113" s="940"/>
      <c r="D113" s="929"/>
      <c r="E113" s="929"/>
      <c r="F113" s="929"/>
      <c r="G113" s="929"/>
      <c r="H113" s="929"/>
      <c r="I113" s="929"/>
      <c r="J113" s="929"/>
      <c r="K113" s="929"/>
      <c r="L113" s="929"/>
      <c r="M113" s="929"/>
      <c r="N113" s="929"/>
      <c r="O113" s="929"/>
      <c r="P113" s="929"/>
      <c r="Q113" s="929"/>
      <c r="R113" s="929"/>
      <c r="S113" s="929"/>
      <c r="T113" s="929"/>
      <c r="U113" s="929"/>
      <c r="V113" s="929"/>
      <c r="W113" s="929"/>
      <c r="X113" s="929"/>
      <c r="Y113" s="929"/>
      <c r="Z113" s="929"/>
      <c r="AA113" s="929"/>
      <c r="AB113" s="929"/>
      <c r="AC113" s="929"/>
      <c r="AD113" s="929"/>
      <c r="AE113" s="929"/>
      <c r="AF113" s="929"/>
      <c r="AG113" s="929"/>
      <c r="AH113" s="929"/>
      <c r="AI113" s="929"/>
      <c r="AJ113" s="929"/>
      <c r="AK113" s="929"/>
      <c r="AL113" s="929"/>
      <c r="AM113" s="929"/>
      <c r="AN113" s="929"/>
      <c r="AO113" s="929"/>
      <c r="AP113" s="929"/>
      <c r="AQ113" s="929"/>
      <c r="AR113" s="929"/>
      <c r="AS113" s="929"/>
      <c r="AT113" s="929"/>
      <c r="AU113" s="929"/>
      <c r="AV113" s="929"/>
      <c r="AW113" s="929"/>
      <c r="AX113" s="929"/>
      <c r="AY113" s="929"/>
      <c r="AZ113" s="929"/>
      <c r="BA113" s="929"/>
      <c r="BB113" s="929"/>
      <c r="BC113" s="929"/>
      <c r="BD113" s="929"/>
      <c r="BE113" s="929"/>
      <c r="BF113" s="929"/>
      <c r="BG113" s="929"/>
      <c r="BH113" s="929"/>
      <c r="BI113" s="929"/>
      <c r="BJ113" s="929"/>
      <c r="BK113" s="929"/>
      <c r="BL113" s="929"/>
      <c r="BM113" s="929"/>
      <c r="BN113" s="929"/>
      <c r="BO113" s="929"/>
      <c r="BP113" s="929"/>
      <c r="BQ113" s="929"/>
      <c r="BR113" s="929"/>
      <c r="BS113" s="929"/>
      <c r="BT113" s="929"/>
      <c r="BU113" s="929"/>
      <c r="BV113" s="929"/>
      <c r="BW113" s="929"/>
      <c r="BX113" s="929"/>
      <c r="BY113" s="929"/>
      <c r="BZ113" s="929"/>
      <c r="CA113" s="929"/>
      <c r="CB113" s="929"/>
      <c r="CC113" s="929"/>
      <c r="CD113" s="929"/>
      <c r="CE113" s="929"/>
      <c r="CF113" s="929"/>
      <c r="CG113" s="929"/>
      <c r="CH113" s="929"/>
      <c r="CI113" s="929"/>
      <c r="CJ113" s="929"/>
      <c r="CK113" s="929"/>
      <c r="CL113" s="929"/>
      <c r="CM113" s="929"/>
      <c r="CN113" s="929"/>
      <c r="CO113" s="929"/>
      <c r="CP113" s="929"/>
      <c r="CQ113" s="929"/>
      <c r="CR113" s="929"/>
      <c r="CS113" s="929"/>
      <c r="CT113" s="929"/>
      <c r="CU113" s="929"/>
      <c r="CV113" s="929"/>
      <c r="CW113" s="929"/>
      <c r="CX113" s="929"/>
      <c r="CY113" s="929"/>
      <c r="CZ113" s="929"/>
      <c r="DA113" s="929"/>
      <c r="DB113" s="929"/>
      <c r="DC113" s="929"/>
      <c r="DD113" s="929"/>
      <c r="DE113" s="929"/>
      <c r="DF113" s="929"/>
      <c r="DG113" s="929"/>
      <c r="DH113" s="929"/>
      <c r="DI113" s="929"/>
      <c r="DJ113" s="929"/>
      <c r="DK113" s="929"/>
      <c r="DL113" s="929"/>
      <c r="DM113" s="929"/>
      <c r="DN113" s="929"/>
      <c r="DO113" s="929"/>
      <c r="DP113" s="929"/>
      <c r="DQ113" s="929"/>
      <c r="DR113" s="929"/>
      <c r="DS113" s="929"/>
      <c r="DT113" s="929"/>
      <c r="DU113" s="929"/>
      <c r="DV113" s="929"/>
      <c r="DW113" s="929"/>
      <c r="DX113" s="929"/>
      <c r="DY113" s="929"/>
      <c r="DZ113" s="929"/>
      <c r="EA113" s="929"/>
      <c r="EB113" s="929"/>
      <c r="EC113" s="929"/>
      <c r="ED113" s="929"/>
      <c r="EE113" s="929"/>
      <c r="EF113" s="929"/>
      <c r="EG113" s="929"/>
      <c r="EH113" s="929"/>
      <c r="EI113" s="929"/>
      <c r="EJ113" s="929"/>
      <c r="EK113" s="929"/>
      <c r="EL113" s="929"/>
      <c r="EM113" s="929"/>
      <c r="EN113" s="929"/>
      <c r="EO113" s="929"/>
      <c r="EP113" s="929"/>
      <c r="EQ113" s="929"/>
      <c r="ER113" s="929"/>
      <c r="ES113" s="929"/>
      <c r="ET113" s="929"/>
      <c r="EU113" s="929"/>
      <c r="EV113" s="929"/>
      <c r="EW113" s="929"/>
      <c r="EX113" s="929"/>
      <c r="EY113" s="929"/>
      <c r="EZ113" s="929"/>
      <c r="FA113" s="929"/>
      <c r="FB113" s="929"/>
      <c r="FC113" s="929"/>
      <c r="FD113" s="929"/>
      <c r="FE113" s="929"/>
      <c r="FF113" s="929"/>
      <c r="FG113" s="929"/>
      <c r="FH113" s="929"/>
      <c r="FI113" s="929"/>
      <c r="FJ113" s="929"/>
      <c r="FK113" s="929"/>
      <c r="FL113" s="929"/>
      <c r="FM113" s="929"/>
      <c r="FN113" s="929"/>
      <c r="FO113" s="929"/>
      <c r="FP113" s="929"/>
      <c r="FQ113" s="929"/>
      <c r="FR113" s="929"/>
      <c r="FS113" s="929"/>
      <c r="FT113" s="929"/>
      <c r="FU113" s="929"/>
      <c r="FV113" s="929"/>
      <c r="FW113" s="929"/>
      <c r="FX113" s="929"/>
      <c r="FY113" s="929"/>
      <c r="FZ113" s="929"/>
      <c r="GA113" s="929"/>
      <c r="GB113" s="929"/>
      <c r="GC113" s="929"/>
      <c r="GD113" s="929"/>
      <c r="GE113" s="929"/>
      <c r="GF113" s="929"/>
      <c r="GG113" s="929"/>
      <c r="GH113" s="929"/>
      <c r="GI113" s="929"/>
      <c r="GJ113" s="929"/>
      <c r="GK113" s="929"/>
      <c r="GL113" s="929"/>
      <c r="GM113" s="929"/>
      <c r="GN113" s="929"/>
      <c r="GO113" s="929"/>
      <c r="GP113" s="929"/>
      <c r="GQ113" s="929"/>
      <c r="GR113" s="929"/>
      <c r="GS113" s="929"/>
      <c r="GT113" s="929"/>
      <c r="GU113" s="929"/>
      <c r="GV113" s="929"/>
      <c r="GW113" s="929"/>
      <c r="GX113" s="929"/>
      <c r="GY113" s="929"/>
      <c r="GZ113" s="929"/>
      <c r="HA113" s="929"/>
      <c r="HB113" s="929"/>
      <c r="HC113" s="929"/>
      <c r="HD113" s="929"/>
      <c r="HE113" s="929"/>
      <c r="HF113" s="929"/>
      <c r="HG113" s="929"/>
      <c r="HH113" s="929"/>
      <c r="HI113" s="929"/>
      <c r="HJ113" s="929"/>
      <c r="HK113" s="929"/>
      <c r="HL113" s="929"/>
      <c r="HM113" s="929"/>
      <c r="HN113" s="929"/>
      <c r="HO113" s="929"/>
      <c r="HP113" s="929"/>
      <c r="HQ113" s="929"/>
      <c r="HR113" s="929"/>
      <c r="HS113" s="929"/>
      <c r="HT113" s="929"/>
      <c r="HU113" s="929"/>
      <c r="HV113" s="929"/>
      <c r="HW113" s="929"/>
      <c r="HX113" s="1011"/>
      <c r="HY113" s="929"/>
      <c r="HZ113" s="929"/>
      <c r="IA113" s="929"/>
      <c r="IB113" s="929"/>
      <c r="IC113" s="1011"/>
      <c r="ID113" s="1011"/>
      <c r="IE113" s="929"/>
      <c r="IF113" s="929"/>
      <c r="IG113" s="929"/>
      <c r="IH113" s="929"/>
      <c r="II113" s="929"/>
      <c r="IJ113" s="1048"/>
      <c r="IK113" s="1048"/>
      <c r="IL113" s="1048"/>
      <c r="IM113" s="1048"/>
      <c r="IN113" s="1048"/>
      <c r="IO113" s="1048"/>
      <c r="IP113" s="1048"/>
      <c r="IQ113" s="1048"/>
      <c r="IR113" s="1048"/>
      <c r="IS113" s="1048"/>
      <c r="IT113" s="1048"/>
      <c r="IU113" s="1048"/>
      <c r="IV113" s="1048"/>
      <c r="IW113" s="1048"/>
      <c r="IX113" s="1048"/>
      <c r="IY113" s="1048"/>
      <c r="IZ113" s="1048"/>
      <c r="JA113" s="1048"/>
      <c r="JB113" s="1048"/>
      <c r="JC113" s="1048"/>
      <c r="JD113" s="1048"/>
      <c r="JE113" s="1048"/>
      <c r="JF113" s="1048"/>
      <c r="JG113" s="1048"/>
      <c r="JH113" s="1048"/>
      <c r="JI113" s="1048"/>
      <c r="JJ113" s="1048"/>
      <c r="JK113" s="1048"/>
      <c r="JL113" s="1048"/>
      <c r="JM113" s="1048"/>
      <c r="JN113" s="1048"/>
      <c r="JO113" s="1048"/>
      <c r="JP113" s="1048"/>
      <c r="JQ113" s="1048"/>
      <c r="JR113" s="1048"/>
      <c r="JS113" s="1048"/>
      <c r="JT113" s="1048"/>
      <c r="JU113" s="1048"/>
      <c r="JV113" s="1048"/>
      <c r="JW113" s="1048"/>
      <c r="JX113" s="1048"/>
      <c r="JY113" s="1048"/>
      <c r="JZ113" s="1048"/>
      <c r="KA113" s="1048"/>
      <c r="KB113" s="1048"/>
      <c r="KC113" s="1048"/>
      <c r="KD113" s="1048"/>
      <c r="KE113" s="1048"/>
      <c r="KF113" s="1048"/>
      <c r="KG113" s="1048"/>
      <c r="KH113" s="1048"/>
      <c r="KI113" s="1048"/>
      <c r="KJ113" s="1048"/>
      <c r="KK113" s="1048"/>
      <c r="KL113" s="1048"/>
      <c r="KM113" s="1048"/>
      <c r="KN113" s="1048"/>
      <c r="KO113" s="1048"/>
      <c r="KP113" s="1048"/>
      <c r="KQ113" s="1048"/>
      <c r="KR113" s="1048"/>
      <c r="KS113" s="1048"/>
      <c r="KT113" s="1048"/>
      <c r="KU113" s="1048"/>
      <c r="KV113" s="1048"/>
      <c r="KW113" s="1048"/>
      <c r="KX113" s="1048"/>
      <c r="KY113" s="1048"/>
      <c r="KZ113" s="1048"/>
      <c r="LA113" s="1048"/>
      <c r="LB113" s="1048"/>
      <c r="LC113" s="1048"/>
      <c r="LD113" s="1048"/>
      <c r="LE113" s="1048"/>
      <c r="LF113" s="1048"/>
      <c r="LG113" s="1048"/>
      <c r="LH113" s="1048"/>
      <c r="LI113" s="1048"/>
      <c r="LJ113" s="1048"/>
      <c r="LK113" s="1048"/>
      <c r="LL113" s="1048"/>
      <c r="LM113" s="1048"/>
      <c r="LN113" s="1048"/>
      <c r="LO113" s="1048"/>
      <c r="LP113" s="1048"/>
      <c r="LQ113" s="1048"/>
      <c r="LR113" s="1048"/>
      <c r="LS113" s="1048"/>
      <c r="LT113" s="1048"/>
      <c r="LU113" s="1048"/>
      <c r="LV113" s="1048"/>
      <c r="LW113" s="1048"/>
      <c r="LX113" s="1048"/>
      <c r="LY113" s="1048"/>
      <c r="LZ113" s="1048"/>
      <c r="MA113" s="1048"/>
      <c r="MB113" s="1048"/>
      <c r="MC113" s="1048"/>
      <c r="MD113" s="1048"/>
      <c r="ME113" s="1048"/>
      <c r="MF113" s="1048"/>
      <c r="MG113" s="1048"/>
      <c r="MH113" s="1048"/>
      <c r="MI113" s="1048"/>
      <c r="MJ113" s="1048"/>
      <c r="MK113" s="1048"/>
      <c r="ML113" s="1048"/>
      <c r="MM113" s="1048"/>
      <c r="MN113" s="1048"/>
      <c r="MO113" s="1048"/>
      <c r="MP113" s="1048"/>
      <c r="MQ113" s="1048"/>
      <c r="MR113" s="1048"/>
      <c r="MS113" s="1048"/>
      <c r="MT113" s="1048"/>
      <c r="MU113" s="1048"/>
      <c r="MV113" s="1048"/>
      <c r="MW113" s="1048"/>
      <c r="MX113" s="1048"/>
      <c r="MY113" s="1048"/>
      <c r="MZ113" s="1048"/>
      <c r="NA113" s="1048"/>
      <c r="NB113" s="1048"/>
      <c r="NC113" s="1048"/>
      <c r="ND113" s="1048"/>
      <c r="NE113" s="1048"/>
    </row>
    <row r="114" customFormat="1" spans="1:369">
      <c r="A114" s="932" t="str">
        <f>人物卡!F81</f>
        <v>资产描述</v>
      </c>
      <c r="B114" s="929" t="str">
        <f>IF(OR(A114="说服",A114="话术",A114="取悦",A114="恐吓"),"☯",IF(ISNUMBER(SEARCH(A114,VLOOKUP(IX$2,职业列表!$B$1:$G$370,6,0))),"★",""))</f>
        <v/>
      </c>
      <c r="C114" s="939"/>
      <c r="D114" s="929"/>
      <c r="E114" s="929"/>
      <c r="F114" s="929"/>
      <c r="G114" s="929"/>
      <c r="H114" s="929"/>
      <c r="I114" s="929"/>
      <c r="J114" s="929"/>
      <c r="K114" s="929"/>
      <c r="L114" s="929"/>
      <c r="M114" s="929"/>
      <c r="N114" s="929"/>
      <c r="O114" s="929"/>
      <c r="P114" s="929"/>
      <c r="Q114" s="929"/>
      <c r="R114" s="929"/>
      <c r="S114" s="929"/>
      <c r="T114" s="929"/>
      <c r="U114" s="929"/>
      <c r="V114" s="929"/>
      <c r="W114" s="929"/>
      <c r="X114" s="929"/>
      <c r="Y114" s="929"/>
      <c r="Z114" s="929"/>
      <c r="AA114" s="929"/>
      <c r="AB114" s="929"/>
      <c r="AC114" s="929"/>
      <c r="AD114" s="929"/>
      <c r="AE114" s="929"/>
      <c r="AF114" s="929"/>
      <c r="AG114" s="929"/>
      <c r="AH114" s="929"/>
      <c r="AI114" s="929"/>
      <c r="AJ114" s="929"/>
      <c r="AK114" s="929"/>
      <c r="AL114" s="929"/>
      <c r="AM114" s="929"/>
      <c r="AN114" s="929"/>
      <c r="AO114" s="929"/>
      <c r="AP114" s="929"/>
      <c r="AQ114" s="929"/>
      <c r="AR114" s="929"/>
      <c r="AS114" s="929"/>
      <c r="AT114" s="929"/>
      <c r="AU114" s="929"/>
      <c r="AV114" s="929"/>
      <c r="AW114" s="929"/>
      <c r="AX114" s="929"/>
      <c r="AY114" s="929"/>
      <c r="AZ114" s="929"/>
      <c r="BA114" s="929"/>
      <c r="BB114" s="929"/>
      <c r="BC114" s="929"/>
      <c r="BD114" s="929"/>
      <c r="BE114" s="929"/>
      <c r="BF114" s="929"/>
      <c r="BG114" s="929"/>
      <c r="BH114" s="929"/>
      <c r="BI114" s="929"/>
      <c r="BJ114" s="929"/>
      <c r="BK114" s="929"/>
      <c r="BL114" s="929"/>
      <c r="BM114" s="929"/>
      <c r="BN114" s="929"/>
      <c r="BO114" s="929"/>
      <c r="BP114" s="929"/>
      <c r="BQ114" s="929"/>
      <c r="BR114" s="929"/>
      <c r="BS114" s="929"/>
      <c r="BT114" s="929"/>
      <c r="BU114" s="929"/>
      <c r="BV114" s="929"/>
      <c r="BW114" s="929"/>
      <c r="BX114" s="929"/>
      <c r="BY114" s="929"/>
      <c r="BZ114" s="929"/>
      <c r="CA114" s="929"/>
      <c r="CB114" s="929"/>
      <c r="CC114" s="929"/>
      <c r="CD114" s="929"/>
      <c r="CE114" s="929"/>
      <c r="CF114" s="929"/>
      <c r="CG114" s="929"/>
      <c r="CH114" s="929"/>
      <c r="CI114" s="929"/>
      <c r="CJ114" s="929"/>
      <c r="CK114" s="929"/>
      <c r="CL114" s="929"/>
      <c r="CM114" s="929"/>
      <c r="CN114" s="929"/>
      <c r="CO114" s="929"/>
      <c r="CP114" s="929"/>
      <c r="CQ114" s="929"/>
      <c r="CR114" s="929"/>
      <c r="CS114" s="929"/>
      <c r="CT114" s="929"/>
      <c r="CU114" s="929"/>
      <c r="CV114" s="929"/>
      <c r="CW114" s="929"/>
      <c r="CX114" s="929"/>
      <c r="CY114" s="929"/>
      <c r="CZ114" s="929"/>
      <c r="DA114" s="929"/>
      <c r="DB114" s="929"/>
      <c r="DC114" s="929"/>
      <c r="DD114" s="929"/>
      <c r="DE114" s="929"/>
      <c r="DF114" s="929"/>
      <c r="DG114" s="929"/>
      <c r="DH114" s="929"/>
      <c r="DI114" s="929"/>
      <c r="DJ114" s="929"/>
      <c r="DK114" s="929"/>
      <c r="DL114" s="929"/>
      <c r="DM114" s="929"/>
      <c r="DN114" s="929"/>
      <c r="DO114" s="929"/>
      <c r="DP114" s="929"/>
      <c r="DQ114" s="929"/>
      <c r="DR114" s="929"/>
      <c r="DS114" s="929"/>
      <c r="DT114" s="929"/>
      <c r="DU114" s="929"/>
      <c r="DV114" s="929"/>
      <c r="DW114" s="929"/>
      <c r="DX114" s="929"/>
      <c r="DY114" s="929"/>
      <c r="DZ114" s="929"/>
      <c r="EA114" s="929"/>
      <c r="EB114" s="929"/>
      <c r="EC114" s="929"/>
      <c r="ED114" s="929"/>
      <c r="EE114" s="929"/>
      <c r="EF114" s="929"/>
      <c r="EG114" s="929"/>
      <c r="EH114" s="929"/>
      <c r="EI114" s="929"/>
      <c r="EJ114" s="929"/>
      <c r="EK114" s="929"/>
      <c r="EL114" s="929"/>
      <c r="EM114" s="929"/>
      <c r="EN114" s="929"/>
      <c r="EO114" s="929"/>
      <c r="EP114" s="929"/>
      <c r="EQ114" s="929"/>
      <c r="ER114" s="929"/>
      <c r="ES114" s="929"/>
      <c r="ET114" s="929"/>
      <c r="EU114" s="929"/>
      <c r="EV114" s="929"/>
      <c r="EW114" s="929"/>
      <c r="EX114" s="929"/>
      <c r="EY114" s="929"/>
      <c r="EZ114" s="929"/>
      <c r="FA114" s="929"/>
      <c r="FB114" s="929"/>
      <c r="FC114" s="929"/>
      <c r="FD114" s="929"/>
      <c r="FE114" s="929"/>
      <c r="FF114" s="929"/>
      <c r="FG114" s="929"/>
      <c r="FH114" s="929"/>
      <c r="FI114" s="929"/>
      <c r="FJ114" s="929"/>
      <c r="FK114" s="929"/>
      <c r="FL114" s="929"/>
      <c r="FM114" s="929"/>
      <c r="FN114" s="929"/>
      <c r="FO114" s="929"/>
      <c r="FP114" s="929"/>
      <c r="FQ114" s="929"/>
      <c r="FR114" s="929"/>
      <c r="FS114" s="929"/>
      <c r="FT114" s="929"/>
      <c r="FU114" s="929"/>
      <c r="FV114" s="929"/>
      <c r="FW114" s="929"/>
      <c r="FX114" s="929"/>
      <c r="FY114" s="929"/>
      <c r="FZ114" s="929"/>
      <c r="GA114" s="929"/>
      <c r="GB114" s="929"/>
      <c r="GC114" s="929"/>
      <c r="GD114" s="929"/>
      <c r="GE114" s="929"/>
      <c r="GF114" s="929"/>
      <c r="GG114" s="929"/>
      <c r="GH114" s="929"/>
      <c r="GI114" s="929"/>
      <c r="GJ114" s="929"/>
      <c r="GK114" s="929"/>
      <c r="GL114" s="929"/>
      <c r="GM114" s="929"/>
      <c r="GN114" s="929"/>
      <c r="GO114" s="929"/>
      <c r="GP114" s="929"/>
      <c r="GQ114" s="929"/>
      <c r="GR114" s="929"/>
      <c r="GS114" s="929"/>
      <c r="GT114" s="929"/>
      <c r="GU114" s="929"/>
      <c r="GV114" s="929"/>
      <c r="GW114" s="929"/>
      <c r="GX114" s="929"/>
      <c r="GY114" s="929"/>
      <c r="GZ114" s="929"/>
      <c r="HA114" s="929"/>
      <c r="HB114" s="929"/>
      <c r="HC114" s="929"/>
      <c r="HD114" s="929"/>
      <c r="HE114" s="929"/>
      <c r="HF114" s="929"/>
      <c r="HG114" s="929"/>
      <c r="HH114" s="929"/>
      <c r="HI114" s="929"/>
      <c r="HJ114" s="929"/>
      <c r="HK114" s="929"/>
      <c r="HL114" s="929"/>
      <c r="HM114" s="929"/>
      <c r="HN114" s="929"/>
      <c r="HO114" s="929"/>
      <c r="HP114" s="929"/>
      <c r="HQ114" s="929"/>
      <c r="HR114" s="929"/>
      <c r="HS114" s="929"/>
      <c r="HT114" s="929"/>
      <c r="HU114" s="929"/>
      <c r="HV114" s="929"/>
      <c r="HW114" s="929"/>
      <c r="HX114" s="1011"/>
      <c r="HY114" s="929"/>
      <c r="HZ114" s="929"/>
      <c r="IA114" s="929"/>
      <c r="IB114" s="929"/>
      <c r="IC114" s="1011"/>
      <c r="ID114" s="1011"/>
      <c r="IE114" s="929"/>
      <c r="IF114" s="929"/>
      <c r="IG114" s="929"/>
      <c r="IH114" s="929"/>
      <c r="II114" s="929"/>
      <c r="IJ114" s="1048"/>
      <c r="IK114" s="1048"/>
      <c r="IL114" s="1048"/>
      <c r="IM114" s="1048"/>
      <c r="IN114" s="1048"/>
      <c r="IO114" s="1048"/>
      <c r="IP114" s="1048"/>
      <c r="IQ114" s="1048"/>
      <c r="IR114" s="1048"/>
      <c r="IS114" s="1048"/>
      <c r="IT114" s="1048"/>
      <c r="IU114" s="1048"/>
      <c r="IV114" s="1048"/>
      <c r="IW114" s="1048"/>
      <c r="IX114" s="1048"/>
      <c r="IY114" s="1048"/>
      <c r="IZ114" s="1048"/>
      <c r="JA114" s="1048"/>
      <c r="JB114" s="1048"/>
      <c r="JC114" s="1048"/>
      <c r="JD114" s="1048"/>
      <c r="JE114" s="1048"/>
      <c r="JF114" s="1048"/>
      <c r="JG114" s="1048"/>
      <c r="JH114" s="1048"/>
      <c r="JI114" s="1048"/>
      <c r="JJ114" s="1048"/>
      <c r="JK114" s="1048"/>
      <c r="JL114" s="1048"/>
      <c r="JM114" s="1048"/>
      <c r="JN114" s="1048"/>
      <c r="JO114" s="1048"/>
      <c r="JP114" s="1048"/>
      <c r="JQ114" s="1048"/>
      <c r="JR114" s="1048"/>
      <c r="JS114" s="1048"/>
      <c r="JT114" s="1048"/>
      <c r="JU114" s="1048"/>
      <c r="JV114" s="1048"/>
      <c r="JW114" s="1048"/>
      <c r="JX114" s="1048"/>
      <c r="JY114" s="1048"/>
      <c r="JZ114" s="1048"/>
      <c r="KA114" s="1048"/>
      <c r="KB114" s="1048"/>
      <c r="KC114" s="1048"/>
      <c r="KD114" s="1048"/>
      <c r="KE114" s="1048"/>
      <c r="KF114" s="1048"/>
      <c r="KG114" s="1048"/>
      <c r="KH114" s="1048"/>
      <c r="KI114" s="1048"/>
      <c r="KJ114" s="1048"/>
      <c r="KK114" s="1048"/>
      <c r="KL114" s="1048"/>
      <c r="KM114" s="1048"/>
      <c r="KN114" s="1048"/>
      <c r="KO114" s="1048"/>
      <c r="KP114" s="1048"/>
      <c r="KQ114" s="1048"/>
      <c r="KR114" s="1048"/>
      <c r="KS114" s="1048"/>
      <c r="KT114" s="1048"/>
      <c r="KU114" s="1048"/>
      <c r="KV114" s="1048"/>
      <c r="KW114" s="1048"/>
      <c r="KX114" s="1048"/>
      <c r="KY114" s="1048"/>
      <c r="KZ114" s="1048"/>
      <c r="LA114" s="1048"/>
      <c r="LB114" s="1048"/>
      <c r="LC114" s="1048"/>
      <c r="LD114" s="1048"/>
      <c r="LE114" s="1048"/>
      <c r="LF114" s="1048"/>
      <c r="LG114" s="1048"/>
      <c r="LH114" s="1048"/>
      <c r="LI114" s="1048"/>
      <c r="LJ114" s="1048"/>
      <c r="LK114" s="1048"/>
      <c r="LL114" s="1048"/>
      <c r="LM114" s="1048"/>
      <c r="LN114" s="1048"/>
      <c r="LO114" s="1048"/>
      <c r="LP114" s="1048"/>
      <c r="LQ114" s="1048"/>
      <c r="LR114" s="1048"/>
      <c r="LS114" s="1048"/>
      <c r="LT114" s="1048"/>
      <c r="LU114" s="1048"/>
      <c r="LV114" s="1048"/>
      <c r="LW114" s="1048"/>
      <c r="LX114" s="1048"/>
      <c r="LY114" s="1048"/>
      <c r="LZ114" s="1048"/>
      <c r="MA114" s="1048"/>
      <c r="MB114" s="1048"/>
      <c r="MC114" s="1048"/>
      <c r="MD114" s="1048"/>
      <c r="ME114" s="1048"/>
      <c r="MF114" s="1048"/>
      <c r="MG114" s="1048"/>
      <c r="MH114" s="1048"/>
      <c r="MI114" s="1048"/>
      <c r="MJ114" s="1048"/>
      <c r="MK114" s="1048"/>
      <c r="ML114" s="1048"/>
      <c r="MM114" s="1048"/>
      <c r="MN114" s="1048"/>
      <c r="MO114" s="1048"/>
      <c r="MP114" s="1048"/>
      <c r="MQ114" s="1048"/>
      <c r="MR114" s="1048"/>
      <c r="MS114" s="1048"/>
      <c r="MT114" s="1048"/>
      <c r="MU114" s="1048"/>
      <c r="MV114" s="1048"/>
      <c r="MW114" s="1048"/>
      <c r="MX114" s="1048"/>
      <c r="MY114" s="1048"/>
      <c r="MZ114" s="1048"/>
      <c r="NA114" s="1048"/>
      <c r="NB114" s="1048"/>
      <c r="NC114" s="1048"/>
      <c r="ND114" s="1048"/>
      <c r="NE114" s="1048"/>
    </row>
  </sheetData>
  <protectedRanges>
    <protectedRange sqref="A88:D88" name="技能表往下"/>
    <protectedRange sqref="A89:D91" name="技能表往下_1"/>
  </protectedRanges>
  <conditionalFormatting sqref="HY2:NE2">
    <cfRule type="duplicateValues" dxfId="12" priority="1"/>
  </conditionalFormatting>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72"/>
  <sheetViews>
    <sheetView showGridLines="0" showRowColHeaders="0" zoomScale="56" zoomScaleNormal="56" topLeftCell="F326" workbookViewId="0">
      <selection activeCell="G353" sqref="G353"/>
    </sheetView>
  </sheetViews>
  <sheetFormatPr defaultColWidth="9" defaultRowHeight="20" customHeight="1"/>
  <cols>
    <col min="1" max="1" width="4.78181818181818" style="741" customWidth="1"/>
    <col min="2" max="2" width="12.6636363636364" style="742" customWidth="1"/>
    <col min="3" max="3" width="15.2363636363636" style="742" customWidth="1"/>
    <col min="4" max="4" width="15.3636363636364" style="743" customWidth="1"/>
    <col min="5" max="5" width="26.5545454545455" style="741" customWidth="1"/>
    <col min="6" max="6" width="7.66363636363636" style="741" customWidth="1"/>
    <col min="7" max="7" width="138" style="741" customWidth="1"/>
    <col min="8" max="8" width="12.8909090909091" style="742" customWidth="1"/>
    <col min="9" max="9" width="9.89090909090909" style="741" customWidth="1"/>
    <col min="10" max="10" width="7" style="741" customWidth="1"/>
    <col min="11" max="11" width="13.1090909090909" style="741"/>
    <col min="12" max="12" width="13.7818181818182" style="744"/>
    <col min="13" max="13" width="17.6636363636364" style="744"/>
    <col min="14" max="14" width="17.1090909090909" style="744"/>
    <col min="15" max="15" width="10.7818181818182" style="744" customWidth="1"/>
    <col min="16" max="16" width="8.55454545454545" style="744" customWidth="1"/>
    <col min="17" max="17" width="23.6636363636364" style="745" customWidth="1"/>
    <col min="18" max="18" width="8.10909090909091" customWidth="1"/>
    <col min="19" max="20" width="9" customWidth="1"/>
    <col min="21" max="21" width="11.3363636363636" customWidth="1"/>
    <col min="22" max="22" width="9" customWidth="1"/>
  </cols>
  <sheetData>
    <row r="1" customHeight="1" spans="1:17">
      <c r="A1" s="746" t="s">
        <v>2766</v>
      </c>
      <c r="B1" s="747" t="s">
        <v>13</v>
      </c>
      <c r="C1" s="747"/>
      <c r="D1" s="748" t="s">
        <v>93</v>
      </c>
      <c r="E1" s="747" t="s">
        <v>2767</v>
      </c>
      <c r="F1" s="747" t="s">
        <v>2768</v>
      </c>
      <c r="G1" s="749" t="s">
        <v>2769</v>
      </c>
      <c r="H1" s="750"/>
      <c r="I1" s="750"/>
      <c r="J1" s="750"/>
      <c r="K1" s="774" t="s">
        <v>2770</v>
      </c>
      <c r="L1" s="774"/>
      <c r="M1" s="774" t="s">
        <v>138</v>
      </c>
      <c r="N1" s="774"/>
      <c r="O1" s="775"/>
      <c r="P1" s="775"/>
      <c r="Q1" s="799"/>
    </row>
    <row r="2" customHeight="1" spans="1:17">
      <c r="A2" s="751">
        <v>0</v>
      </c>
      <c r="B2" s="752" t="s">
        <v>2771</v>
      </c>
      <c r="C2" s="752"/>
      <c r="D2" s="753"/>
      <c r="E2" s="752"/>
      <c r="F2" s="752"/>
      <c r="G2" s="754"/>
      <c r="H2" s="755" t="s">
        <v>2772</v>
      </c>
      <c r="I2" s="776" t="s">
        <v>2773</v>
      </c>
      <c r="J2" s="777"/>
      <c r="K2" s="778"/>
      <c r="L2" s="779"/>
      <c r="M2" s="779"/>
      <c r="N2" s="779"/>
      <c r="O2" s="779"/>
      <c r="P2" s="779"/>
      <c r="Q2" s="800"/>
    </row>
    <row r="3" customHeight="1" spans="1:17">
      <c r="A3" s="751">
        <v>1</v>
      </c>
      <c r="B3" s="756" t="str">
        <f>IF(C3="","自定义职业",C3)</f>
        <v>自定义职业</v>
      </c>
      <c r="C3" s="757"/>
      <c r="D3" s="758"/>
      <c r="E3" s="759" t="str">
        <f>附表!AA9</f>
        <v>教育×4</v>
      </c>
      <c r="F3" s="760">
        <f>SUM(附表!AF10:AF12)</f>
        <v>0</v>
      </c>
      <c r="G3" s="761" t="str">
        <f>IF(I3&lt;&gt;"",I3&amp;"，"&amp;I4&amp;"，"&amp;I5&amp;"，"&amp;I6&amp;"，"&amp;I7&amp;"，"&amp;I8&amp;"，"&amp;I9&amp;"，"&amp;I10,"不多于8个本职技能。在右侧职业属性中输入第二职业属性的数值（留空则视为EDU）并自行设置起始信誉。使用自定义职业前，请先咨询你的守秘人。")</f>
        <v>不多于8个本职技能。在右侧职业属性中输入第二职业属性的数值（留空则视为EDU）并自行设置起始信誉。使用自定义职业前，请先咨询你的守秘人。</v>
      </c>
      <c r="H3" s="755"/>
      <c r="I3" s="780"/>
      <c r="J3" s="781"/>
      <c r="K3" s="782" t="s">
        <v>2774</v>
      </c>
      <c r="L3" s="782"/>
      <c r="M3" s="782" t="s">
        <v>2775</v>
      </c>
      <c r="N3" s="783"/>
      <c r="O3" s="779"/>
      <c r="P3" s="779"/>
      <c r="Q3" s="800"/>
    </row>
    <row r="4" customHeight="1" spans="1:17">
      <c r="A4" s="751">
        <v>2</v>
      </c>
      <c r="B4" s="762" t="s">
        <v>2357</v>
      </c>
      <c r="C4" s="762"/>
      <c r="D4" s="763" t="s">
        <v>2776</v>
      </c>
      <c r="E4" s="764" t="s">
        <v>2777</v>
      </c>
      <c r="F4" s="764">
        <f>EDU*4</f>
        <v>0</v>
      </c>
      <c r="G4" s="765" t="s">
        <v>2778</v>
      </c>
      <c r="H4" s="755"/>
      <c r="I4" s="780"/>
      <c r="J4" s="781"/>
      <c r="K4" s="782" t="s">
        <v>2779</v>
      </c>
      <c r="L4" s="782"/>
      <c r="M4" s="782" t="s">
        <v>2780</v>
      </c>
      <c r="N4" s="783"/>
      <c r="O4" s="779"/>
      <c r="P4" s="779"/>
      <c r="Q4" s="800"/>
    </row>
    <row r="5" customHeight="1" spans="1:17">
      <c r="A5" s="751">
        <v>3</v>
      </c>
      <c r="B5" s="762" t="s">
        <v>2358</v>
      </c>
      <c r="C5" s="762"/>
      <c r="D5" s="763" t="s">
        <v>2781</v>
      </c>
      <c r="E5" s="764" t="s">
        <v>2782</v>
      </c>
      <c r="F5" s="764">
        <f>EDU*2+DEX*2</f>
        <v>0</v>
      </c>
      <c r="G5" s="765" t="s">
        <v>2783</v>
      </c>
      <c r="H5" s="755"/>
      <c r="I5" s="780"/>
      <c r="J5" s="781"/>
      <c r="K5" s="782" t="s">
        <v>2784</v>
      </c>
      <c r="L5" s="782"/>
      <c r="M5" s="782" t="s">
        <v>2785</v>
      </c>
      <c r="N5" s="783"/>
      <c r="O5" s="779"/>
      <c r="P5" s="779"/>
      <c r="Q5" s="800"/>
    </row>
    <row r="6" customHeight="1" spans="1:17">
      <c r="A6" s="751">
        <v>4</v>
      </c>
      <c r="B6" s="762" t="s">
        <v>2359</v>
      </c>
      <c r="C6" s="762"/>
      <c r="D6" s="763" t="s">
        <v>2786</v>
      </c>
      <c r="E6" s="764" t="s">
        <v>2787</v>
      </c>
      <c r="F6" s="764">
        <f>EDU*2+APP*2</f>
        <v>0</v>
      </c>
      <c r="G6" s="765" t="s">
        <v>2788</v>
      </c>
      <c r="H6" s="755"/>
      <c r="I6" s="780"/>
      <c r="J6" s="781"/>
      <c r="K6" s="782" t="s">
        <v>2789</v>
      </c>
      <c r="L6" s="782"/>
      <c r="M6" s="782" t="s">
        <v>2790</v>
      </c>
      <c r="N6" s="783"/>
      <c r="O6" s="779"/>
      <c r="P6" s="779"/>
      <c r="Q6" s="800"/>
    </row>
    <row r="7" customHeight="1" spans="1:17">
      <c r="A7" s="751">
        <v>5</v>
      </c>
      <c r="B7" s="762" t="s">
        <v>2360</v>
      </c>
      <c r="C7" s="762"/>
      <c r="D7" s="763" t="s">
        <v>2791</v>
      </c>
      <c r="E7" s="764" t="s">
        <v>2787</v>
      </c>
      <c r="F7" s="764">
        <f>EDU*2+APP*2</f>
        <v>0</v>
      </c>
      <c r="G7" s="765" t="s">
        <v>2792</v>
      </c>
      <c r="H7" s="755"/>
      <c r="I7" s="780"/>
      <c r="J7" s="781"/>
      <c r="K7" s="782" t="s">
        <v>2793</v>
      </c>
      <c r="L7" s="782"/>
      <c r="M7" s="782" t="s">
        <v>2790</v>
      </c>
      <c r="N7" s="783"/>
      <c r="O7" s="779"/>
      <c r="P7" s="779"/>
      <c r="Q7" s="800"/>
    </row>
    <row r="8" customHeight="1" spans="1:17">
      <c r="A8" s="751">
        <v>6</v>
      </c>
      <c r="B8" s="762" t="s">
        <v>2794</v>
      </c>
      <c r="C8" s="762"/>
      <c r="D8" s="763" t="s">
        <v>2795</v>
      </c>
      <c r="E8" s="764" t="s">
        <v>2796</v>
      </c>
      <c r="F8" s="764">
        <f>EDU*2+MAX(STR*2,DEX*2)</f>
        <v>0</v>
      </c>
      <c r="G8" s="765" t="s">
        <v>2797</v>
      </c>
      <c r="H8" s="755"/>
      <c r="I8" s="780"/>
      <c r="J8" s="781"/>
      <c r="K8" s="782" t="s">
        <v>2798</v>
      </c>
      <c r="L8" s="782"/>
      <c r="M8" s="782" t="s">
        <v>2799</v>
      </c>
      <c r="N8" s="783"/>
      <c r="O8" s="784"/>
      <c r="P8" s="784"/>
      <c r="Q8" s="800"/>
    </row>
    <row r="9" customHeight="1" spans="1:17">
      <c r="A9" s="751">
        <v>7</v>
      </c>
      <c r="B9" s="762" t="s">
        <v>2362</v>
      </c>
      <c r="C9" s="762"/>
      <c r="D9" s="763" t="s">
        <v>2800</v>
      </c>
      <c r="E9" s="764" t="s">
        <v>2801</v>
      </c>
      <c r="F9" s="764">
        <f>EDU*4</f>
        <v>0</v>
      </c>
      <c r="G9" s="765" t="s">
        <v>2802</v>
      </c>
      <c r="H9" s="755"/>
      <c r="I9" s="780" t="s">
        <v>644</v>
      </c>
      <c r="J9" s="781"/>
      <c r="K9" s="782" t="s">
        <v>2803</v>
      </c>
      <c r="L9" s="782"/>
      <c r="M9" s="782" t="s">
        <v>2804</v>
      </c>
      <c r="N9" s="783"/>
      <c r="O9" s="784"/>
      <c r="P9" s="784"/>
      <c r="Q9" s="800"/>
    </row>
    <row r="10" customHeight="1" spans="1:17">
      <c r="A10" s="751">
        <v>8</v>
      </c>
      <c r="B10" s="762" t="s">
        <v>2363</v>
      </c>
      <c r="C10" s="762"/>
      <c r="D10" s="763" t="s">
        <v>2805</v>
      </c>
      <c r="E10" s="764" t="s">
        <v>2806</v>
      </c>
      <c r="F10" s="764">
        <f>EDU*2+MAX(APP*2,POW*2)</f>
        <v>0</v>
      </c>
      <c r="G10" s="765" t="s">
        <v>2807</v>
      </c>
      <c r="H10" s="755"/>
      <c r="I10" s="780" t="s">
        <v>644</v>
      </c>
      <c r="J10" s="781"/>
      <c r="K10" s="782" t="s">
        <v>2808</v>
      </c>
      <c r="L10" s="782"/>
      <c r="M10" s="782" t="s">
        <v>2809</v>
      </c>
      <c r="N10" s="783"/>
      <c r="O10" s="784"/>
      <c r="P10" s="784"/>
      <c r="Q10" s="800"/>
    </row>
    <row r="11" customHeight="1" spans="1:17">
      <c r="A11" s="751">
        <v>9</v>
      </c>
      <c r="B11" s="762" t="s">
        <v>2364</v>
      </c>
      <c r="C11" s="762"/>
      <c r="D11" s="763" t="s">
        <v>2776</v>
      </c>
      <c r="E11" s="764" t="s">
        <v>2801</v>
      </c>
      <c r="F11" s="764">
        <f>EDU*4</f>
        <v>0</v>
      </c>
      <c r="G11" s="765" t="s">
        <v>2810</v>
      </c>
      <c r="H11" s="766"/>
      <c r="I11" s="785" t="s">
        <v>2811</v>
      </c>
      <c r="J11" s="786"/>
      <c r="K11" s="782" t="s">
        <v>2812</v>
      </c>
      <c r="L11" s="782"/>
      <c r="M11" s="782" t="s">
        <v>2813</v>
      </c>
      <c r="N11" s="783"/>
      <c r="O11" s="784"/>
      <c r="P11" s="784"/>
      <c r="Q11" s="800"/>
    </row>
    <row r="12" customHeight="1" spans="1:17">
      <c r="A12" s="751">
        <v>10</v>
      </c>
      <c r="B12" s="762" t="s">
        <v>2365</v>
      </c>
      <c r="C12" s="762"/>
      <c r="D12" s="763" t="s">
        <v>2814</v>
      </c>
      <c r="E12" s="764" t="s">
        <v>2801</v>
      </c>
      <c r="F12" s="764">
        <f>EDU*4</f>
        <v>0</v>
      </c>
      <c r="G12" s="765" t="s">
        <v>2815</v>
      </c>
      <c r="H12" s="767"/>
      <c r="I12" s="767"/>
      <c r="J12" s="767"/>
      <c r="K12" s="782" t="s">
        <v>2816</v>
      </c>
      <c r="L12" s="782"/>
      <c r="M12" s="782" t="s">
        <v>2817</v>
      </c>
      <c r="N12" s="783"/>
      <c r="O12" s="784"/>
      <c r="P12" s="784"/>
      <c r="Q12" s="800"/>
    </row>
    <row r="13" customHeight="1" spans="1:17">
      <c r="A13" s="751">
        <v>11</v>
      </c>
      <c r="B13" s="762" t="s">
        <v>2366</v>
      </c>
      <c r="C13" s="762"/>
      <c r="D13" s="763" t="s">
        <v>2805</v>
      </c>
      <c r="E13" s="764" t="s">
        <v>2801</v>
      </c>
      <c r="F13" s="764">
        <f>EDU*4</f>
        <v>0</v>
      </c>
      <c r="G13" s="762" t="s">
        <v>2818</v>
      </c>
      <c r="H13" s="768" t="s">
        <v>504</v>
      </c>
      <c r="I13" s="787"/>
      <c r="J13" s="788"/>
      <c r="K13" s="782" t="s">
        <v>2819</v>
      </c>
      <c r="L13" s="782"/>
      <c r="M13" s="782" t="s">
        <v>2820</v>
      </c>
      <c r="N13" s="783"/>
      <c r="O13" s="784"/>
      <c r="P13" s="784"/>
      <c r="Q13" s="800"/>
    </row>
    <row r="14" customHeight="1" spans="1:17">
      <c r="A14" s="751">
        <v>12</v>
      </c>
      <c r="B14" s="762" t="s">
        <v>2367</v>
      </c>
      <c r="C14" s="762"/>
      <c r="D14" s="763" t="s">
        <v>2776</v>
      </c>
      <c r="E14" s="764" t="s">
        <v>2801</v>
      </c>
      <c r="F14" s="764">
        <f>EDU*4</f>
        <v>0</v>
      </c>
      <c r="G14" s="762" t="s">
        <v>2821</v>
      </c>
      <c r="H14" s="769" t="s">
        <v>516</v>
      </c>
      <c r="I14" s="789" t="s">
        <v>2822</v>
      </c>
      <c r="J14" s="790" t="s">
        <v>518</v>
      </c>
      <c r="K14" s="782" t="s">
        <v>2823</v>
      </c>
      <c r="L14" s="782"/>
      <c r="M14" s="782" t="s">
        <v>2824</v>
      </c>
      <c r="N14" s="783"/>
      <c r="O14" s="784"/>
      <c r="P14" s="784"/>
      <c r="Q14" s="800"/>
    </row>
    <row r="15" customHeight="1" spans="1:17">
      <c r="A15" s="751">
        <v>13</v>
      </c>
      <c r="B15" s="762" t="s">
        <v>2368</v>
      </c>
      <c r="C15" s="762"/>
      <c r="D15" s="763" t="s">
        <v>2825</v>
      </c>
      <c r="E15" s="764" t="s">
        <v>2826</v>
      </c>
      <c r="F15" s="764">
        <f>EDU*2+MAX(DEX*2,POW*2)</f>
        <v>0</v>
      </c>
      <c r="G15" s="762" t="s">
        <v>2827</v>
      </c>
      <c r="H15" s="770" t="s">
        <v>370</v>
      </c>
      <c r="I15" s="791" t="s">
        <v>210</v>
      </c>
      <c r="J15" s="792">
        <f t="shared" ref="J15:J20" si="0">IF(I15="√",2,0)</f>
        <v>0</v>
      </c>
      <c r="K15" s="782" t="s">
        <v>2828</v>
      </c>
      <c r="L15" s="782"/>
      <c r="M15" s="782" t="s">
        <v>2829</v>
      </c>
      <c r="N15" s="783"/>
      <c r="O15" s="784"/>
      <c r="P15" s="784"/>
      <c r="Q15" s="800"/>
    </row>
    <row r="16" customHeight="1" spans="1:17">
      <c r="A16" s="751">
        <v>14</v>
      </c>
      <c r="B16" s="762" t="s">
        <v>2369</v>
      </c>
      <c r="C16" s="762"/>
      <c r="D16" s="763" t="s">
        <v>2830</v>
      </c>
      <c r="E16" s="764" t="s">
        <v>2796</v>
      </c>
      <c r="F16" s="764">
        <f>EDU*2+MAX(STR*2,DEX*2)</f>
        <v>0</v>
      </c>
      <c r="G16" s="762" t="s">
        <v>2831</v>
      </c>
      <c r="H16" s="770" t="s">
        <v>371</v>
      </c>
      <c r="I16" s="791" t="s">
        <v>210</v>
      </c>
      <c r="J16" s="792">
        <f t="shared" si="0"/>
        <v>0</v>
      </c>
      <c r="K16" s="782" t="s">
        <v>2832</v>
      </c>
      <c r="L16" s="782"/>
      <c r="M16" s="782" t="s">
        <v>2833</v>
      </c>
      <c r="N16" s="783"/>
      <c r="O16" s="784"/>
      <c r="P16" s="784"/>
      <c r="Q16" s="800"/>
    </row>
    <row r="17" customHeight="1" spans="1:17">
      <c r="A17" s="751">
        <v>15</v>
      </c>
      <c r="B17" s="762" t="s">
        <v>2370</v>
      </c>
      <c r="C17" s="762"/>
      <c r="D17" s="763" t="s">
        <v>2834</v>
      </c>
      <c r="E17" s="764" t="s">
        <v>2796</v>
      </c>
      <c r="F17" s="764">
        <f>EDU*2+MAX(STR*2,DEX*2)</f>
        <v>0</v>
      </c>
      <c r="G17" s="762" t="s">
        <v>2835</v>
      </c>
      <c r="H17" s="770" t="s">
        <v>377</v>
      </c>
      <c r="I17" s="791" t="s">
        <v>210</v>
      </c>
      <c r="J17" s="792">
        <f t="shared" si="0"/>
        <v>0</v>
      </c>
      <c r="K17" s="782" t="s">
        <v>2836</v>
      </c>
      <c r="L17" s="782"/>
      <c r="M17" s="782" t="s">
        <v>2837</v>
      </c>
      <c r="N17" s="783"/>
      <c r="O17" s="784"/>
      <c r="P17" s="784"/>
      <c r="Q17" s="800"/>
    </row>
    <row r="18" customHeight="1" spans="1:17">
      <c r="A18" s="751">
        <v>16</v>
      </c>
      <c r="B18" s="762" t="s">
        <v>2371</v>
      </c>
      <c r="C18" s="762"/>
      <c r="D18" s="763" t="s">
        <v>2838</v>
      </c>
      <c r="E18" s="764" t="s">
        <v>2801</v>
      </c>
      <c r="F18" s="764">
        <f>EDU*4</f>
        <v>0</v>
      </c>
      <c r="G18" s="762" t="s">
        <v>2839</v>
      </c>
      <c r="H18" s="770" t="s">
        <v>369</v>
      </c>
      <c r="I18" s="791" t="s">
        <v>210</v>
      </c>
      <c r="J18" s="792">
        <f t="shared" si="0"/>
        <v>0</v>
      </c>
      <c r="K18" s="782" t="s">
        <v>2840</v>
      </c>
      <c r="L18" s="782"/>
      <c r="M18" s="782" t="s">
        <v>2841</v>
      </c>
      <c r="N18" s="783"/>
      <c r="O18" s="784"/>
      <c r="P18" s="784"/>
      <c r="Q18" s="800"/>
    </row>
    <row r="19" customHeight="1" spans="1:17">
      <c r="A19" s="751">
        <v>17</v>
      </c>
      <c r="B19" s="762" t="s">
        <v>2372</v>
      </c>
      <c r="C19" s="762"/>
      <c r="D19" s="763" t="s">
        <v>2842</v>
      </c>
      <c r="E19" s="764" t="s">
        <v>2787</v>
      </c>
      <c r="F19" s="764">
        <f>EDU*2+APP*2</f>
        <v>0</v>
      </c>
      <c r="G19" s="762" t="s">
        <v>2843</v>
      </c>
      <c r="H19" s="770" t="s">
        <v>372</v>
      </c>
      <c r="I19" s="791" t="s">
        <v>210</v>
      </c>
      <c r="J19" s="792">
        <f t="shared" si="0"/>
        <v>0</v>
      </c>
      <c r="K19" s="782" t="s">
        <v>2844</v>
      </c>
      <c r="L19" s="782"/>
      <c r="M19" s="782" t="s">
        <v>2845</v>
      </c>
      <c r="N19" s="783"/>
      <c r="O19" s="784"/>
      <c r="P19" s="784"/>
      <c r="Q19" s="800"/>
    </row>
    <row r="20" customHeight="1" spans="1:17">
      <c r="A20" s="751">
        <v>18</v>
      </c>
      <c r="B20" s="762" t="s">
        <v>2373</v>
      </c>
      <c r="C20" s="762"/>
      <c r="D20" s="763" t="s">
        <v>2846</v>
      </c>
      <c r="E20" s="764" t="s">
        <v>2796</v>
      </c>
      <c r="F20" s="764">
        <f>EDU*2+MAX(STR*2,DEX*2)</f>
        <v>0</v>
      </c>
      <c r="G20" s="762" t="s">
        <v>2847</v>
      </c>
      <c r="H20" s="770" t="s">
        <v>373</v>
      </c>
      <c r="I20" s="791" t="s">
        <v>210</v>
      </c>
      <c r="J20" s="792">
        <f t="shared" si="0"/>
        <v>0</v>
      </c>
      <c r="K20" s="782" t="s">
        <v>2848</v>
      </c>
      <c r="L20" s="782"/>
      <c r="M20" s="782" t="s">
        <v>2849</v>
      </c>
      <c r="N20" s="783"/>
      <c r="O20" s="784"/>
      <c r="P20" s="784"/>
      <c r="Q20" s="800"/>
    </row>
    <row r="21" customHeight="1" spans="1:17">
      <c r="A21" s="751">
        <v>19</v>
      </c>
      <c r="B21" s="762" t="s">
        <v>2374</v>
      </c>
      <c r="C21" s="762"/>
      <c r="D21" s="763" t="s">
        <v>2850</v>
      </c>
      <c r="E21" s="764" t="s">
        <v>2801</v>
      </c>
      <c r="F21" s="764">
        <f>EDU*4</f>
        <v>0</v>
      </c>
      <c r="G21" s="762" t="s">
        <v>2851</v>
      </c>
      <c r="H21" s="770" t="s">
        <v>378</v>
      </c>
      <c r="I21" s="791" t="s">
        <v>2852</v>
      </c>
      <c r="J21" s="792">
        <f>IF(I21="√",IF(SUM(J15:J20,J22:J23)&gt;0,2,4),0)</f>
        <v>4</v>
      </c>
      <c r="K21" s="782" t="s">
        <v>2853</v>
      </c>
      <c r="L21" s="782"/>
      <c r="M21" s="782" t="s">
        <v>2854</v>
      </c>
      <c r="N21" s="783"/>
      <c r="O21" s="784"/>
      <c r="P21" s="784"/>
      <c r="Q21" s="800"/>
    </row>
    <row r="22" customHeight="1" spans="1:17">
      <c r="A22" s="751">
        <v>20</v>
      </c>
      <c r="B22" s="762" t="s">
        <v>2375</v>
      </c>
      <c r="C22" s="762"/>
      <c r="D22" s="763" t="s">
        <v>2838</v>
      </c>
      <c r="E22" s="764" t="s">
        <v>2796</v>
      </c>
      <c r="F22" s="764">
        <f>EDU*2+MAX(STR*2,DEX*2)</f>
        <v>0</v>
      </c>
      <c r="G22" s="762" t="s">
        <v>2855</v>
      </c>
      <c r="H22" s="770" t="s">
        <v>374</v>
      </c>
      <c r="I22" s="791" t="s">
        <v>210</v>
      </c>
      <c r="J22" s="792">
        <f>IF(I22="√",2,0)</f>
        <v>0</v>
      </c>
      <c r="K22" s="782" t="s">
        <v>2856</v>
      </c>
      <c r="L22" s="782"/>
      <c r="M22" s="782" t="s">
        <v>2857</v>
      </c>
      <c r="N22" s="783"/>
      <c r="O22" s="784"/>
      <c r="P22" s="784"/>
      <c r="Q22" s="800"/>
    </row>
    <row r="23" customHeight="1" spans="1:17">
      <c r="A23" s="751">
        <v>21</v>
      </c>
      <c r="B23" s="762" t="s">
        <v>2376</v>
      </c>
      <c r="C23" s="762"/>
      <c r="D23" s="763" t="s">
        <v>2858</v>
      </c>
      <c r="E23" s="764" t="s">
        <v>2859</v>
      </c>
      <c r="F23" s="764">
        <f>EDU*2+STR*2</f>
        <v>0</v>
      </c>
      <c r="G23" s="762" t="s">
        <v>2860</v>
      </c>
      <c r="H23" s="770" t="s">
        <v>379</v>
      </c>
      <c r="I23" s="791" t="s">
        <v>210</v>
      </c>
      <c r="J23" s="792">
        <f>IF(I23="√",2,0)</f>
        <v>0</v>
      </c>
      <c r="K23" s="782" t="s">
        <v>2861</v>
      </c>
      <c r="L23" s="782"/>
      <c r="M23" s="782" t="s">
        <v>2862</v>
      </c>
      <c r="N23" s="783"/>
      <c r="O23" s="784"/>
      <c r="P23" s="784"/>
      <c r="Q23" s="800"/>
    </row>
    <row r="24" customHeight="1" spans="1:17">
      <c r="A24" s="751">
        <v>22</v>
      </c>
      <c r="B24" s="762" t="s">
        <v>2377</v>
      </c>
      <c r="C24" s="762"/>
      <c r="D24" s="763" t="s">
        <v>2786</v>
      </c>
      <c r="E24" s="764" t="s">
        <v>2801</v>
      </c>
      <c r="F24" s="764">
        <f>EDU*4</f>
        <v>0</v>
      </c>
      <c r="G24" s="765" t="s">
        <v>2863</v>
      </c>
      <c r="H24" s="771" t="s">
        <v>2864</v>
      </c>
      <c r="I24" s="793"/>
      <c r="J24" s="794"/>
      <c r="K24" s="795"/>
      <c r="L24" s="795"/>
      <c r="M24" s="795"/>
      <c r="N24" s="795"/>
      <c r="O24" s="795"/>
      <c r="P24" s="795"/>
      <c r="Q24" s="800"/>
    </row>
    <row r="25" customHeight="1" spans="1:17">
      <c r="A25" s="751">
        <v>23</v>
      </c>
      <c r="B25" s="762" t="s">
        <v>2378</v>
      </c>
      <c r="C25" s="762"/>
      <c r="D25" s="763" t="s">
        <v>2858</v>
      </c>
      <c r="E25" s="764" t="s">
        <v>2801</v>
      </c>
      <c r="F25" s="764">
        <f>EDU*4</f>
        <v>0</v>
      </c>
      <c r="G25" s="765" t="s">
        <v>2865</v>
      </c>
      <c r="H25" s="772" t="s">
        <v>553</v>
      </c>
      <c r="I25" s="796"/>
      <c r="J25" s="797"/>
      <c r="K25" s="782" t="s">
        <v>2866</v>
      </c>
      <c r="L25" s="782"/>
      <c r="M25" s="782" t="s">
        <v>2867</v>
      </c>
      <c r="N25" s="783"/>
      <c r="O25" s="784"/>
      <c r="P25" s="784"/>
      <c r="Q25" s="800"/>
    </row>
    <row r="26" customHeight="1" spans="1:17">
      <c r="A26" s="751">
        <v>24</v>
      </c>
      <c r="B26" s="762" t="s">
        <v>2379</v>
      </c>
      <c r="C26" s="762"/>
      <c r="D26" s="763" t="s">
        <v>2868</v>
      </c>
      <c r="E26" s="764" t="s">
        <v>2801</v>
      </c>
      <c r="F26" s="764">
        <f>EDU*4</f>
        <v>0</v>
      </c>
      <c r="G26" s="765" t="s">
        <v>2869</v>
      </c>
      <c r="H26" s="766"/>
      <c r="I26" s="773"/>
      <c r="J26" s="767"/>
      <c r="K26" s="782" t="s">
        <v>2870</v>
      </c>
      <c r="L26" s="782"/>
      <c r="M26" s="782" t="s">
        <v>2871</v>
      </c>
      <c r="N26" s="783"/>
      <c r="O26" s="784"/>
      <c r="P26" s="784"/>
      <c r="Q26" s="800"/>
    </row>
    <row r="27" customHeight="1" spans="1:17">
      <c r="A27" s="751">
        <v>25</v>
      </c>
      <c r="B27" s="762" t="s">
        <v>2380</v>
      </c>
      <c r="C27" s="762"/>
      <c r="D27" s="763" t="s">
        <v>2868</v>
      </c>
      <c r="E27" s="764" t="s">
        <v>2801</v>
      </c>
      <c r="F27" s="764">
        <f>EDU*4</f>
        <v>0</v>
      </c>
      <c r="G27" s="765" t="s">
        <v>2872</v>
      </c>
      <c r="H27" s="766"/>
      <c r="I27" s="773"/>
      <c r="J27" s="767"/>
      <c r="K27" s="782" t="s">
        <v>2873</v>
      </c>
      <c r="L27" s="782"/>
      <c r="M27" s="782" t="s">
        <v>2874</v>
      </c>
      <c r="N27" s="783"/>
      <c r="O27" s="784"/>
      <c r="P27" s="784"/>
      <c r="Q27" s="800"/>
    </row>
    <row r="28" customHeight="1" spans="1:17">
      <c r="A28" s="751">
        <v>26</v>
      </c>
      <c r="B28" s="762" t="s">
        <v>2381</v>
      </c>
      <c r="C28" s="762"/>
      <c r="D28" s="763" t="s">
        <v>2781</v>
      </c>
      <c r="E28" s="764" t="s">
        <v>2796</v>
      </c>
      <c r="F28" s="764">
        <f>EDU*2+MAX(STR*2,DEX*2)</f>
        <v>0</v>
      </c>
      <c r="G28" s="765" t="s">
        <v>2875</v>
      </c>
      <c r="H28" s="766"/>
      <c r="I28" s="773"/>
      <c r="J28" s="767"/>
      <c r="K28" s="782" t="s">
        <v>2876</v>
      </c>
      <c r="L28" s="782"/>
      <c r="M28" s="782" t="s">
        <v>2877</v>
      </c>
      <c r="N28" s="783"/>
      <c r="O28" s="784"/>
      <c r="P28" s="784"/>
      <c r="Q28" s="800"/>
    </row>
    <row r="29" customHeight="1" spans="1:17">
      <c r="A29" s="751">
        <v>27</v>
      </c>
      <c r="B29" s="762" t="s">
        <v>2382</v>
      </c>
      <c r="C29" s="762"/>
      <c r="D29" s="763" t="s">
        <v>2805</v>
      </c>
      <c r="E29" s="764" t="s">
        <v>2878</v>
      </c>
      <c r="F29" s="764">
        <f>EDU*2+DEX*2</f>
        <v>0</v>
      </c>
      <c r="G29" s="765" t="s">
        <v>2879</v>
      </c>
      <c r="H29" s="766"/>
      <c r="I29" s="773"/>
      <c r="J29" s="767"/>
      <c r="K29" s="782" t="s">
        <v>2880</v>
      </c>
      <c r="L29" s="782"/>
      <c r="M29" s="782" t="s">
        <v>2881</v>
      </c>
      <c r="N29" s="783"/>
      <c r="O29" s="784"/>
      <c r="P29" s="784"/>
      <c r="Q29" s="800"/>
    </row>
    <row r="30" customHeight="1" spans="1:17">
      <c r="A30" s="751">
        <v>28</v>
      </c>
      <c r="B30" s="762" t="s">
        <v>2383</v>
      </c>
      <c r="C30" s="762"/>
      <c r="D30" s="763" t="s">
        <v>2882</v>
      </c>
      <c r="E30" s="764" t="s">
        <v>2796</v>
      </c>
      <c r="F30" s="764">
        <f>EDU*2+MAX(STR*2,DEX*2)</f>
        <v>0</v>
      </c>
      <c r="G30" s="765" t="s">
        <v>2883</v>
      </c>
      <c r="H30" s="766"/>
      <c r="I30" s="773"/>
      <c r="J30" s="767"/>
      <c r="K30" s="782" t="s">
        <v>2884</v>
      </c>
      <c r="L30" s="782"/>
      <c r="M30" s="782" t="s">
        <v>2885</v>
      </c>
      <c r="N30" s="783"/>
      <c r="O30" s="784"/>
      <c r="P30" s="784"/>
      <c r="Q30" s="800"/>
    </row>
    <row r="31" customHeight="1" spans="1:17">
      <c r="A31" s="751">
        <v>29</v>
      </c>
      <c r="B31" s="762" t="s">
        <v>2384</v>
      </c>
      <c r="C31" s="762"/>
      <c r="D31" s="763" t="s">
        <v>2886</v>
      </c>
      <c r="E31" s="764" t="s">
        <v>2887</v>
      </c>
      <c r="F31" s="764">
        <f>EDU*2+MAX(STR*2,DEX*2)</f>
        <v>0</v>
      </c>
      <c r="G31" s="765" t="s">
        <v>2888</v>
      </c>
      <c r="H31" s="766"/>
      <c r="I31" s="773"/>
      <c r="J31" s="773"/>
      <c r="K31" s="782" t="s">
        <v>2889</v>
      </c>
      <c r="L31" s="782"/>
      <c r="M31" s="782" t="s">
        <v>2890</v>
      </c>
      <c r="N31" s="783"/>
      <c r="O31" s="784"/>
      <c r="P31" s="784"/>
      <c r="Q31" s="800"/>
    </row>
    <row r="32" customHeight="1" spans="1:17">
      <c r="A32" s="751">
        <v>30</v>
      </c>
      <c r="B32" s="762" t="s">
        <v>2385</v>
      </c>
      <c r="C32" s="762"/>
      <c r="D32" s="763" t="s">
        <v>2891</v>
      </c>
      <c r="E32" s="764" t="s">
        <v>2892</v>
      </c>
      <c r="F32" s="764">
        <f>EDU*2+STR*2</f>
        <v>0</v>
      </c>
      <c r="G32" s="765" t="s">
        <v>2893</v>
      </c>
      <c r="H32" s="766"/>
      <c r="I32" s="773"/>
      <c r="J32" s="773"/>
      <c r="K32" s="782" t="s">
        <v>2894</v>
      </c>
      <c r="L32" s="782"/>
      <c r="M32" s="782" t="s">
        <v>2895</v>
      </c>
      <c r="N32" s="783"/>
      <c r="O32" s="784"/>
      <c r="P32" s="784"/>
      <c r="Q32" s="800"/>
    </row>
    <row r="33" customHeight="1" spans="1:17">
      <c r="A33" s="751">
        <v>31</v>
      </c>
      <c r="B33" s="762" t="s">
        <v>2386</v>
      </c>
      <c r="C33" s="762"/>
      <c r="D33" s="763" t="s">
        <v>2896</v>
      </c>
      <c r="E33" s="764" t="s">
        <v>2897</v>
      </c>
      <c r="F33" s="764">
        <f>EDU*2+DEX*2</f>
        <v>0</v>
      </c>
      <c r="G33" s="765" t="s">
        <v>2898</v>
      </c>
      <c r="H33" s="766"/>
      <c r="I33" s="773"/>
      <c r="J33" s="773"/>
      <c r="K33" s="782" t="s">
        <v>2899</v>
      </c>
      <c r="L33" s="782"/>
      <c r="M33" s="782" t="s">
        <v>2890</v>
      </c>
      <c r="N33" s="783"/>
      <c r="O33" s="784"/>
      <c r="P33" s="784"/>
      <c r="Q33" s="800"/>
    </row>
    <row r="34" customHeight="1" spans="1:17">
      <c r="A34" s="751">
        <v>32</v>
      </c>
      <c r="B34" s="762" t="s">
        <v>2387</v>
      </c>
      <c r="C34" s="762"/>
      <c r="D34" s="763" t="s">
        <v>2900</v>
      </c>
      <c r="E34" s="764" t="s">
        <v>2901</v>
      </c>
      <c r="F34" s="764">
        <f>EDU*2+APP*2</f>
        <v>0</v>
      </c>
      <c r="G34" s="765" t="s">
        <v>2902</v>
      </c>
      <c r="H34" s="766"/>
      <c r="I34" s="773"/>
      <c r="J34" s="773"/>
      <c r="K34" s="782" t="s">
        <v>2903</v>
      </c>
      <c r="L34" s="782"/>
      <c r="M34" s="782" t="s">
        <v>2904</v>
      </c>
      <c r="N34" s="783"/>
      <c r="O34" s="784"/>
      <c r="P34" s="784"/>
      <c r="Q34" s="800"/>
    </row>
    <row r="35" customHeight="1" spans="1:17">
      <c r="A35" s="751">
        <v>33</v>
      </c>
      <c r="B35" s="762" t="s">
        <v>2388</v>
      </c>
      <c r="C35" s="762"/>
      <c r="D35" s="763" t="s">
        <v>2905</v>
      </c>
      <c r="E35" s="764" t="s">
        <v>2906</v>
      </c>
      <c r="F35" s="764">
        <f>EDU*2+MAX(DEX*2,APP*2)</f>
        <v>0</v>
      </c>
      <c r="G35" s="765" t="s">
        <v>2907</v>
      </c>
      <c r="H35" s="766"/>
      <c r="I35" s="773"/>
      <c r="J35" s="773"/>
      <c r="K35" s="782" t="s">
        <v>2908</v>
      </c>
      <c r="L35" s="782"/>
      <c r="M35" s="782" t="s">
        <v>2890</v>
      </c>
      <c r="N35" s="783"/>
      <c r="O35" s="784"/>
      <c r="P35" s="784"/>
      <c r="Q35" s="800"/>
    </row>
    <row r="36" customHeight="1" spans="1:17">
      <c r="A36" s="751">
        <v>34</v>
      </c>
      <c r="B36" s="762" t="s">
        <v>2389</v>
      </c>
      <c r="C36" s="762"/>
      <c r="D36" s="763" t="s">
        <v>2909</v>
      </c>
      <c r="E36" s="764" t="s">
        <v>2901</v>
      </c>
      <c r="F36" s="764">
        <f>EDU*2+APP*2</f>
        <v>0</v>
      </c>
      <c r="G36" s="765" t="s">
        <v>2910</v>
      </c>
      <c r="H36" s="766"/>
      <c r="I36" s="773"/>
      <c r="J36" s="773"/>
      <c r="K36" s="782" t="s">
        <v>2911</v>
      </c>
      <c r="L36" s="782"/>
      <c r="M36" s="782" t="s">
        <v>2912</v>
      </c>
      <c r="N36" s="783"/>
      <c r="O36" s="784"/>
      <c r="P36" s="784"/>
      <c r="Q36" s="800"/>
    </row>
    <row r="37" customHeight="1" spans="1:17">
      <c r="A37" s="751">
        <v>35</v>
      </c>
      <c r="B37" s="762" t="s">
        <v>2390</v>
      </c>
      <c r="C37" s="762"/>
      <c r="D37" s="763" t="s">
        <v>2850</v>
      </c>
      <c r="E37" s="764" t="s">
        <v>2901</v>
      </c>
      <c r="F37" s="764">
        <f>EDU*2+APP*2</f>
        <v>0</v>
      </c>
      <c r="G37" s="765" t="s">
        <v>2913</v>
      </c>
      <c r="H37" s="766"/>
      <c r="I37" s="773"/>
      <c r="J37" s="773"/>
      <c r="K37" s="782" t="s">
        <v>2914</v>
      </c>
      <c r="L37" s="782"/>
      <c r="M37" s="782" t="s">
        <v>2915</v>
      </c>
      <c r="N37" s="783"/>
      <c r="O37" s="784"/>
      <c r="P37" s="784"/>
      <c r="Q37" s="800"/>
    </row>
    <row r="38" customHeight="1" spans="1:17">
      <c r="A38" s="751">
        <v>36</v>
      </c>
      <c r="B38" s="762" t="s">
        <v>2391</v>
      </c>
      <c r="C38" s="762"/>
      <c r="D38" s="763" t="s">
        <v>2916</v>
      </c>
      <c r="E38" s="764" t="s">
        <v>2801</v>
      </c>
      <c r="F38" s="764">
        <f>EDU*4</f>
        <v>0</v>
      </c>
      <c r="G38" s="765" t="s">
        <v>2917</v>
      </c>
      <c r="H38" s="766"/>
      <c r="I38" s="773"/>
      <c r="J38" s="773"/>
      <c r="K38" s="782" t="s">
        <v>2918</v>
      </c>
      <c r="L38" s="782"/>
      <c r="M38" s="782" t="s">
        <v>2919</v>
      </c>
      <c r="N38" s="783"/>
      <c r="O38" s="784"/>
      <c r="P38" s="784"/>
      <c r="Q38" s="800"/>
    </row>
    <row r="39" customHeight="1" spans="1:17">
      <c r="A39" s="751">
        <v>37</v>
      </c>
      <c r="B39" s="762" t="s">
        <v>2392</v>
      </c>
      <c r="C39" s="762"/>
      <c r="D39" s="763" t="s">
        <v>2916</v>
      </c>
      <c r="E39" s="764" t="s">
        <v>2920</v>
      </c>
      <c r="F39" s="764">
        <f>EDU*2+MAX(DEX*2,APP*2)</f>
        <v>0</v>
      </c>
      <c r="G39" s="765" t="s">
        <v>2921</v>
      </c>
      <c r="H39" s="766"/>
      <c r="I39" s="773"/>
      <c r="J39" s="773"/>
      <c r="K39" s="782" t="s">
        <v>2922</v>
      </c>
      <c r="L39" s="782"/>
      <c r="M39" s="782" t="s">
        <v>2923</v>
      </c>
      <c r="N39" s="783"/>
      <c r="O39" s="784"/>
      <c r="P39" s="784"/>
      <c r="Q39" s="800"/>
    </row>
    <row r="40" customHeight="1" spans="1:17">
      <c r="A40" s="751">
        <v>38</v>
      </c>
      <c r="B40" s="762" t="s">
        <v>2393</v>
      </c>
      <c r="C40" s="762"/>
      <c r="D40" s="763" t="s">
        <v>2924</v>
      </c>
      <c r="E40" s="764" t="s">
        <v>2796</v>
      </c>
      <c r="F40" s="764">
        <f>EDU*2+MAX(STR*2,DEX*2)</f>
        <v>0</v>
      </c>
      <c r="G40" s="765" t="s">
        <v>2925</v>
      </c>
      <c r="H40" s="766"/>
      <c r="I40" s="773"/>
      <c r="J40" s="773"/>
      <c r="K40" s="782" t="s">
        <v>2926</v>
      </c>
      <c r="L40" s="782"/>
      <c r="M40" s="782" t="s">
        <v>2927</v>
      </c>
      <c r="N40" s="783"/>
      <c r="O40" s="784"/>
      <c r="P40" s="784"/>
      <c r="Q40" s="800"/>
    </row>
    <row r="41" customHeight="1" spans="1:17">
      <c r="A41" s="751">
        <v>39</v>
      </c>
      <c r="B41" s="762" t="s">
        <v>2394</v>
      </c>
      <c r="C41" s="762"/>
      <c r="D41" s="763" t="s">
        <v>2882</v>
      </c>
      <c r="E41" s="764" t="s">
        <v>2801</v>
      </c>
      <c r="F41" s="764">
        <f>EDU*4</f>
        <v>0</v>
      </c>
      <c r="G41" s="765" t="s">
        <v>2928</v>
      </c>
      <c r="H41" s="766"/>
      <c r="I41" s="773"/>
      <c r="J41" s="773"/>
      <c r="K41" s="782" t="s">
        <v>2929</v>
      </c>
      <c r="L41" s="782"/>
      <c r="M41" s="782" t="s">
        <v>2930</v>
      </c>
      <c r="N41" s="783"/>
      <c r="O41" s="784"/>
      <c r="P41" s="784"/>
      <c r="Q41" s="800"/>
    </row>
    <row r="42" customHeight="1" spans="1:17">
      <c r="A42" s="751">
        <v>40</v>
      </c>
      <c r="B42" s="762" t="s">
        <v>2395</v>
      </c>
      <c r="C42" s="762"/>
      <c r="D42" s="763" t="s">
        <v>2846</v>
      </c>
      <c r="E42" s="764" t="s">
        <v>2801</v>
      </c>
      <c r="F42" s="764">
        <f>EDU*4</f>
        <v>0</v>
      </c>
      <c r="G42" s="765" t="s">
        <v>2931</v>
      </c>
      <c r="H42" s="766"/>
      <c r="I42" s="773"/>
      <c r="J42" s="773"/>
      <c r="K42" s="782" t="s">
        <v>2932</v>
      </c>
      <c r="L42" s="782"/>
      <c r="M42" s="782" t="s">
        <v>2933</v>
      </c>
      <c r="N42" s="783"/>
      <c r="O42" s="784"/>
      <c r="P42" s="784"/>
      <c r="Q42" s="800"/>
    </row>
    <row r="43" customHeight="1" spans="1:17">
      <c r="A43" s="751">
        <v>41</v>
      </c>
      <c r="B43" s="762" t="s">
        <v>2396</v>
      </c>
      <c r="C43" s="762"/>
      <c r="D43" s="763" t="s">
        <v>2916</v>
      </c>
      <c r="E43" s="764" t="s">
        <v>2801</v>
      </c>
      <c r="F43" s="764">
        <f>EDU*4</f>
        <v>0</v>
      </c>
      <c r="G43" s="765" t="s">
        <v>2934</v>
      </c>
      <c r="H43" s="766"/>
      <c r="I43" s="773"/>
      <c r="J43" s="773"/>
      <c r="K43" s="782" t="s">
        <v>2935</v>
      </c>
      <c r="L43" s="782"/>
      <c r="M43" s="782" t="s">
        <v>2936</v>
      </c>
      <c r="N43" s="783"/>
      <c r="O43" s="784"/>
      <c r="P43" s="784"/>
      <c r="Q43" s="800"/>
    </row>
    <row r="44" customHeight="1" spans="1:17">
      <c r="A44" s="751">
        <v>42</v>
      </c>
      <c r="B44" s="762" t="s">
        <v>2397</v>
      </c>
      <c r="C44" s="762"/>
      <c r="D44" s="763" t="s">
        <v>2937</v>
      </c>
      <c r="E44" s="764" t="s">
        <v>2787</v>
      </c>
      <c r="F44" s="764">
        <f>EDU*2+APP*2</f>
        <v>0</v>
      </c>
      <c r="G44" s="765" t="s">
        <v>2938</v>
      </c>
      <c r="H44" s="766"/>
      <c r="I44" s="773"/>
      <c r="J44" s="773"/>
      <c r="K44" s="782" t="s">
        <v>2939</v>
      </c>
      <c r="L44" s="782"/>
      <c r="M44" s="782" t="s">
        <v>2940</v>
      </c>
      <c r="N44" s="783"/>
      <c r="O44" s="784"/>
      <c r="P44" s="784"/>
      <c r="Q44" s="800"/>
    </row>
    <row r="45" customHeight="1" spans="1:17">
      <c r="A45" s="751">
        <v>43</v>
      </c>
      <c r="B45" s="762" t="s">
        <v>2398</v>
      </c>
      <c r="C45" s="762"/>
      <c r="D45" s="763" t="s">
        <v>2838</v>
      </c>
      <c r="E45" s="764" t="s">
        <v>2897</v>
      </c>
      <c r="F45" s="764">
        <f>EDU*2+DEX*2</f>
        <v>0</v>
      </c>
      <c r="G45" s="765" t="s">
        <v>2941</v>
      </c>
      <c r="H45" s="766"/>
      <c r="I45" s="773"/>
      <c r="J45" s="773"/>
      <c r="K45" s="782" t="s">
        <v>2942</v>
      </c>
      <c r="L45" s="782"/>
      <c r="M45" s="782" t="s">
        <v>2943</v>
      </c>
      <c r="N45" s="783"/>
      <c r="O45" s="784"/>
      <c r="P45" s="784"/>
      <c r="Q45" s="800"/>
    </row>
    <row r="46" customHeight="1" spans="1:17">
      <c r="A46" s="751">
        <v>44</v>
      </c>
      <c r="B46" s="762" t="s">
        <v>2399</v>
      </c>
      <c r="C46" s="762"/>
      <c r="D46" s="763" t="s">
        <v>2944</v>
      </c>
      <c r="E46" s="764" t="s">
        <v>2801</v>
      </c>
      <c r="F46" s="764">
        <f>EDU*4</f>
        <v>0</v>
      </c>
      <c r="G46" s="765" t="s">
        <v>2945</v>
      </c>
      <c r="H46" s="766"/>
      <c r="I46" s="773"/>
      <c r="J46" s="773"/>
      <c r="K46" s="782" t="s">
        <v>2946</v>
      </c>
      <c r="L46" s="782"/>
      <c r="M46" s="782" t="s">
        <v>2947</v>
      </c>
      <c r="N46" s="783"/>
      <c r="O46" s="784"/>
      <c r="P46" s="784"/>
      <c r="Q46" s="800"/>
    </row>
    <row r="47" customHeight="1" spans="1:17">
      <c r="A47" s="751">
        <v>45</v>
      </c>
      <c r="B47" s="762" t="s">
        <v>2400</v>
      </c>
      <c r="C47" s="762"/>
      <c r="D47" s="763" t="s">
        <v>2948</v>
      </c>
      <c r="E47" s="764" t="s">
        <v>2949</v>
      </c>
      <c r="F47" s="764">
        <f>EDU*2+MAX(DEX*2,APP*2,STR*2)</f>
        <v>0</v>
      </c>
      <c r="G47" s="765" t="s">
        <v>2950</v>
      </c>
      <c r="H47" s="766"/>
      <c r="I47" s="773"/>
      <c r="J47" s="773"/>
      <c r="K47" s="782" t="s">
        <v>2951</v>
      </c>
      <c r="L47" s="782"/>
      <c r="M47" s="782" t="s">
        <v>2952</v>
      </c>
      <c r="N47" s="783"/>
      <c r="O47" s="784"/>
      <c r="P47" s="784"/>
      <c r="Q47" s="800"/>
    </row>
    <row r="48" customHeight="1" spans="1:17">
      <c r="A48" s="751">
        <v>46</v>
      </c>
      <c r="B48" s="762" t="s">
        <v>2401</v>
      </c>
      <c r="C48" s="762"/>
      <c r="D48" s="763" t="s">
        <v>2805</v>
      </c>
      <c r="E48" s="764" t="s">
        <v>2782</v>
      </c>
      <c r="F48" s="764">
        <f>EDU*2+DEX*2</f>
        <v>0</v>
      </c>
      <c r="G48" s="765" t="s">
        <v>2953</v>
      </c>
      <c r="H48" s="766"/>
      <c r="I48" s="773"/>
      <c r="J48" s="773"/>
      <c r="K48" s="782" t="s">
        <v>2954</v>
      </c>
      <c r="L48" s="782"/>
      <c r="M48" s="782" t="s">
        <v>2955</v>
      </c>
      <c r="N48" s="783"/>
      <c r="O48" s="784"/>
      <c r="P48" s="784"/>
      <c r="Q48" s="800"/>
    </row>
    <row r="49" customHeight="1" spans="1:17">
      <c r="A49" s="751">
        <v>47</v>
      </c>
      <c r="B49" s="762" t="s">
        <v>2402</v>
      </c>
      <c r="C49" s="762"/>
      <c r="D49" s="763" t="s">
        <v>2781</v>
      </c>
      <c r="E49" s="764" t="s">
        <v>2796</v>
      </c>
      <c r="F49" s="764">
        <f>EDU*2+MAX(STR*2,DEX*2)</f>
        <v>0</v>
      </c>
      <c r="G49" s="765" t="s">
        <v>2956</v>
      </c>
      <c r="H49" s="766"/>
      <c r="I49" s="773"/>
      <c r="J49" s="773"/>
      <c r="K49" s="782" t="s">
        <v>2957</v>
      </c>
      <c r="L49" s="782"/>
      <c r="M49" s="782" t="s">
        <v>2958</v>
      </c>
      <c r="N49" s="783"/>
      <c r="O49" s="784"/>
      <c r="P49" s="784"/>
      <c r="Q49" s="800"/>
    </row>
    <row r="50" customHeight="1" spans="1:17">
      <c r="A50" s="751">
        <v>48</v>
      </c>
      <c r="B50" s="762" t="s">
        <v>2403</v>
      </c>
      <c r="C50" s="762"/>
      <c r="D50" s="763" t="s">
        <v>2838</v>
      </c>
      <c r="E50" s="764" t="s">
        <v>2897</v>
      </c>
      <c r="F50" s="764">
        <f>EDU*2+DEX*2</f>
        <v>0</v>
      </c>
      <c r="G50" s="765" t="s">
        <v>2959</v>
      </c>
      <c r="H50" s="766"/>
      <c r="I50" s="773"/>
      <c r="J50" s="773"/>
      <c r="K50" s="782" t="s">
        <v>2960</v>
      </c>
      <c r="L50" s="782"/>
      <c r="M50" s="782" t="s">
        <v>2961</v>
      </c>
      <c r="N50" s="783"/>
      <c r="O50" s="784"/>
      <c r="P50" s="784"/>
      <c r="Q50" s="800"/>
    </row>
    <row r="51" customHeight="1" spans="1:17">
      <c r="A51" s="751">
        <v>49</v>
      </c>
      <c r="B51" s="762" t="s">
        <v>2404</v>
      </c>
      <c r="C51" s="762"/>
      <c r="D51" s="763" t="s">
        <v>2962</v>
      </c>
      <c r="E51" s="764" t="s">
        <v>2801</v>
      </c>
      <c r="F51" s="764">
        <f>EDU*4</f>
        <v>0</v>
      </c>
      <c r="G51" s="765" t="s">
        <v>2963</v>
      </c>
      <c r="H51" s="766"/>
      <c r="I51" s="773"/>
      <c r="J51" s="773"/>
      <c r="K51" s="782" t="s">
        <v>2964</v>
      </c>
      <c r="L51" s="782"/>
      <c r="M51" s="782" t="s">
        <v>2965</v>
      </c>
      <c r="N51" s="783"/>
      <c r="O51" s="784"/>
      <c r="P51" s="784"/>
      <c r="Q51" s="800"/>
    </row>
    <row r="52" customHeight="1" spans="1:17">
      <c r="A52" s="751">
        <v>50</v>
      </c>
      <c r="B52" s="762" t="s">
        <v>2405</v>
      </c>
      <c r="C52" s="762"/>
      <c r="D52" s="763" t="s">
        <v>2966</v>
      </c>
      <c r="E52" s="764" t="s">
        <v>2901</v>
      </c>
      <c r="F52" s="764">
        <f>EDU*2+APP*2</f>
        <v>0</v>
      </c>
      <c r="G52" s="765" t="s">
        <v>2967</v>
      </c>
      <c r="H52" s="766"/>
      <c r="I52" s="773"/>
      <c r="J52" s="773"/>
      <c r="K52" s="782" t="s">
        <v>2968</v>
      </c>
      <c r="L52" s="782"/>
      <c r="M52" s="782" t="s">
        <v>2969</v>
      </c>
      <c r="N52" s="783"/>
      <c r="O52" s="784"/>
      <c r="P52" s="784"/>
      <c r="Q52" s="800"/>
    </row>
    <row r="53" customHeight="1" spans="1:17">
      <c r="A53" s="751">
        <v>51</v>
      </c>
      <c r="B53" s="762" t="s">
        <v>2406</v>
      </c>
      <c r="C53" s="762"/>
      <c r="D53" s="763" t="s">
        <v>2882</v>
      </c>
      <c r="E53" s="764" t="s">
        <v>2801</v>
      </c>
      <c r="F53" s="764">
        <f>EDU*4</f>
        <v>0</v>
      </c>
      <c r="G53" s="765" t="s">
        <v>2970</v>
      </c>
      <c r="H53" s="766"/>
      <c r="I53" s="773"/>
      <c r="J53" s="773"/>
      <c r="K53" s="782" t="s">
        <v>2971</v>
      </c>
      <c r="L53" s="782"/>
      <c r="M53" s="782" t="s">
        <v>2972</v>
      </c>
      <c r="N53" s="783"/>
      <c r="O53" s="784"/>
      <c r="P53" s="784"/>
      <c r="Q53" s="800"/>
    </row>
    <row r="54" customHeight="1" spans="1:17">
      <c r="A54" s="751">
        <v>52</v>
      </c>
      <c r="B54" s="762" t="s">
        <v>2407</v>
      </c>
      <c r="C54" s="762"/>
      <c r="D54" s="763" t="s">
        <v>2834</v>
      </c>
      <c r="E54" s="764" t="s">
        <v>2787</v>
      </c>
      <c r="F54" s="764">
        <f>EDU*2+APP*2</f>
        <v>0</v>
      </c>
      <c r="G54" s="765" t="s">
        <v>2973</v>
      </c>
      <c r="H54" s="766"/>
      <c r="I54" s="773"/>
      <c r="J54" s="773"/>
      <c r="K54" s="782" t="s">
        <v>2974</v>
      </c>
      <c r="L54" s="782"/>
      <c r="M54" s="782" t="s">
        <v>2975</v>
      </c>
      <c r="N54" s="783"/>
      <c r="O54" s="784"/>
      <c r="P54" s="784"/>
      <c r="Q54" s="800"/>
    </row>
    <row r="55" customHeight="1" spans="1:17">
      <c r="A55" s="751">
        <v>53</v>
      </c>
      <c r="B55" s="762" t="s">
        <v>2408</v>
      </c>
      <c r="C55" s="762"/>
      <c r="D55" s="763" t="s">
        <v>2976</v>
      </c>
      <c r="E55" s="764" t="s">
        <v>2949</v>
      </c>
      <c r="F55" s="764">
        <f>EDU*2+MAX(DEX*2,APP*2,STR*2)</f>
        <v>0</v>
      </c>
      <c r="G55" s="765" t="s">
        <v>2977</v>
      </c>
      <c r="H55" s="766"/>
      <c r="I55" s="773"/>
      <c r="J55" s="773"/>
      <c r="K55" s="782" t="s">
        <v>2978</v>
      </c>
      <c r="L55" s="782"/>
      <c r="M55" s="782" t="s">
        <v>2979</v>
      </c>
      <c r="N55" s="783"/>
      <c r="O55" s="784"/>
      <c r="P55" s="784"/>
      <c r="Q55" s="800"/>
    </row>
    <row r="56" customHeight="1" spans="1:17">
      <c r="A56" s="751">
        <v>54</v>
      </c>
      <c r="B56" s="762" t="s">
        <v>2409</v>
      </c>
      <c r="C56" s="762"/>
      <c r="D56" s="763" t="s">
        <v>2838</v>
      </c>
      <c r="E56" s="764" t="s">
        <v>2796</v>
      </c>
      <c r="F56" s="764">
        <f>EDU*2+MAX(STR*2,DEX*2)</f>
        <v>0</v>
      </c>
      <c r="G56" s="765" t="s">
        <v>2980</v>
      </c>
      <c r="H56" s="766"/>
      <c r="I56" s="773"/>
      <c r="J56" s="773"/>
      <c r="K56" s="782" t="s">
        <v>2981</v>
      </c>
      <c r="L56" s="782"/>
      <c r="M56" s="782" t="s">
        <v>2982</v>
      </c>
      <c r="N56" s="783"/>
      <c r="O56" s="784"/>
      <c r="P56" s="784"/>
      <c r="Q56" s="800"/>
    </row>
    <row r="57" customHeight="1" spans="1:17">
      <c r="A57" s="751">
        <v>55</v>
      </c>
      <c r="B57" s="762" t="s">
        <v>2410</v>
      </c>
      <c r="C57" s="762"/>
      <c r="D57" s="763" t="s">
        <v>2850</v>
      </c>
      <c r="E57" s="764" t="s">
        <v>2801</v>
      </c>
      <c r="F57" s="764">
        <f>EDU*4</f>
        <v>0</v>
      </c>
      <c r="G57" s="765" t="s">
        <v>2983</v>
      </c>
      <c r="H57" s="773"/>
      <c r="I57" s="773"/>
      <c r="J57" s="773"/>
      <c r="K57" s="782" t="s">
        <v>2984</v>
      </c>
      <c r="L57" s="782"/>
      <c r="M57" s="782" t="s">
        <v>2985</v>
      </c>
      <c r="N57" s="783"/>
      <c r="O57" s="784"/>
      <c r="P57" s="784"/>
      <c r="Q57" s="800"/>
    </row>
    <row r="58" customHeight="1" spans="1:17">
      <c r="A58" s="751">
        <v>56</v>
      </c>
      <c r="B58" s="762" t="s">
        <v>2411</v>
      </c>
      <c r="C58" s="762"/>
      <c r="D58" s="763" t="s">
        <v>2838</v>
      </c>
      <c r="E58" s="764" t="s">
        <v>2796</v>
      </c>
      <c r="F58" s="764">
        <f>EDU*2+MAX(STR*2,DEX*2)</f>
        <v>0</v>
      </c>
      <c r="G58" s="765" t="s">
        <v>2986</v>
      </c>
      <c r="H58" s="773"/>
      <c r="I58" s="773"/>
      <c r="J58" s="773"/>
      <c r="K58" s="782" t="s">
        <v>2987</v>
      </c>
      <c r="L58" s="782"/>
      <c r="M58" s="782" t="s">
        <v>2988</v>
      </c>
      <c r="N58" s="783"/>
      <c r="O58" s="784"/>
      <c r="P58" s="784"/>
      <c r="Q58" s="800"/>
    </row>
    <row r="59" customHeight="1" spans="1:17">
      <c r="A59" s="751">
        <v>57</v>
      </c>
      <c r="B59" s="762" t="s">
        <v>2412</v>
      </c>
      <c r="C59" s="762"/>
      <c r="D59" s="763" t="s">
        <v>2805</v>
      </c>
      <c r="E59" s="764" t="s">
        <v>2801</v>
      </c>
      <c r="F59" s="764">
        <f>EDU*4</f>
        <v>0</v>
      </c>
      <c r="G59" s="765" t="s">
        <v>2989</v>
      </c>
      <c r="H59" s="773"/>
      <c r="I59" s="773"/>
      <c r="J59" s="773"/>
      <c r="K59" s="782" t="s">
        <v>2990</v>
      </c>
      <c r="L59" s="782"/>
      <c r="M59" s="798" t="s">
        <v>2991</v>
      </c>
      <c r="N59" s="783"/>
      <c r="O59" s="784"/>
      <c r="P59" s="784"/>
      <c r="Q59" s="800"/>
    </row>
    <row r="60" customHeight="1" spans="1:17">
      <c r="A60" s="751">
        <v>58</v>
      </c>
      <c r="B60" s="762" t="s">
        <v>2413</v>
      </c>
      <c r="C60" s="762"/>
      <c r="D60" s="763" t="s">
        <v>2992</v>
      </c>
      <c r="E60" s="764" t="s">
        <v>2801</v>
      </c>
      <c r="F60" s="764">
        <f>EDU*4</f>
        <v>0</v>
      </c>
      <c r="G60" s="765" t="s">
        <v>2993</v>
      </c>
      <c r="H60" s="773"/>
      <c r="I60" s="773"/>
      <c r="J60" s="773"/>
      <c r="K60" s="782" t="s">
        <v>2994</v>
      </c>
      <c r="L60" s="782"/>
      <c r="M60" s="782" t="s">
        <v>2995</v>
      </c>
      <c r="N60" s="783"/>
      <c r="O60" s="784"/>
      <c r="P60" s="784"/>
      <c r="Q60" s="800"/>
    </row>
    <row r="61" customHeight="1" spans="1:17">
      <c r="A61" s="751">
        <v>59</v>
      </c>
      <c r="B61" s="762" t="s">
        <v>2414</v>
      </c>
      <c r="C61" s="762"/>
      <c r="D61" s="763" t="s">
        <v>2996</v>
      </c>
      <c r="E61" s="764" t="s">
        <v>2997</v>
      </c>
      <c r="F61" s="764">
        <f>EDU*2+MAX(DEX*2,APP*2)</f>
        <v>0</v>
      </c>
      <c r="G61" s="765" t="s">
        <v>2998</v>
      </c>
      <c r="H61" s="773"/>
      <c r="I61" s="773"/>
      <c r="J61" s="773"/>
      <c r="K61" s="782" t="s">
        <v>2999</v>
      </c>
      <c r="L61" s="782"/>
      <c r="M61" s="782" t="s">
        <v>3000</v>
      </c>
      <c r="N61" s="783"/>
      <c r="O61" s="784"/>
      <c r="P61" s="784"/>
      <c r="Q61" s="800"/>
    </row>
    <row r="62" customHeight="1" spans="1:17">
      <c r="A62" s="751">
        <v>60</v>
      </c>
      <c r="B62" s="762" t="s">
        <v>2415</v>
      </c>
      <c r="C62" s="762"/>
      <c r="D62" s="763" t="s">
        <v>3001</v>
      </c>
      <c r="E62" s="764" t="s">
        <v>2787</v>
      </c>
      <c r="F62" s="764">
        <f>EDU*2+APP*2</f>
        <v>0</v>
      </c>
      <c r="G62" s="765" t="s">
        <v>3002</v>
      </c>
      <c r="H62" s="773"/>
      <c r="I62" s="773"/>
      <c r="J62" s="773"/>
      <c r="K62" s="782" t="s">
        <v>3003</v>
      </c>
      <c r="L62" s="782"/>
      <c r="M62" s="782" t="s">
        <v>3004</v>
      </c>
      <c r="N62" s="783"/>
      <c r="O62" s="784"/>
      <c r="P62" s="784"/>
      <c r="Q62" s="800"/>
    </row>
    <row r="63" customHeight="1" spans="1:17">
      <c r="A63" s="751">
        <v>61</v>
      </c>
      <c r="B63" s="762" t="s">
        <v>2416</v>
      </c>
      <c r="C63" s="762"/>
      <c r="D63" s="763" t="s">
        <v>2781</v>
      </c>
      <c r="E63" s="764" t="s">
        <v>2796</v>
      </c>
      <c r="F63" s="764">
        <f>EDU*2+MAX(STR*2,DEX*2)</f>
        <v>0</v>
      </c>
      <c r="G63" s="765" t="s">
        <v>3005</v>
      </c>
      <c r="H63" s="773"/>
      <c r="I63" s="773"/>
      <c r="J63" s="773"/>
      <c r="K63" s="782" t="s">
        <v>3006</v>
      </c>
      <c r="L63" s="782"/>
      <c r="M63" s="782" t="s">
        <v>3004</v>
      </c>
      <c r="N63" s="783"/>
      <c r="O63" s="784"/>
      <c r="P63" s="784"/>
      <c r="Q63" s="800"/>
    </row>
    <row r="64" customHeight="1" spans="1:17">
      <c r="A64" s="751">
        <v>62</v>
      </c>
      <c r="B64" s="762" t="s">
        <v>2417</v>
      </c>
      <c r="C64" s="762"/>
      <c r="D64" s="763" t="s">
        <v>3007</v>
      </c>
      <c r="E64" s="764" t="s">
        <v>2901</v>
      </c>
      <c r="F64" s="764">
        <f>EDU*2+APP*2</f>
        <v>0</v>
      </c>
      <c r="G64" s="765" t="s">
        <v>3008</v>
      </c>
      <c r="H64" s="773"/>
      <c r="I64" s="773"/>
      <c r="J64" s="773"/>
      <c r="K64" s="782" t="s">
        <v>3009</v>
      </c>
      <c r="L64" s="782"/>
      <c r="M64" s="782" t="s">
        <v>3010</v>
      </c>
      <c r="N64" s="783"/>
      <c r="O64" s="784"/>
      <c r="P64" s="784"/>
      <c r="Q64" s="800"/>
    </row>
    <row r="65" customHeight="1" spans="1:17">
      <c r="A65" s="751">
        <v>63</v>
      </c>
      <c r="B65" s="762" t="s">
        <v>2418</v>
      </c>
      <c r="C65" s="762"/>
      <c r="D65" s="763" t="s">
        <v>2948</v>
      </c>
      <c r="E65" s="764" t="s">
        <v>3011</v>
      </c>
      <c r="F65" s="764">
        <f>EDU*2+MAX(DEX*2,APP*2)</f>
        <v>0</v>
      </c>
      <c r="G65" s="765" t="s">
        <v>3012</v>
      </c>
      <c r="H65" s="773"/>
      <c r="I65" s="773"/>
      <c r="J65" s="773"/>
      <c r="K65" s="782" t="s">
        <v>3013</v>
      </c>
      <c r="L65" s="782"/>
      <c r="M65" s="782" t="s">
        <v>3014</v>
      </c>
      <c r="N65" s="783"/>
      <c r="O65" s="784"/>
      <c r="P65" s="784"/>
      <c r="Q65" s="800"/>
    </row>
    <row r="66" customHeight="1" spans="1:17">
      <c r="A66" s="751">
        <v>64</v>
      </c>
      <c r="B66" s="762" t="s">
        <v>2419</v>
      </c>
      <c r="C66" s="762"/>
      <c r="D66" s="763" t="s">
        <v>3015</v>
      </c>
      <c r="E66" s="764" t="s">
        <v>3016</v>
      </c>
      <c r="F66" s="764">
        <f>EDU*2+STR*2</f>
        <v>0</v>
      </c>
      <c r="G66" s="765" t="s">
        <v>3017</v>
      </c>
      <c r="H66" s="773"/>
      <c r="I66" s="773"/>
      <c r="J66" s="773"/>
      <c r="K66" s="782" t="s">
        <v>3018</v>
      </c>
      <c r="L66" s="782"/>
      <c r="M66" s="782" t="s">
        <v>3019</v>
      </c>
      <c r="N66" s="783"/>
      <c r="O66" s="784"/>
      <c r="P66" s="784"/>
      <c r="Q66" s="800"/>
    </row>
    <row r="67" customHeight="1" spans="1:17">
      <c r="A67" s="751">
        <v>65</v>
      </c>
      <c r="B67" s="762" t="s">
        <v>2420</v>
      </c>
      <c r="C67" s="762"/>
      <c r="D67" s="763" t="s">
        <v>2838</v>
      </c>
      <c r="E67" s="764" t="s">
        <v>2801</v>
      </c>
      <c r="F67" s="764">
        <f>EDU*4</f>
        <v>0</v>
      </c>
      <c r="G67" s="765" t="s">
        <v>3020</v>
      </c>
      <c r="H67" s="773"/>
      <c r="I67" s="773"/>
      <c r="J67" s="773"/>
      <c r="K67" s="782" t="s">
        <v>3021</v>
      </c>
      <c r="L67" s="782"/>
      <c r="M67" s="782" t="s">
        <v>3022</v>
      </c>
      <c r="N67" s="783"/>
      <c r="O67" s="784"/>
      <c r="P67" s="784"/>
      <c r="Q67" s="800"/>
    </row>
    <row r="68" customHeight="1" spans="1:17">
      <c r="A68" s="751">
        <v>66</v>
      </c>
      <c r="B68" s="762" t="s">
        <v>2421</v>
      </c>
      <c r="C68" s="762"/>
      <c r="D68" s="763" t="s">
        <v>2838</v>
      </c>
      <c r="E68" s="764" t="s">
        <v>2801</v>
      </c>
      <c r="F68" s="764">
        <f>EDU*4</f>
        <v>0</v>
      </c>
      <c r="G68" s="765" t="s">
        <v>3023</v>
      </c>
      <c r="H68" s="773"/>
      <c r="I68" s="773"/>
      <c r="J68" s="773"/>
      <c r="K68" s="782" t="s">
        <v>3024</v>
      </c>
      <c r="L68" s="782"/>
      <c r="M68" s="782" t="s">
        <v>3025</v>
      </c>
      <c r="N68" s="783"/>
      <c r="O68" s="784"/>
      <c r="P68" s="784"/>
      <c r="Q68" s="784"/>
    </row>
    <row r="69" customHeight="1" spans="1:17">
      <c r="A69" s="751">
        <v>67</v>
      </c>
      <c r="B69" s="762" t="s">
        <v>2422</v>
      </c>
      <c r="C69" s="762"/>
      <c r="D69" s="763" t="s">
        <v>3026</v>
      </c>
      <c r="E69" s="764" t="s">
        <v>2801</v>
      </c>
      <c r="F69" s="764">
        <f>EDU*4</f>
        <v>0</v>
      </c>
      <c r="G69" s="765" t="s">
        <v>3027</v>
      </c>
      <c r="H69" s="773"/>
      <c r="I69" s="773"/>
      <c r="J69" s="773"/>
      <c r="K69" s="782" t="s">
        <v>3028</v>
      </c>
      <c r="L69" s="782"/>
      <c r="M69" s="782" t="s">
        <v>3029</v>
      </c>
      <c r="N69" s="783"/>
      <c r="O69" s="784"/>
      <c r="P69" s="784"/>
      <c r="Q69" s="784"/>
    </row>
    <row r="70" customHeight="1" spans="1:17">
      <c r="A70" s="751">
        <v>68</v>
      </c>
      <c r="B70" s="762" t="s">
        <v>2423</v>
      </c>
      <c r="C70" s="762"/>
      <c r="D70" s="763" t="s">
        <v>2962</v>
      </c>
      <c r="E70" s="764" t="s">
        <v>2801</v>
      </c>
      <c r="F70" s="764">
        <f>EDU*4</f>
        <v>0</v>
      </c>
      <c r="G70" s="765" t="s">
        <v>3030</v>
      </c>
      <c r="H70" s="773"/>
      <c r="I70" s="773"/>
      <c r="J70" s="773"/>
      <c r="K70" s="782" t="s">
        <v>3031</v>
      </c>
      <c r="L70" s="782"/>
      <c r="M70" s="782" t="s">
        <v>3032</v>
      </c>
      <c r="N70" s="783"/>
      <c r="O70" s="784"/>
      <c r="P70" s="784"/>
      <c r="Q70" s="784"/>
    </row>
    <row r="71" customHeight="1" spans="1:17">
      <c r="A71" s="751">
        <v>69</v>
      </c>
      <c r="B71" s="762" t="s">
        <v>3033</v>
      </c>
      <c r="C71" s="762"/>
      <c r="D71" s="763" t="s">
        <v>2838</v>
      </c>
      <c r="E71" s="764" t="s">
        <v>2796</v>
      </c>
      <c r="F71" s="764">
        <f>EDU*2+MAX(STR*2,DEX*2)</f>
        <v>0</v>
      </c>
      <c r="G71" s="765" t="s">
        <v>3034</v>
      </c>
      <c r="H71" s="773"/>
      <c r="I71" s="773"/>
      <c r="J71" s="773"/>
      <c r="K71" s="782" t="s">
        <v>3035</v>
      </c>
      <c r="L71" s="782"/>
      <c r="M71" s="782" t="s">
        <v>3036</v>
      </c>
      <c r="N71" s="783"/>
      <c r="O71" s="784"/>
      <c r="P71" s="784"/>
      <c r="Q71" s="784"/>
    </row>
    <row r="72" customHeight="1" spans="1:17">
      <c r="A72" s="751">
        <v>70</v>
      </c>
      <c r="B72" s="762" t="s">
        <v>2425</v>
      </c>
      <c r="C72" s="762"/>
      <c r="D72" s="763" t="s">
        <v>2838</v>
      </c>
      <c r="E72" s="764" t="s">
        <v>2796</v>
      </c>
      <c r="F72" s="764">
        <f>EDU*2+MAX(STR*2,DEX*2)</f>
        <v>0</v>
      </c>
      <c r="G72" s="765" t="s">
        <v>3037</v>
      </c>
      <c r="H72" s="773"/>
      <c r="I72" s="773"/>
      <c r="J72" s="773"/>
      <c r="K72" s="782" t="s">
        <v>3038</v>
      </c>
      <c r="L72" s="782"/>
      <c r="M72" s="782" t="s">
        <v>3036</v>
      </c>
      <c r="N72" s="783"/>
      <c r="O72" s="784"/>
      <c r="P72" s="784"/>
      <c r="Q72" s="784"/>
    </row>
    <row r="73" customHeight="1" spans="1:17">
      <c r="A73" s="751">
        <v>71</v>
      </c>
      <c r="B73" s="762" t="s">
        <v>2426</v>
      </c>
      <c r="C73" s="762"/>
      <c r="D73" s="763" t="s">
        <v>2838</v>
      </c>
      <c r="E73" s="764" t="s">
        <v>2796</v>
      </c>
      <c r="F73" s="764">
        <f>EDU*2+MAX(STR*2,DEX*2)</f>
        <v>0</v>
      </c>
      <c r="G73" s="765" t="s">
        <v>3039</v>
      </c>
      <c r="H73" s="773"/>
      <c r="I73" s="773"/>
      <c r="J73" s="773"/>
      <c r="K73" s="782" t="s">
        <v>3040</v>
      </c>
      <c r="L73" s="782"/>
      <c r="M73" s="782" t="s">
        <v>3036</v>
      </c>
      <c r="N73" s="783"/>
      <c r="O73" s="784"/>
      <c r="P73" s="784"/>
      <c r="Q73" s="784"/>
    </row>
    <row r="74" customHeight="1" spans="1:17">
      <c r="A74" s="751">
        <v>72</v>
      </c>
      <c r="B74" s="762" t="s">
        <v>2427</v>
      </c>
      <c r="C74" s="762"/>
      <c r="D74" s="763" t="s">
        <v>2944</v>
      </c>
      <c r="E74" s="764" t="s">
        <v>2801</v>
      </c>
      <c r="F74" s="764">
        <f>EDU*4</f>
        <v>0</v>
      </c>
      <c r="G74" s="765" t="s">
        <v>3041</v>
      </c>
      <c r="H74" s="773"/>
      <c r="I74" s="773"/>
      <c r="J74" s="773"/>
      <c r="K74" s="782" t="s">
        <v>3042</v>
      </c>
      <c r="L74" s="782"/>
      <c r="M74" s="782" t="s">
        <v>3043</v>
      </c>
      <c r="N74" s="783"/>
      <c r="O74" s="784"/>
      <c r="P74" s="784"/>
      <c r="Q74" s="784"/>
    </row>
    <row r="75" customHeight="1" spans="1:17">
      <c r="A75" s="751">
        <v>73</v>
      </c>
      <c r="B75" s="762" t="s">
        <v>2428</v>
      </c>
      <c r="C75" s="762"/>
      <c r="D75" s="763" t="s">
        <v>3044</v>
      </c>
      <c r="E75" s="764" t="s">
        <v>2801</v>
      </c>
      <c r="F75" s="764">
        <f>EDU*4</f>
        <v>0</v>
      </c>
      <c r="G75" s="765" t="s">
        <v>3045</v>
      </c>
      <c r="H75" s="773"/>
      <c r="I75" s="773"/>
      <c r="J75" s="773"/>
      <c r="K75" s="782" t="s">
        <v>3046</v>
      </c>
      <c r="L75" s="782"/>
      <c r="M75" s="782" t="s">
        <v>3047</v>
      </c>
      <c r="N75" s="783"/>
      <c r="O75" s="784"/>
      <c r="P75" s="784"/>
      <c r="Q75" s="784"/>
    </row>
    <row r="76" customHeight="1" spans="1:17">
      <c r="A76" s="751">
        <v>74</v>
      </c>
      <c r="B76" s="762" t="s">
        <v>2429</v>
      </c>
      <c r="C76" s="762"/>
      <c r="D76" s="763" t="s">
        <v>2786</v>
      </c>
      <c r="E76" s="764" t="s">
        <v>2801</v>
      </c>
      <c r="F76" s="764">
        <f>EDU*4</f>
        <v>0</v>
      </c>
      <c r="G76" s="765" t="s">
        <v>3048</v>
      </c>
      <c r="H76" s="773"/>
      <c r="I76" s="773"/>
      <c r="J76" s="773"/>
      <c r="K76" s="782" t="s">
        <v>3049</v>
      </c>
      <c r="L76" s="782"/>
      <c r="M76" s="782" t="s">
        <v>3050</v>
      </c>
      <c r="N76" s="783"/>
      <c r="O76" s="784"/>
      <c r="P76" s="784"/>
      <c r="Q76" s="784"/>
    </row>
    <row r="77" customHeight="1" spans="1:17">
      <c r="A77" s="751">
        <v>75</v>
      </c>
      <c r="B77" s="762" t="s">
        <v>2430</v>
      </c>
      <c r="C77" s="762"/>
      <c r="D77" s="763" t="s">
        <v>3051</v>
      </c>
      <c r="E77" s="764" t="s">
        <v>2796</v>
      </c>
      <c r="F77" s="764">
        <f>EDU*2+MAX(STR*2,DEX*2)</f>
        <v>0</v>
      </c>
      <c r="G77" s="765" t="s">
        <v>3052</v>
      </c>
      <c r="H77" s="773"/>
      <c r="I77" s="773"/>
      <c r="J77" s="773"/>
      <c r="K77" s="782" t="s">
        <v>3053</v>
      </c>
      <c r="L77" s="782"/>
      <c r="M77" s="782" t="s">
        <v>3054</v>
      </c>
      <c r="N77" s="783"/>
      <c r="O77" s="784"/>
      <c r="P77" s="784"/>
      <c r="Q77" s="784"/>
    </row>
    <row r="78" customHeight="1" spans="1:17">
      <c r="A78" s="751">
        <v>76</v>
      </c>
      <c r="B78" s="762" t="s">
        <v>2431</v>
      </c>
      <c r="C78" s="762"/>
      <c r="D78" s="763" t="s">
        <v>3055</v>
      </c>
      <c r="E78" s="764" t="s">
        <v>2787</v>
      </c>
      <c r="F78" s="764">
        <f>EDU*2+APP*2</f>
        <v>0</v>
      </c>
      <c r="G78" s="765" t="s">
        <v>3056</v>
      </c>
      <c r="H78" s="773"/>
      <c r="I78" s="773"/>
      <c r="J78" s="773"/>
      <c r="K78" s="782" t="s">
        <v>3057</v>
      </c>
      <c r="L78" s="782"/>
      <c r="M78" s="782" t="s">
        <v>3058</v>
      </c>
      <c r="N78" s="783"/>
      <c r="O78" s="784"/>
      <c r="P78" s="784"/>
      <c r="Q78" s="784"/>
    </row>
    <row r="79" customHeight="1" spans="1:17">
      <c r="A79" s="751">
        <v>77</v>
      </c>
      <c r="B79" s="762" t="s">
        <v>2432</v>
      </c>
      <c r="C79" s="762"/>
      <c r="D79" s="763" t="s">
        <v>2882</v>
      </c>
      <c r="E79" s="764" t="s">
        <v>2796</v>
      </c>
      <c r="F79" s="764">
        <f>EDU*2+MAX(STR*2,DEX*2)</f>
        <v>0</v>
      </c>
      <c r="G79" s="765" t="s">
        <v>3059</v>
      </c>
      <c r="H79" s="773"/>
      <c r="I79" s="773"/>
      <c r="J79" s="773"/>
      <c r="K79" s="782" t="s">
        <v>3060</v>
      </c>
      <c r="L79" s="782"/>
      <c r="M79" s="782" t="s">
        <v>3061</v>
      </c>
      <c r="N79" s="783"/>
      <c r="O79" s="784"/>
      <c r="P79" s="784"/>
      <c r="Q79" s="784"/>
    </row>
    <row r="80" customHeight="1" spans="1:17">
      <c r="A80" s="751">
        <v>78</v>
      </c>
      <c r="B80" s="762" t="s">
        <v>2433</v>
      </c>
      <c r="C80" s="762"/>
      <c r="D80" s="763" t="s">
        <v>2962</v>
      </c>
      <c r="E80" s="764" t="s">
        <v>2801</v>
      </c>
      <c r="F80" s="764">
        <f>EDU*4</f>
        <v>0</v>
      </c>
      <c r="G80" s="765" t="s">
        <v>3062</v>
      </c>
      <c r="H80" s="773"/>
      <c r="I80" s="773"/>
      <c r="J80" s="773"/>
      <c r="K80" s="782" t="s">
        <v>3063</v>
      </c>
      <c r="L80" s="782"/>
      <c r="M80" s="782" t="s">
        <v>3064</v>
      </c>
      <c r="N80" s="824"/>
      <c r="O80" s="784"/>
      <c r="P80" s="784"/>
      <c r="Q80" s="784"/>
    </row>
    <row r="81" customHeight="1" spans="1:17">
      <c r="A81" s="751">
        <v>79</v>
      </c>
      <c r="B81" s="762" t="s">
        <v>2434</v>
      </c>
      <c r="C81" s="762"/>
      <c r="D81" s="763" t="s">
        <v>2838</v>
      </c>
      <c r="E81" s="764" t="s">
        <v>3065</v>
      </c>
      <c r="F81" s="764">
        <f>EDU*2+MAX(POW*2,DEX*2)</f>
        <v>0</v>
      </c>
      <c r="G81" s="765" t="s">
        <v>3066</v>
      </c>
      <c r="H81" s="773"/>
      <c r="I81" s="773"/>
      <c r="J81" s="773"/>
      <c r="K81" s="782" t="s">
        <v>3067</v>
      </c>
      <c r="L81" s="782"/>
      <c r="M81" s="782" t="s">
        <v>3068</v>
      </c>
      <c r="N81" s="824"/>
      <c r="O81" s="784"/>
      <c r="P81" s="784"/>
      <c r="Q81" s="784"/>
    </row>
    <row r="82" customHeight="1" spans="1:17">
      <c r="A82" s="751">
        <v>80</v>
      </c>
      <c r="B82" s="762" t="s">
        <v>2435</v>
      </c>
      <c r="C82" s="762"/>
      <c r="D82" s="763" t="s">
        <v>2838</v>
      </c>
      <c r="E82" s="764" t="s">
        <v>2801</v>
      </c>
      <c r="F82" s="764">
        <f>EDU*4</f>
        <v>0</v>
      </c>
      <c r="G82" s="765" t="s">
        <v>3069</v>
      </c>
      <c r="H82" s="773"/>
      <c r="I82" s="773"/>
      <c r="J82" s="773"/>
      <c r="K82" s="782" t="s">
        <v>3070</v>
      </c>
      <c r="L82" s="782"/>
      <c r="M82" s="782" t="s">
        <v>3071</v>
      </c>
      <c r="N82" s="824"/>
      <c r="O82" s="784"/>
      <c r="P82" s="784"/>
      <c r="Q82" s="784"/>
    </row>
    <row r="83" customHeight="1" spans="1:17">
      <c r="A83" s="751">
        <v>81</v>
      </c>
      <c r="B83" s="762" t="s">
        <v>2436</v>
      </c>
      <c r="C83" s="762"/>
      <c r="D83" s="763" t="s">
        <v>3072</v>
      </c>
      <c r="E83" s="764" t="s">
        <v>2801</v>
      </c>
      <c r="F83" s="764">
        <f>EDU*4</f>
        <v>0</v>
      </c>
      <c r="G83" s="765" t="s">
        <v>3073</v>
      </c>
      <c r="H83" s="773"/>
      <c r="I83" s="773"/>
      <c r="J83" s="773"/>
      <c r="K83" s="782" t="s">
        <v>3074</v>
      </c>
      <c r="L83" s="782"/>
      <c r="M83" s="798" t="s">
        <v>3075</v>
      </c>
      <c r="N83" s="824"/>
      <c r="O83" s="784"/>
      <c r="P83" s="784"/>
      <c r="Q83" s="784"/>
    </row>
    <row r="84" customHeight="1" spans="1:17">
      <c r="A84" s="751">
        <v>82</v>
      </c>
      <c r="B84" s="762" t="s">
        <v>2437</v>
      </c>
      <c r="C84" s="762"/>
      <c r="D84" s="763" t="s">
        <v>3076</v>
      </c>
      <c r="E84" s="764" t="s">
        <v>2796</v>
      </c>
      <c r="F84" s="764">
        <f>EDU*2+MAX(STR*2,DEX*2)</f>
        <v>0</v>
      </c>
      <c r="G84" s="765" t="s">
        <v>3077</v>
      </c>
      <c r="H84" s="766"/>
      <c r="I84" s="773"/>
      <c r="J84" s="773"/>
      <c r="K84" s="782" t="s">
        <v>3078</v>
      </c>
      <c r="L84" s="782"/>
      <c r="M84" s="782" t="s">
        <v>3079</v>
      </c>
      <c r="N84" s="824"/>
      <c r="O84" s="784"/>
      <c r="P84" s="784"/>
      <c r="Q84" s="784"/>
    </row>
    <row r="85" customHeight="1" spans="1:17">
      <c r="A85" s="751">
        <v>83</v>
      </c>
      <c r="B85" s="762" t="s">
        <v>2438</v>
      </c>
      <c r="C85" s="762"/>
      <c r="D85" s="763" t="s">
        <v>2838</v>
      </c>
      <c r="E85" s="764" t="s">
        <v>2801</v>
      </c>
      <c r="F85" s="764">
        <f>EDU*4</f>
        <v>0</v>
      </c>
      <c r="G85" s="765" t="s">
        <v>3080</v>
      </c>
      <c r="H85" s="766"/>
      <c r="I85" s="773"/>
      <c r="J85" s="773"/>
      <c r="K85" s="782" t="s">
        <v>3081</v>
      </c>
      <c r="L85" s="782"/>
      <c r="M85" s="798" t="s">
        <v>3082</v>
      </c>
      <c r="N85" s="824"/>
      <c r="O85" s="784"/>
      <c r="P85" s="784"/>
      <c r="Q85" s="784"/>
    </row>
    <row r="86" customHeight="1" spans="1:17">
      <c r="A86" s="751">
        <v>84</v>
      </c>
      <c r="B86" s="762" t="s">
        <v>2439</v>
      </c>
      <c r="C86" s="762"/>
      <c r="D86" s="763" t="s">
        <v>3083</v>
      </c>
      <c r="E86" s="764" t="s">
        <v>2801</v>
      </c>
      <c r="F86" s="764">
        <f>EDU*4</f>
        <v>0</v>
      </c>
      <c r="G86" s="765" t="s">
        <v>3084</v>
      </c>
      <c r="H86" s="766"/>
      <c r="I86" s="773"/>
      <c r="J86" s="773"/>
      <c r="K86" s="782" t="s">
        <v>3085</v>
      </c>
      <c r="L86" s="782"/>
      <c r="M86" s="782" t="s">
        <v>3086</v>
      </c>
      <c r="N86" s="824"/>
      <c r="O86" s="784"/>
      <c r="P86" s="784"/>
      <c r="Q86" s="784"/>
    </row>
    <row r="87" customHeight="1" spans="1:17">
      <c r="A87" s="751">
        <v>85</v>
      </c>
      <c r="B87" s="762" t="s">
        <v>2440</v>
      </c>
      <c r="C87" s="762"/>
      <c r="D87" s="763" t="s">
        <v>2838</v>
      </c>
      <c r="E87" s="764" t="s">
        <v>2801</v>
      </c>
      <c r="F87" s="764">
        <f>EDU*4</f>
        <v>0</v>
      </c>
      <c r="G87" s="765" t="s">
        <v>3087</v>
      </c>
      <c r="H87" s="766"/>
      <c r="I87" s="773"/>
      <c r="J87" s="773"/>
      <c r="K87" s="782" t="s">
        <v>3088</v>
      </c>
      <c r="L87" s="782"/>
      <c r="M87" s="782" t="s">
        <v>3089</v>
      </c>
      <c r="N87" s="824"/>
      <c r="O87" s="784"/>
      <c r="P87" s="784"/>
      <c r="Q87" s="784"/>
    </row>
    <row r="88" customHeight="1" spans="1:17">
      <c r="A88" s="751">
        <v>86</v>
      </c>
      <c r="B88" s="762" t="s">
        <v>2441</v>
      </c>
      <c r="C88" s="762"/>
      <c r="D88" s="763" t="s">
        <v>2962</v>
      </c>
      <c r="E88" s="764" t="s">
        <v>2801</v>
      </c>
      <c r="F88" s="764">
        <f>EDU*4</f>
        <v>0</v>
      </c>
      <c r="G88" s="765" t="s">
        <v>3090</v>
      </c>
      <c r="H88" s="766"/>
      <c r="I88" s="773"/>
      <c r="J88" s="773"/>
      <c r="K88" s="782" t="s">
        <v>3091</v>
      </c>
      <c r="L88" s="782"/>
      <c r="M88" s="782" t="s">
        <v>3089</v>
      </c>
      <c r="N88" s="824"/>
      <c r="O88" s="784"/>
      <c r="P88" s="784"/>
      <c r="Q88" s="784"/>
    </row>
    <row r="89" customHeight="1" spans="1:17">
      <c r="A89" s="751">
        <v>87</v>
      </c>
      <c r="B89" s="762" t="s">
        <v>2442</v>
      </c>
      <c r="C89" s="762"/>
      <c r="D89" s="763" t="s">
        <v>3051</v>
      </c>
      <c r="E89" s="764" t="s">
        <v>2878</v>
      </c>
      <c r="F89" s="764">
        <f>EDU*2+DEX*2</f>
        <v>0</v>
      </c>
      <c r="G89" s="765" t="s">
        <v>3092</v>
      </c>
      <c r="H89" s="766"/>
      <c r="I89" s="773"/>
      <c r="J89" s="773"/>
      <c r="K89" s="782" t="s">
        <v>3093</v>
      </c>
      <c r="L89" s="782"/>
      <c r="M89" s="782" t="s">
        <v>3094</v>
      </c>
      <c r="N89" s="824"/>
      <c r="O89" s="784"/>
      <c r="P89" s="784"/>
      <c r="Q89" s="784"/>
    </row>
    <row r="90" customHeight="1" spans="1:17">
      <c r="A90" s="751">
        <v>88</v>
      </c>
      <c r="B90" s="762" t="s">
        <v>2443</v>
      </c>
      <c r="C90" s="762"/>
      <c r="D90" s="763" t="s">
        <v>2882</v>
      </c>
      <c r="E90" s="764" t="s">
        <v>2801</v>
      </c>
      <c r="F90" s="764">
        <f>EDU*4</f>
        <v>0</v>
      </c>
      <c r="G90" s="765" t="s">
        <v>3095</v>
      </c>
      <c r="H90" s="766"/>
      <c r="I90" s="773"/>
      <c r="J90" s="773"/>
      <c r="K90" s="782" t="s">
        <v>3096</v>
      </c>
      <c r="L90" s="782"/>
      <c r="M90" s="782" t="s">
        <v>3097</v>
      </c>
      <c r="N90" s="824"/>
      <c r="O90" s="784"/>
      <c r="P90" s="784"/>
      <c r="Q90" s="784"/>
    </row>
    <row r="91" customHeight="1" spans="1:17">
      <c r="A91" s="751">
        <v>89</v>
      </c>
      <c r="B91" s="762" t="s">
        <v>2444</v>
      </c>
      <c r="C91" s="762"/>
      <c r="D91" s="763" t="s">
        <v>2846</v>
      </c>
      <c r="E91" s="764" t="s">
        <v>2796</v>
      </c>
      <c r="F91" s="764">
        <f>EDU*2+MAX(STR*2,DEX*2)</f>
        <v>0</v>
      </c>
      <c r="G91" s="765" t="s">
        <v>3098</v>
      </c>
      <c r="H91" s="766"/>
      <c r="I91" s="773"/>
      <c r="J91" s="773"/>
      <c r="K91" s="782" t="s">
        <v>3099</v>
      </c>
      <c r="L91" s="782"/>
      <c r="M91" s="782" t="s">
        <v>3100</v>
      </c>
      <c r="N91" s="824"/>
      <c r="O91" s="784"/>
      <c r="P91" s="784"/>
      <c r="Q91" s="784"/>
    </row>
    <row r="92" customHeight="1" spans="1:17">
      <c r="A92" s="751">
        <v>90</v>
      </c>
      <c r="B92" s="762" t="s">
        <v>2445</v>
      </c>
      <c r="C92" s="762"/>
      <c r="D92" s="763" t="s">
        <v>2838</v>
      </c>
      <c r="E92" s="764" t="s">
        <v>2796</v>
      </c>
      <c r="F92" s="764">
        <f>EDU*2+MAX(STR*2,DEX*2)</f>
        <v>0</v>
      </c>
      <c r="G92" s="765" t="s">
        <v>3101</v>
      </c>
      <c r="H92" s="766"/>
      <c r="I92" s="773"/>
      <c r="J92" s="773"/>
      <c r="K92" s="782" t="s">
        <v>3102</v>
      </c>
      <c r="L92" s="782"/>
      <c r="M92" s="782" t="s">
        <v>3103</v>
      </c>
      <c r="N92" s="824"/>
      <c r="O92" s="784"/>
      <c r="P92" s="784"/>
      <c r="Q92" s="784"/>
    </row>
    <row r="93" customHeight="1" spans="1:17">
      <c r="A93" s="751">
        <v>91</v>
      </c>
      <c r="B93" s="762" t="s">
        <v>2446</v>
      </c>
      <c r="C93" s="762"/>
      <c r="D93" s="763" t="s">
        <v>2838</v>
      </c>
      <c r="E93" s="764" t="s">
        <v>2796</v>
      </c>
      <c r="F93" s="764">
        <f>EDU*2+MAX(STR*2,DEX*2)</f>
        <v>0</v>
      </c>
      <c r="G93" s="765" t="s">
        <v>3104</v>
      </c>
      <c r="H93" s="766"/>
      <c r="I93" s="773"/>
      <c r="J93" s="773"/>
      <c r="K93" s="782" t="s">
        <v>3105</v>
      </c>
      <c r="L93" s="782"/>
      <c r="M93" s="782" t="s">
        <v>3106</v>
      </c>
      <c r="N93" s="824"/>
      <c r="O93" s="784"/>
      <c r="P93" s="784"/>
      <c r="Q93" s="784"/>
    </row>
    <row r="94" customHeight="1" spans="1:17">
      <c r="A94" s="751">
        <v>92</v>
      </c>
      <c r="B94" s="762" t="s">
        <v>2447</v>
      </c>
      <c r="C94" s="762"/>
      <c r="D94" s="763" t="s">
        <v>3051</v>
      </c>
      <c r="E94" s="764" t="s">
        <v>2801</v>
      </c>
      <c r="F94" s="764">
        <f>EDU*4</f>
        <v>0</v>
      </c>
      <c r="G94" s="765" t="s">
        <v>3107</v>
      </c>
      <c r="H94" s="766"/>
      <c r="I94" s="773"/>
      <c r="J94" s="773"/>
      <c r="K94" s="782" t="s">
        <v>3108</v>
      </c>
      <c r="L94" s="782"/>
      <c r="M94" s="782" t="s">
        <v>3109</v>
      </c>
      <c r="N94" s="824"/>
      <c r="O94" s="784"/>
      <c r="P94" s="784"/>
      <c r="Q94" s="784"/>
    </row>
    <row r="95" customHeight="1" spans="1:17">
      <c r="A95" s="751">
        <v>93</v>
      </c>
      <c r="B95" s="762" t="s">
        <v>2448</v>
      </c>
      <c r="C95" s="762"/>
      <c r="D95" s="763" t="s">
        <v>3110</v>
      </c>
      <c r="E95" s="764" t="s">
        <v>2796</v>
      </c>
      <c r="F95" s="764">
        <f>EDU*2+MAX(STR*2,DEX*2)</f>
        <v>0</v>
      </c>
      <c r="G95" s="765" t="s">
        <v>3111</v>
      </c>
      <c r="H95" s="766"/>
      <c r="I95" s="773"/>
      <c r="J95" s="773"/>
      <c r="K95" s="782" t="s">
        <v>3112</v>
      </c>
      <c r="L95" s="782"/>
      <c r="M95" s="782" t="s">
        <v>3113</v>
      </c>
      <c r="N95" s="824"/>
      <c r="O95" s="784"/>
      <c r="P95" s="784"/>
      <c r="Q95" s="784"/>
    </row>
    <row r="96" customHeight="1" spans="1:17">
      <c r="A96" s="751">
        <v>94</v>
      </c>
      <c r="B96" s="762" t="s">
        <v>2449</v>
      </c>
      <c r="C96" s="762"/>
      <c r="D96" s="763" t="s">
        <v>3114</v>
      </c>
      <c r="E96" s="764" t="s">
        <v>2787</v>
      </c>
      <c r="F96" s="764">
        <f>EDU*2+APP*2</f>
        <v>0</v>
      </c>
      <c r="G96" s="765" t="s">
        <v>3115</v>
      </c>
      <c r="H96" s="766"/>
      <c r="I96" s="773"/>
      <c r="J96" s="773"/>
      <c r="K96" s="782" t="s">
        <v>3116</v>
      </c>
      <c r="L96" s="782"/>
      <c r="M96" s="782" t="s">
        <v>3117</v>
      </c>
      <c r="N96" s="824"/>
      <c r="O96" s="784"/>
      <c r="P96" s="784"/>
      <c r="Q96" s="784"/>
    </row>
    <row r="97" customHeight="1" spans="1:17">
      <c r="A97" s="751">
        <v>95</v>
      </c>
      <c r="B97" s="762" t="s">
        <v>2450</v>
      </c>
      <c r="C97" s="762"/>
      <c r="D97" s="763" t="s">
        <v>2944</v>
      </c>
      <c r="E97" s="764" t="s">
        <v>2801</v>
      </c>
      <c r="F97" s="764">
        <f>EDU*4</f>
        <v>0</v>
      </c>
      <c r="G97" s="765" t="s">
        <v>3118</v>
      </c>
      <c r="H97" s="766"/>
      <c r="I97" s="773"/>
      <c r="J97" s="773"/>
      <c r="K97" s="782" t="s">
        <v>3119</v>
      </c>
      <c r="L97" s="782"/>
      <c r="M97" s="782" t="s">
        <v>3120</v>
      </c>
      <c r="N97" s="824"/>
      <c r="O97" s="784"/>
      <c r="P97" s="784"/>
      <c r="Q97" s="784"/>
    </row>
    <row r="98" customHeight="1" spans="1:17">
      <c r="A98" s="751">
        <v>96</v>
      </c>
      <c r="B98" s="762" t="s">
        <v>2451</v>
      </c>
      <c r="C98" s="762"/>
      <c r="D98" s="763" t="s">
        <v>2805</v>
      </c>
      <c r="E98" s="764" t="s">
        <v>2801</v>
      </c>
      <c r="F98" s="764">
        <f>EDU*4</f>
        <v>0</v>
      </c>
      <c r="G98" s="765" t="s">
        <v>3121</v>
      </c>
      <c r="H98" s="766"/>
      <c r="I98" s="773"/>
      <c r="J98" s="773"/>
      <c r="K98" s="782" t="s">
        <v>3122</v>
      </c>
      <c r="L98" s="782"/>
      <c r="M98" s="782" t="s">
        <v>3123</v>
      </c>
      <c r="N98" s="824"/>
      <c r="O98" s="784"/>
      <c r="P98" s="784"/>
      <c r="Q98" s="784"/>
    </row>
    <row r="99" customHeight="1" spans="1:17">
      <c r="A99" s="751">
        <v>97</v>
      </c>
      <c r="B99" s="762" t="s">
        <v>2452</v>
      </c>
      <c r="C99" s="762"/>
      <c r="D99" s="763" t="s">
        <v>2838</v>
      </c>
      <c r="E99" s="764" t="s">
        <v>2801</v>
      </c>
      <c r="F99" s="764">
        <f>EDU*4</f>
        <v>0</v>
      </c>
      <c r="G99" s="765" t="s">
        <v>3124</v>
      </c>
      <c r="H99" s="766"/>
      <c r="I99" s="773"/>
      <c r="J99" s="773"/>
      <c r="K99" s="782" t="s">
        <v>3125</v>
      </c>
      <c r="L99" s="782"/>
      <c r="M99" s="782" t="s">
        <v>3126</v>
      </c>
      <c r="N99" s="824"/>
      <c r="O99" s="784"/>
      <c r="P99" s="784"/>
      <c r="Q99" s="784"/>
    </row>
    <row r="100" customHeight="1" spans="1:17">
      <c r="A100" s="751">
        <v>98</v>
      </c>
      <c r="B100" s="762" t="s">
        <v>2453</v>
      </c>
      <c r="C100" s="762"/>
      <c r="D100" s="763" t="s">
        <v>2838</v>
      </c>
      <c r="E100" s="764" t="s">
        <v>3127</v>
      </c>
      <c r="F100" s="764">
        <f>EDU*2+MAX(STR*2,DEX*2)</f>
        <v>0</v>
      </c>
      <c r="G100" s="765" t="s">
        <v>3128</v>
      </c>
      <c r="H100" s="766"/>
      <c r="I100" s="773"/>
      <c r="J100" s="773"/>
      <c r="K100" s="782" t="s">
        <v>3129</v>
      </c>
      <c r="L100" s="782"/>
      <c r="M100" s="782" t="s">
        <v>3130</v>
      </c>
      <c r="N100" s="824"/>
      <c r="O100" s="784"/>
      <c r="P100" s="784"/>
      <c r="Q100" s="784"/>
    </row>
    <row r="101" customHeight="1" spans="1:17">
      <c r="A101" s="751">
        <v>99</v>
      </c>
      <c r="B101" s="762" t="s">
        <v>2454</v>
      </c>
      <c r="C101" s="762"/>
      <c r="D101" s="763" t="s">
        <v>2850</v>
      </c>
      <c r="E101" s="764" t="s">
        <v>3127</v>
      </c>
      <c r="F101" s="764">
        <f>EDU*2+MAX(STR*2,DEX*2)</f>
        <v>0</v>
      </c>
      <c r="G101" s="765" t="s">
        <v>3131</v>
      </c>
      <c r="H101" s="766"/>
      <c r="I101" s="773"/>
      <c r="J101" s="773"/>
      <c r="K101" s="782" t="s">
        <v>3132</v>
      </c>
      <c r="L101" s="782"/>
      <c r="M101" s="782" t="s">
        <v>3133</v>
      </c>
      <c r="N101" s="824"/>
      <c r="O101" s="784"/>
      <c r="P101" s="784"/>
      <c r="Q101" s="784"/>
    </row>
    <row r="102" customHeight="1" spans="1:17">
      <c r="A102" s="751">
        <v>100</v>
      </c>
      <c r="B102" s="762" t="s">
        <v>2455</v>
      </c>
      <c r="C102" s="762"/>
      <c r="D102" s="763" t="s">
        <v>2786</v>
      </c>
      <c r="E102" s="764" t="s">
        <v>2901</v>
      </c>
      <c r="F102" s="764">
        <f>EDU*2+APP*2</f>
        <v>0</v>
      </c>
      <c r="G102" s="765" t="s">
        <v>3134</v>
      </c>
      <c r="H102" s="766"/>
      <c r="I102" s="773"/>
      <c r="J102" s="773"/>
      <c r="K102" s="782" t="s">
        <v>3135</v>
      </c>
      <c r="L102" s="782"/>
      <c r="M102" s="782" t="s">
        <v>3136</v>
      </c>
      <c r="N102" s="824"/>
      <c r="O102" s="784"/>
      <c r="P102" s="784"/>
      <c r="Q102" s="784"/>
    </row>
    <row r="103" customHeight="1" spans="1:17">
      <c r="A103" s="751">
        <v>101</v>
      </c>
      <c r="B103" s="762" t="s">
        <v>2456</v>
      </c>
      <c r="C103" s="762"/>
      <c r="D103" s="763" t="s">
        <v>2825</v>
      </c>
      <c r="E103" s="764" t="s">
        <v>2801</v>
      </c>
      <c r="F103" s="764">
        <f>EDU*4</f>
        <v>0</v>
      </c>
      <c r="G103" s="765" t="s">
        <v>3137</v>
      </c>
      <c r="H103" s="766"/>
      <c r="I103" s="773"/>
      <c r="J103" s="773"/>
      <c r="K103" s="782" t="s">
        <v>3138</v>
      </c>
      <c r="L103" s="782"/>
      <c r="M103" s="782" t="s">
        <v>3139</v>
      </c>
      <c r="N103" s="824"/>
      <c r="O103" s="784"/>
      <c r="P103" s="784"/>
      <c r="Q103" s="784"/>
    </row>
    <row r="104" customHeight="1" spans="1:17">
      <c r="A104" s="751">
        <v>102</v>
      </c>
      <c r="B104" s="762" t="s">
        <v>2457</v>
      </c>
      <c r="C104" s="762"/>
      <c r="D104" s="763" t="s">
        <v>2838</v>
      </c>
      <c r="E104" s="764" t="s">
        <v>3140</v>
      </c>
      <c r="F104" s="764">
        <f>EDU*2+MAX(DEX*2,APP*2)</f>
        <v>0</v>
      </c>
      <c r="G104" s="765" t="s">
        <v>3141</v>
      </c>
      <c r="H104" s="766"/>
      <c r="I104" s="773"/>
      <c r="J104" s="773"/>
      <c r="K104" s="782" t="s">
        <v>3142</v>
      </c>
      <c r="L104" s="782"/>
      <c r="M104" s="782" t="s">
        <v>3143</v>
      </c>
      <c r="N104" s="824"/>
      <c r="O104" s="784"/>
      <c r="P104" s="784"/>
      <c r="Q104" s="784"/>
    </row>
    <row r="105" customHeight="1" spans="1:17">
      <c r="A105" s="751">
        <v>103</v>
      </c>
      <c r="B105" s="762" t="s">
        <v>2458</v>
      </c>
      <c r="C105" s="762"/>
      <c r="D105" s="763" t="s">
        <v>2850</v>
      </c>
      <c r="E105" s="764" t="s">
        <v>2997</v>
      </c>
      <c r="F105" s="764">
        <f>EDU*2+MAX(DEX*2,APP*2)</f>
        <v>0</v>
      </c>
      <c r="G105" s="765" t="s">
        <v>3144</v>
      </c>
      <c r="H105" s="766"/>
      <c r="I105" s="773"/>
      <c r="J105" s="773"/>
      <c r="K105" s="782" t="s">
        <v>3145</v>
      </c>
      <c r="L105" s="782"/>
      <c r="M105" s="782" t="s">
        <v>3146</v>
      </c>
      <c r="N105" s="824"/>
      <c r="O105" s="784"/>
      <c r="P105" s="784"/>
      <c r="Q105" s="784"/>
    </row>
    <row r="106" customHeight="1" spans="1:17">
      <c r="A106" s="751">
        <v>104</v>
      </c>
      <c r="B106" s="762" t="s">
        <v>2459</v>
      </c>
      <c r="C106" s="762"/>
      <c r="D106" s="763" t="s">
        <v>2838</v>
      </c>
      <c r="E106" s="764" t="s">
        <v>2796</v>
      </c>
      <c r="F106" s="764">
        <f>EDU*2+MAX(STR*2,DEX*2)</f>
        <v>0</v>
      </c>
      <c r="G106" s="765" t="s">
        <v>3147</v>
      </c>
      <c r="H106" s="766"/>
      <c r="I106" s="773"/>
      <c r="J106" s="773"/>
      <c r="K106" s="782" t="s">
        <v>3129</v>
      </c>
      <c r="L106" s="782"/>
      <c r="M106" s="782" t="s">
        <v>3148</v>
      </c>
      <c r="N106" s="824"/>
      <c r="O106" s="784"/>
      <c r="P106" s="784"/>
      <c r="Q106" s="784"/>
    </row>
    <row r="107" customHeight="1" spans="1:17">
      <c r="A107" s="751">
        <v>105</v>
      </c>
      <c r="B107" s="762" t="s">
        <v>2460</v>
      </c>
      <c r="C107" s="762"/>
      <c r="D107" s="763" t="s">
        <v>2916</v>
      </c>
      <c r="E107" s="764" t="s">
        <v>2920</v>
      </c>
      <c r="F107" s="764">
        <f>EDU*2+MAX(DEX*2,APP*2)</f>
        <v>0</v>
      </c>
      <c r="G107" s="765" t="s">
        <v>3149</v>
      </c>
      <c r="H107" s="766"/>
      <c r="I107" s="773"/>
      <c r="J107" s="773"/>
      <c r="K107" s="782" t="s">
        <v>3150</v>
      </c>
      <c r="L107" s="782"/>
      <c r="M107" s="782" t="s">
        <v>3151</v>
      </c>
      <c r="N107" s="824"/>
      <c r="O107" s="784"/>
      <c r="P107" s="784"/>
      <c r="Q107" s="784"/>
    </row>
    <row r="108" customHeight="1" spans="1:17">
      <c r="A108" s="751">
        <v>106</v>
      </c>
      <c r="B108" s="762" t="s">
        <v>2461</v>
      </c>
      <c r="C108" s="762"/>
      <c r="D108" s="763" t="s">
        <v>3152</v>
      </c>
      <c r="E108" s="764" t="s">
        <v>2801</v>
      </c>
      <c r="F108" s="764">
        <f>EDU*4</f>
        <v>0</v>
      </c>
      <c r="G108" s="765" t="s">
        <v>3153</v>
      </c>
      <c r="H108" s="766"/>
      <c r="I108" s="773"/>
      <c r="J108" s="773"/>
      <c r="K108" s="782" t="s">
        <v>3154</v>
      </c>
      <c r="L108" s="782"/>
      <c r="M108" s="782" t="s">
        <v>3155</v>
      </c>
      <c r="N108" s="824"/>
      <c r="O108" s="784"/>
      <c r="P108" s="784"/>
      <c r="Q108" s="784"/>
    </row>
    <row r="109" customHeight="1" spans="1:17">
      <c r="A109" s="751">
        <v>107</v>
      </c>
      <c r="B109" s="762" t="s">
        <v>2462</v>
      </c>
      <c r="C109" s="762"/>
      <c r="D109" s="763" t="s">
        <v>3156</v>
      </c>
      <c r="E109" s="764" t="s">
        <v>2796</v>
      </c>
      <c r="F109" s="764">
        <f>EDU*2+MAX(STR*2,DEX*2)</f>
        <v>0</v>
      </c>
      <c r="G109" s="765" t="s">
        <v>3157</v>
      </c>
      <c r="H109" s="766"/>
      <c r="I109" s="773"/>
      <c r="J109" s="773"/>
      <c r="K109" s="782" t="s">
        <v>3158</v>
      </c>
      <c r="L109" s="782"/>
      <c r="M109" s="782" t="s">
        <v>3159</v>
      </c>
      <c r="N109" s="824"/>
      <c r="O109" s="784"/>
      <c r="P109" s="784"/>
      <c r="Q109" s="784"/>
    </row>
    <row r="110" customHeight="1" spans="1:17">
      <c r="A110" s="751">
        <v>108</v>
      </c>
      <c r="B110" s="762" t="s">
        <v>2463</v>
      </c>
      <c r="C110" s="762"/>
      <c r="D110" s="763" t="s">
        <v>3160</v>
      </c>
      <c r="E110" s="764" t="s">
        <v>2796</v>
      </c>
      <c r="F110" s="764">
        <f>EDU*2+MAX(STR*2,DEX*2)</f>
        <v>0</v>
      </c>
      <c r="G110" s="765" t="s">
        <v>3161</v>
      </c>
      <c r="H110" s="766"/>
      <c r="I110" s="773"/>
      <c r="J110" s="773"/>
      <c r="K110" s="782" t="s">
        <v>3162</v>
      </c>
      <c r="L110" s="782"/>
      <c r="M110" s="782" t="s">
        <v>3163</v>
      </c>
      <c r="N110" s="824"/>
      <c r="O110" s="784"/>
      <c r="P110" s="784"/>
      <c r="Q110" s="784"/>
    </row>
    <row r="111" customHeight="1" spans="1:17">
      <c r="A111" s="751">
        <v>109</v>
      </c>
      <c r="B111" s="762" t="s">
        <v>2464</v>
      </c>
      <c r="C111" s="762"/>
      <c r="D111" s="763" t="s">
        <v>2850</v>
      </c>
      <c r="E111" s="764" t="s">
        <v>2801</v>
      </c>
      <c r="F111" s="764">
        <f>EDU*4</f>
        <v>0</v>
      </c>
      <c r="G111" s="765" t="s">
        <v>3164</v>
      </c>
      <c r="H111" s="766"/>
      <c r="I111" s="773"/>
      <c r="J111" s="773"/>
      <c r="K111" s="782" t="s">
        <v>3165</v>
      </c>
      <c r="L111" s="782"/>
      <c r="M111" s="782" t="s">
        <v>3166</v>
      </c>
      <c r="N111" s="824"/>
      <c r="O111" s="784"/>
      <c r="P111" s="784"/>
      <c r="Q111" s="784"/>
    </row>
    <row r="112" customHeight="1" spans="1:17">
      <c r="A112" s="751">
        <v>110</v>
      </c>
      <c r="B112" s="762" t="s">
        <v>2465</v>
      </c>
      <c r="C112" s="762"/>
      <c r="D112" s="763" t="s">
        <v>3114</v>
      </c>
      <c r="E112" s="764" t="s">
        <v>2801</v>
      </c>
      <c r="F112" s="764">
        <f>EDU*4</f>
        <v>0</v>
      </c>
      <c r="G112" s="765" t="s">
        <v>3167</v>
      </c>
      <c r="H112" s="766"/>
      <c r="I112" s="773"/>
      <c r="J112" s="773"/>
      <c r="K112" s="782" t="s">
        <v>3168</v>
      </c>
      <c r="L112" s="782"/>
      <c r="M112" s="782" t="s">
        <v>3169</v>
      </c>
      <c r="N112" s="824"/>
      <c r="O112" s="784"/>
      <c r="P112" s="784"/>
      <c r="Q112" s="784"/>
    </row>
    <row r="113" customHeight="1" spans="1:17">
      <c r="A113" s="751">
        <v>111</v>
      </c>
      <c r="B113" s="762" t="s">
        <v>2466</v>
      </c>
      <c r="C113" s="762"/>
      <c r="D113" s="763" t="s">
        <v>2781</v>
      </c>
      <c r="E113" s="764" t="s">
        <v>3011</v>
      </c>
      <c r="F113" s="764">
        <f>EDU*2+MAX(DEX*2,APP*2)</f>
        <v>0</v>
      </c>
      <c r="G113" s="765" t="s">
        <v>3170</v>
      </c>
      <c r="H113" s="766"/>
      <c r="I113" s="773"/>
      <c r="J113" s="773"/>
      <c r="K113" s="782" t="s">
        <v>3171</v>
      </c>
      <c r="L113" s="782"/>
      <c r="M113" s="782" t="s">
        <v>3172</v>
      </c>
      <c r="N113" s="824"/>
      <c r="O113" s="784"/>
      <c r="P113" s="784"/>
      <c r="Q113" s="784"/>
    </row>
    <row r="114" customHeight="1" spans="1:17">
      <c r="A114" s="751">
        <v>112</v>
      </c>
      <c r="B114" s="762" t="s">
        <v>2467</v>
      </c>
      <c r="C114" s="762"/>
      <c r="D114" s="763" t="s">
        <v>2781</v>
      </c>
      <c r="E114" s="764" t="s">
        <v>2801</v>
      </c>
      <c r="F114" s="764">
        <f>EDU*4</f>
        <v>0</v>
      </c>
      <c r="G114" s="765" t="s">
        <v>3173</v>
      </c>
      <c r="H114" s="766"/>
      <c r="I114" s="773"/>
      <c r="J114" s="773"/>
      <c r="K114" s="782" t="s">
        <v>3174</v>
      </c>
      <c r="L114" s="782"/>
      <c r="M114" s="782" t="s">
        <v>3175</v>
      </c>
      <c r="N114" s="824"/>
      <c r="O114" s="784"/>
      <c r="P114" s="784"/>
      <c r="Q114" s="784"/>
    </row>
    <row r="115" customHeight="1" spans="1:17">
      <c r="A115" s="751">
        <v>113</v>
      </c>
      <c r="B115" s="762" t="s">
        <v>2468</v>
      </c>
      <c r="C115" s="762"/>
      <c r="D115" s="763" t="s">
        <v>3176</v>
      </c>
      <c r="E115" s="764" t="s">
        <v>2801</v>
      </c>
      <c r="F115" s="764">
        <f>EDU*4</f>
        <v>0</v>
      </c>
      <c r="G115" s="765" t="s">
        <v>3177</v>
      </c>
      <c r="H115" s="766"/>
      <c r="I115" s="773"/>
      <c r="J115" s="773"/>
      <c r="K115" s="782" t="s">
        <v>3178</v>
      </c>
      <c r="L115" s="782"/>
      <c r="M115" s="782" t="s">
        <v>3179</v>
      </c>
      <c r="N115" s="824"/>
      <c r="O115" s="784"/>
      <c r="P115" s="784"/>
      <c r="Q115" s="784"/>
    </row>
    <row r="116" customHeight="1" spans="1:17">
      <c r="A116" s="751">
        <v>114</v>
      </c>
      <c r="B116" s="762" t="s">
        <v>2469</v>
      </c>
      <c r="C116" s="762"/>
      <c r="D116" s="763" t="s">
        <v>3055</v>
      </c>
      <c r="E116" s="764" t="s">
        <v>2806</v>
      </c>
      <c r="F116" s="764">
        <f>EDU*2+MAX(APP*2,POW*2)</f>
        <v>0</v>
      </c>
      <c r="G116" s="765" t="s">
        <v>3180</v>
      </c>
      <c r="H116" s="766"/>
      <c r="I116" s="773"/>
      <c r="J116" s="773"/>
      <c r="K116" s="782" t="s">
        <v>3181</v>
      </c>
      <c r="L116" s="782"/>
      <c r="M116" s="782" t="s">
        <v>3182</v>
      </c>
      <c r="N116" s="824"/>
      <c r="O116" s="784"/>
      <c r="P116" s="784"/>
      <c r="Q116" s="784"/>
    </row>
    <row r="117" customHeight="1" spans="1:17">
      <c r="A117" s="801">
        <v>115</v>
      </c>
      <c r="B117" s="802" t="s">
        <v>2470</v>
      </c>
      <c r="C117" s="802"/>
      <c r="D117" s="803" t="s">
        <v>2786</v>
      </c>
      <c r="E117" s="804" t="s">
        <v>2801</v>
      </c>
      <c r="F117" s="804">
        <f>EDU*4</f>
        <v>0</v>
      </c>
      <c r="G117" s="805" t="s">
        <v>3183</v>
      </c>
      <c r="H117" s="766"/>
      <c r="I117" s="773"/>
      <c r="J117" s="773"/>
      <c r="K117" s="782" t="s">
        <v>3184</v>
      </c>
      <c r="L117" s="782"/>
      <c r="M117" s="782" t="s">
        <v>3185</v>
      </c>
      <c r="N117" s="824"/>
      <c r="O117" s="784"/>
      <c r="P117" s="784"/>
      <c r="Q117" s="784"/>
    </row>
    <row r="118" customHeight="1" spans="1:17">
      <c r="A118" s="806">
        <v>116</v>
      </c>
      <c r="B118" s="807" t="s">
        <v>2471</v>
      </c>
      <c r="C118" s="807"/>
      <c r="D118" s="808" t="s">
        <v>2966</v>
      </c>
      <c r="E118" s="809" t="s">
        <v>2901</v>
      </c>
      <c r="F118" s="810">
        <f>EDU*2+APP*2</f>
        <v>0</v>
      </c>
      <c r="G118" s="811" t="s">
        <v>3186</v>
      </c>
      <c r="H118" s="812" t="s">
        <v>3187</v>
      </c>
      <c r="I118" s="812"/>
      <c r="J118" s="773"/>
      <c r="K118" s="825" t="s">
        <v>3188</v>
      </c>
      <c r="L118" s="784"/>
      <c r="M118" s="825" t="s">
        <v>3189</v>
      </c>
      <c r="N118" s="784"/>
      <c r="O118" s="784"/>
      <c r="P118" s="784"/>
      <c r="Q118" s="784"/>
    </row>
    <row r="119" customHeight="1" spans="1:17">
      <c r="A119" s="813">
        <v>117</v>
      </c>
      <c r="B119" s="814" t="s">
        <v>2472</v>
      </c>
      <c r="C119" s="814"/>
      <c r="D119" s="815" t="s">
        <v>2781</v>
      </c>
      <c r="E119" s="816" t="s">
        <v>2796</v>
      </c>
      <c r="F119" s="817">
        <f>EDU*2+MAX(STR*2,DEX*2)</f>
        <v>0</v>
      </c>
      <c r="G119" s="818" t="s">
        <v>3190</v>
      </c>
      <c r="H119" s="812"/>
      <c r="I119" s="812"/>
      <c r="J119" s="773"/>
      <c r="K119" s="825" t="s">
        <v>2836</v>
      </c>
      <c r="L119" s="784"/>
      <c r="M119" s="825" t="s">
        <v>3189</v>
      </c>
      <c r="N119" s="784"/>
      <c r="O119" s="784"/>
      <c r="P119" s="784"/>
      <c r="Q119" s="784"/>
    </row>
    <row r="120" customHeight="1" spans="1:17">
      <c r="A120" s="813">
        <v>118</v>
      </c>
      <c r="B120" s="814" t="s">
        <v>2473</v>
      </c>
      <c r="C120" s="814"/>
      <c r="D120" s="819" t="s">
        <v>3191</v>
      </c>
      <c r="E120" s="820" t="s">
        <v>2796</v>
      </c>
      <c r="F120" s="821">
        <f>EDU*2+MAX(STR*2,DEX*2)</f>
        <v>0</v>
      </c>
      <c r="G120" s="822" t="s">
        <v>3192</v>
      </c>
      <c r="H120" s="812"/>
      <c r="I120" s="812"/>
      <c r="J120" s="773"/>
      <c r="K120" s="825" t="s">
        <v>3193</v>
      </c>
      <c r="L120" s="784"/>
      <c r="M120" s="825" t="s">
        <v>3194</v>
      </c>
      <c r="N120" s="784"/>
      <c r="O120" s="784"/>
      <c r="P120" s="784"/>
      <c r="Q120" s="784"/>
    </row>
    <row r="121" customHeight="1" spans="1:17">
      <c r="A121" s="813">
        <v>119</v>
      </c>
      <c r="B121" s="814" t="s">
        <v>2474</v>
      </c>
      <c r="C121" s="814"/>
      <c r="D121" s="815" t="s">
        <v>2776</v>
      </c>
      <c r="E121" s="816" t="s">
        <v>2796</v>
      </c>
      <c r="F121" s="817">
        <f>EDU*2+MAX(STR*2,DEX*2)</f>
        <v>0</v>
      </c>
      <c r="G121" s="818" t="s">
        <v>3195</v>
      </c>
      <c r="H121" s="812"/>
      <c r="I121" s="812"/>
      <c r="J121" s="773"/>
      <c r="K121" s="825" t="s">
        <v>3196</v>
      </c>
      <c r="L121" s="784"/>
      <c r="M121" s="825" t="s">
        <v>3189</v>
      </c>
      <c r="N121" s="784"/>
      <c r="O121" s="784"/>
      <c r="P121" s="784"/>
      <c r="Q121" s="784"/>
    </row>
    <row r="122" customHeight="1" spans="1:17">
      <c r="A122" s="813">
        <v>120</v>
      </c>
      <c r="B122" s="814" t="s">
        <v>2475</v>
      </c>
      <c r="C122" s="814"/>
      <c r="D122" s="819" t="s">
        <v>2781</v>
      </c>
      <c r="E122" s="820" t="s">
        <v>2796</v>
      </c>
      <c r="F122" s="821">
        <f>EDU*2+MAX(STR*2,DEX*2)</f>
        <v>0</v>
      </c>
      <c r="G122" s="822" t="s">
        <v>3197</v>
      </c>
      <c r="H122" s="812"/>
      <c r="I122" s="812"/>
      <c r="J122" s="773"/>
      <c r="K122" s="825" t="s">
        <v>3198</v>
      </c>
      <c r="L122" s="784"/>
      <c r="M122" s="825" t="s">
        <v>3194</v>
      </c>
      <c r="N122" s="784"/>
      <c r="O122" s="784"/>
      <c r="P122" s="784"/>
      <c r="Q122" s="784"/>
    </row>
    <row r="123" customHeight="1" spans="1:17">
      <c r="A123" s="813">
        <v>121</v>
      </c>
      <c r="B123" s="814" t="s">
        <v>2476</v>
      </c>
      <c r="C123" s="814"/>
      <c r="D123" s="815" t="s">
        <v>3026</v>
      </c>
      <c r="E123" s="816" t="s">
        <v>2801</v>
      </c>
      <c r="F123" s="817">
        <f t="shared" ref="F123:F128" si="1">EDU*4</f>
        <v>0</v>
      </c>
      <c r="G123" s="818" t="s">
        <v>3199</v>
      </c>
      <c r="H123" s="812"/>
      <c r="I123" s="812"/>
      <c r="J123" s="773"/>
      <c r="K123" s="825" t="s">
        <v>3200</v>
      </c>
      <c r="L123" s="784"/>
      <c r="M123" s="825" t="s">
        <v>3194</v>
      </c>
      <c r="N123" s="784"/>
      <c r="O123" s="784"/>
      <c r="P123" s="784"/>
      <c r="Q123" s="784"/>
    </row>
    <row r="124" customHeight="1" spans="1:17">
      <c r="A124" s="813">
        <v>122</v>
      </c>
      <c r="B124" s="814" t="s">
        <v>2477</v>
      </c>
      <c r="C124" s="814"/>
      <c r="D124" s="819" t="s">
        <v>3026</v>
      </c>
      <c r="E124" s="820" t="s">
        <v>2801</v>
      </c>
      <c r="F124" s="821">
        <f t="shared" si="1"/>
        <v>0</v>
      </c>
      <c r="G124" s="822" t="s">
        <v>3201</v>
      </c>
      <c r="H124" s="823" t="s">
        <v>3202</v>
      </c>
      <c r="I124" s="823"/>
      <c r="J124" s="773"/>
      <c r="K124" s="825" t="s">
        <v>3203</v>
      </c>
      <c r="L124" s="784"/>
      <c r="M124" s="825" t="s">
        <v>3194</v>
      </c>
      <c r="N124" s="784"/>
      <c r="O124" s="784"/>
      <c r="P124" s="784"/>
      <c r="Q124" s="784"/>
    </row>
    <row r="125" customHeight="1" spans="1:17">
      <c r="A125" s="813">
        <v>123</v>
      </c>
      <c r="B125" s="814" t="s">
        <v>2478</v>
      </c>
      <c r="C125" s="814"/>
      <c r="D125" s="815" t="s">
        <v>3051</v>
      </c>
      <c r="E125" s="816" t="s">
        <v>2801</v>
      </c>
      <c r="F125" s="817">
        <f t="shared" si="1"/>
        <v>0</v>
      </c>
      <c r="G125" s="818" t="s">
        <v>3204</v>
      </c>
      <c r="H125" s="823" t="s">
        <v>3205</v>
      </c>
      <c r="I125" s="823"/>
      <c r="J125" s="773"/>
      <c r="K125" s="825" t="s">
        <v>2866</v>
      </c>
      <c r="L125" s="784"/>
      <c r="M125" s="825" t="s">
        <v>3194</v>
      </c>
      <c r="N125" s="784"/>
      <c r="O125" s="784"/>
      <c r="P125" s="784"/>
      <c r="Q125" s="784"/>
    </row>
    <row r="126" customHeight="1" spans="1:17">
      <c r="A126" s="813">
        <v>124</v>
      </c>
      <c r="B126" s="814" t="s">
        <v>2479</v>
      </c>
      <c r="C126" s="814"/>
      <c r="D126" s="819" t="s">
        <v>2858</v>
      </c>
      <c r="E126" s="820" t="s">
        <v>2801</v>
      </c>
      <c r="F126" s="821">
        <f t="shared" si="1"/>
        <v>0</v>
      </c>
      <c r="G126" s="822" t="s">
        <v>2865</v>
      </c>
      <c r="H126" s="766"/>
      <c r="I126" s="773"/>
      <c r="J126" s="773"/>
      <c r="K126" s="825" t="s">
        <v>2866</v>
      </c>
      <c r="L126" s="784"/>
      <c r="M126" s="825" t="s">
        <v>3194</v>
      </c>
      <c r="N126" s="784"/>
      <c r="O126" s="784"/>
      <c r="P126" s="784"/>
      <c r="Q126" s="784"/>
    </row>
    <row r="127" customHeight="1" spans="1:17">
      <c r="A127" s="813">
        <v>125</v>
      </c>
      <c r="B127" s="814" t="s">
        <v>2480</v>
      </c>
      <c r="C127" s="814"/>
      <c r="D127" s="815" t="s">
        <v>2858</v>
      </c>
      <c r="E127" s="816" t="s">
        <v>2801</v>
      </c>
      <c r="F127" s="817">
        <f t="shared" si="1"/>
        <v>0</v>
      </c>
      <c r="G127" s="818" t="s">
        <v>3206</v>
      </c>
      <c r="H127" s="766"/>
      <c r="I127" s="773"/>
      <c r="J127" s="773"/>
      <c r="K127" s="825" t="s">
        <v>3207</v>
      </c>
      <c r="L127" s="784"/>
      <c r="M127" s="825" t="s">
        <v>3194</v>
      </c>
      <c r="N127" s="784"/>
      <c r="O127" s="784"/>
      <c r="P127" s="784"/>
      <c r="Q127" s="784"/>
    </row>
    <row r="128" customHeight="1" spans="1:17">
      <c r="A128" s="813">
        <v>126</v>
      </c>
      <c r="B128" s="814" t="s">
        <v>2481</v>
      </c>
      <c r="C128" s="814"/>
      <c r="D128" s="819" t="s">
        <v>2776</v>
      </c>
      <c r="E128" s="820" t="s">
        <v>2801</v>
      </c>
      <c r="F128" s="821">
        <f t="shared" si="1"/>
        <v>0</v>
      </c>
      <c r="G128" s="822" t="s">
        <v>3208</v>
      </c>
      <c r="H128" s="766"/>
      <c r="I128" s="773"/>
      <c r="J128" s="773"/>
      <c r="K128" s="825" t="s">
        <v>3209</v>
      </c>
      <c r="L128" s="784"/>
      <c r="M128" s="825" t="s">
        <v>3194</v>
      </c>
      <c r="N128" s="784"/>
      <c r="O128" s="784"/>
      <c r="P128" s="784"/>
      <c r="Q128" s="784"/>
    </row>
    <row r="129" customHeight="1" spans="1:17">
      <c r="A129" s="813">
        <v>127</v>
      </c>
      <c r="B129" s="814" t="s">
        <v>2482</v>
      </c>
      <c r="C129" s="814"/>
      <c r="D129" s="815" t="s">
        <v>3055</v>
      </c>
      <c r="E129" s="816" t="s">
        <v>2806</v>
      </c>
      <c r="F129" s="817">
        <f>EDU*2+MAX(APP*2,POW*2)</f>
        <v>0</v>
      </c>
      <c r="G129" s="818" t="s">
        <v>3210</v>
      </c>
      <c r="H129" s="766"/>
      <c r="I129" s="773"/>
      <c r="J129" s="773"/>
      <c r="K129" s="825" t="s">
        <v>3211</v>
      </c>
      <c r="L129" s="784"/>
      <c r="M129" s="825" t="s">
        <v>3194</v>
      </c>
      <c r="N129" s="784"/>
      <c r="O129" s="784"/>
      <c r="P129" s="784"/>
      <c r="Q129" s="784"/>
    </row>
    <row r="130" customHeight="1" spans="1:17">
      <c r="A130" s="813">
        <v>128</v>
      </c>
      <c r="B130" s="814" t="s">
        <v>2483</v>
      </c>
      <c r="C130" s="814"/>
      <c r="D130" s="819" t="s">
        <v>2916</v>
      </c>
      <c r="E130" s="820" t="s">
        <v>2801</v>
      </c>
      <c r="F130" s="821">
        <f>EDU*4</f>
        <v>0</v>
      </c>
      <c r="G130" s="822" t="s">
        <v>3212</v>
      </c>
      <c r="H130" s="766"/>
      <c r="I130" s="773"/>
      <c r="J130" s="773"/>
      <c r="K130" s="825" t="s">
        <v>3213</v>
      </c>
      <c r="L130" s="784"/>
      <c r="M130" s="825" t="s">
        <v>3194</v>
      </c>
      <c r="N130" s="784"/>
      <c r="O130" s="784"/>
      <c r="P130" s="784"/>
      <c r="Q130" s="784"/>
    </row>
    <row r="131" customHeight="1" spans="1:17">
      <c r="A131" s="813">
        <v>129</v>
      </c>
      <c r="B131" s="814" t="s">
        <v>2484</v>
      </c>
      <c r="C131" s="814"/>
      <c r="D131" s="815" t="s">
        <v>3026</v>
      </c>
      <c r="E131" s="816" t="s">
        <v>3140</v>
      </c>
      <c r="F131" s="817">
        <f>EDU*2+MAX(DEX*2,APP*2)</f>
        <v>0</v>
      </c>
      <c r="G131" s="818" t="s">
        <v>3214</v>
      </c>
      <c r="H131" s="766"/>
      <c r="I131" s="773"/>
      <c r="J131" s="773"/>
      <c r="K131" s="825" t="s">
        <v>3215</v>
      </c>
      <c r="L131" s="784"/>
      <c r="M131" s="825" t="s">
        <v>3194</v>
      </c>
      <c r="N131" s="784"/>
      <c r="O131" s="784"/>
      <c r="P131" s="784"/>
      <c r="Q131" s="784"/>
    </row>
    <row r="132" customHeight="1" spans="1:17">
      <c r="A132" s="813">
        <v>130</v>
      </c>
      <c r="B132" s="814" t="s">
        <v>2485</v>
      </c>
      <c r="C132" s="814"/>
      <c r="D132" s="819" t="s">
        <v>3026</v>
      </c>
      <c r="E132" s="820" t="s">
        <v>3140</v>
      </c>
      <c r="F132" s="821">
        <f>EDU*2+MAX(DEX*2,APP*2)</f>
        <v>0</v>
      </c>
      <c r="G132" s="822" t="s">
        <v>3216</v>
      </c>
      <c r="H132" s="766"/>
      <c r="I132" s="773"/>
      <c r="J132" s="773"/>
      <c r="K132" s="825" t="s">
        <v>3217</v>
      </c>
      <c r="L132" s="784"/>
      <c r="M132" s="825" t="s">
        <v>3194</v>
      </c>
      <c r="N132" s="784"/>
      <c r="O132" s="784"/>
      <c r="P132" s="784"/>
      <c r="Q132" s="784"/>
    </row>
    <row r="133" customHeight="1" spans="1:17">
      <c r="A133" s="813">
        <v>131</v>
      </c>
      <c r="B133" s="814" t="s">
        <v>2486</v>
      </c>
      <c r="C133" s="814"/>
      <c r="D133" s="815" t="s">
        <v>2838</v>
      </c>
      <c r="E133" s="816" t="s">
        <v>2878</v>
      </c>
      <c r="F133" s="817">
        <f>EDU*2+DEX*2</f>
        <v>0</v>
      </c>
      <c r="G133" s="818" t="s">
        <v>3218</v>
      </c>
      <c r="H133" s="766"/>
      <c r="I133" s="773"/>
      <c r="J133" s="773"/>
      <c r="K133" s="825" t="s">
        <v>3219</v>
      </c>
      <c r="L133" s="784"/>
      <c r="M133" s="825" t="s">
        <v>3194</v>
      </c>
      <c r="N133" s="784"/>
      <c r="O133" s="784"/>
      <c r="P133" s="784"/>
      <c r="Q133" s="784"/>
    </row>
    <row r="134" customHeight="1" spans="1:17">
      <c r="A134" s="813">
        <v>132</v>
      </c>
      <c r="B134" s="814" t="s">
        <v>2487</v>
      </c>
      <c r="C134" s="814"/>
      <c r="D134" s="819" t="s">
        <v>2776</v>
      </c>
      <c r="E134" s="820" t="s">
        <v>2777</v>
      </c>
      <c r="F134" s="821">
        <f>EDU*4</f>
        <v>0</v>
      </c>
      <c r="G134" s="822" t="s">
        <v>3220</v>
      </c>
      <c r="H134" s="766"/>
      <c r="I134" s="773"/>
      <c r="J134" s="773"/>
      <c r="K134" s="825" t="s">
        <v>3221</v>
      </c>
      <c r="L134" s="784"/>
      <c r="M134" s="825" t="s">
        <v>3194</v>
      </c>
      <c r="N134" s="784"/>
      <c r="O134" s="784"/>
      <c r="P134" s="784"/>
      <c r="Q134" s="784"/>
    </row>
    <row r="135" customHeight="1" spans="1:17">
      <c r="A135" s="813">
        <v>133</v>
      </c>
      <c r="B135" s="814" t="s">
        <v>2488</v>
      </c>
      <c r="C135" s="814"/>
      <c r="D135" s="815" t="s">
        <v>2944</v>
      </c>
      <c r="E135" s="816" t="s">
        <v>2801</v>
      </c>
      <c r="F135" s="817">
        <f>EDU*4</f>
        <v>0</v>
      </c>
      <c r="G135" s="818" t="s">
        <v>3041</v>
      </c>
      <c r="H135" s="766"/>
      <c r="I135" s="773"/>
      <c r="J135" s="773"/>
      <c r="K135" s="825" t="s">
        <v>3221</v>
      </c>
      <c r="L135" s="784"/>
      <c r="M135" s="825" t="s">
        <v>3194</v>
      </c>
      <c r="N135" s="784"/>
      <c r="O135" s="784"/>
      <c r="P135" s="784"/>
      <c r="Q135" s="784"/>
    </row>
    <row r="136" customHeight="1" spans="1:17">
      <c r="A136" s="813">
        <v>134</v>
      </c>
      <c r="B136" s="814" t="s">
        <v>2489</v>
      </c>
      <c r="C136" s="814"/>
      <c r="D136" s="819" t="s">
        <v>2776</v>
      </c>
      <c r="E136" s="820" t="s">
        <v>2801</v>
      </c>
      <c r="F136" s="821">
        <f>EDU*4</f>
        <v>0</v>
      </c>
      <c r="G136" s="822" t="s">
        <v>2945</v>
      </c>
      <c r="H136" s="766"/>
      <c r="I136" s="773"/>
      <c r="J136" s="773"/>
      <c r="K136" s="825" t="s">
        <v>2946</v>
      </c>
      <c r="L136" s="784"/>
      <c r="M136" s="825" t="s">
        <v>3194</v>
      </c>
      <c r="N136" s="784"/>
      <c r="O136" s="784"/>
      <c r="P136" s="784"/>
      <c r="Q136" s="784"/>
    </row>
    <row r="137" customHeight="1" spans="1:17">
      <c r="A137" s="813">
        <v>135</v>
      </c>
      <c r="B137" s="814" t="s">
        <v>2490</v>
      </c>
      <c r="C137" s="814"/>
      <c r="D137" s="815" t="s">
        <v>3026</v>
      </c>
      <c r="E137" s="816" t="s">
        <v>2801</v>
      </c>
      <c r="F137" s="817">
        <f>EDU*4</f>
        <v>0</v>
      </c>
      <c r="G137" s="818" t="s">
        <v>2945</v>
      </c>
      <c r="H137" s="766"/>
      <c r="I137" s="773"/>
      <c r="J137" s="773"/>
      <c r="K137" s="825" t="s">
        <v>2946</v>
      </c>
      <c r="L137" s="784"/>
      <c r="M137" s="825" t="s">
        <v>3194</v>
      </c>
      <c r="N137" s="784"/>
      <c r="O137" s="784"/>
      <c r="P137" s="784"/>
      <c r="Q137" s="784"/>
    </row>
    <row r="138" customHeight="1" spans="1:17">
      <c r="A138" s="813">
        <v>136</v>
      </c>
      <c r="B138" s="814" t="s">
        <v>2491</v>
      </c>
      <c r="C138" s="814"/>
      <c r="D138" s="819" t="s">
        <v>2944</v>
      </c>
      <c r="E138" s="820" t="s">
        <v>2801</v>
      </c>
      <c r="F138" s="821">
        <f>EDU*4</f>
        <v>0</v>
      </c>
      <c r="G138" s="822" t="s">
        <v>2945</v>
      </c>
      <c r="H138" s="766"/>
      <c r="I138" s="773"/>
      <c r="J138" s="773"/>
      <c r="K138" s="825" t="s">
        <v>3222</v>
      </c>
      <c r="L138" s="784"/>
      <c r="M138" s="825" t="s">
        <v>3194</v>
      </c>
      <c r="N138" s="784"/>
      <c r="O138" s="784"/>
      <c r="P138" s="784"/>
      <c r="Q138" s="784"/>
    </row>
    <row r="139" customHeight="1" spans="1:17">
      <c r="A139" s="813">
        <v>137</v>
      </c>
      <c r="B139" s="814" t="s">
        <v>2492</v>
      </c>
      <c r="C139" s="814"/>
      <c r="D139" s="815" t="s">
        <v>2814</v>
      </c>
      <c r="E139" s="816" t="s">
        <v>2897</v>
      </c>
      <c r="F139" s="817">
        <f>EDU*2+DEX*2</f>
        <v>0</v>
      </c>
      <c r="G139" s="818" t="s">
        <v>3223</v>
      </c>
      <c r="H139" s="766"/>
      <c r="I139" s="773"/>
      <c r="J139" s="773"/>
      <c r="K139" s="825" t="s">
        <v>3224</v>
      </c>
      <c r="L139" s="784"/>
      <c r="M139" s="825" t="s">
        <v>3194</v>
      </c>
      <c r="N139" s="784"/>
      <c r="O139" s="784"/>
      <c r="P139" s="784"/>
      <c r="Q139" s="784"/>
    </row>
    <row r="140" customHeight="1" spans="1:17">
      <c r="A140" s="813">
        <v>138</v>
      </c>
      <c r="B140" s="814" t="s">
        <v>2493</v>
      </c>
      <c r="C140" s="814"/>
      <c r="D140" s="819" t="s">
        <v>2838</v>
      </c>
      <c r="E140" s="820" t="s">
        <v>2801</v>
      </c>
      <c r="F140" s="821">
        <f>EDU*4</f>
        <v>0</v>
      </c>
      <c r="G140" s="822" t="s">
        <v>3225</v>
      </c>
      <c r="H140" s="766"/>
      <c r="I140" s="773"/>
      <c r="J140" s="773"/>
      <c r="K140" s="825" t="s">
        <v>3226</v>
      </c>
      <c r="L140" s="784"/>
      <c r="M140" s="825" t="s">
        <v>3194</v>
      </c>
      <c r="N140" s="784"/>
      <c r="O140" s="784"/>
      <c r="P140" s="784"/>
      <c r="Q140" s="784"/>
    </row>
    <row r="141" customHeight="1" spans="1:17">
      <c r="A141" s="813">
        <v>139</v>
      </c>
      <c r="B141" s="814" t="s">
        <v>2494</v>
      </c>
      <c r="C141" s="814"/>
      <c r="D141" s="815" t="s">
        <v>2838</v>
      </c>
      <c r="E141" s="816" t="s">
        <v>3065</v>
      </c>
      <c r="F141" s="817">
        <f>EDU*2+MAX(DEX*2,POW*2)</f>
        <v>0</v>
      </c>
      <c r="G141" s="818" t="s">
        <v>3227</v>
      </c>
      <c r="H141" s="766"/>
      <c r="I141" s="773"/>
      <c r="J141" s="773"/>
      <c r="K141" s="825" t="s">
        <v>3228</v>
      </c>
      <c r="L141" s="784"/>
      <c r="M141" s="825" t="s">
        <v>3194</v>
      </c>
      <c r="N141" s="784"/>
      <c r="O141" s="784"/>
      <c r="P141" s="784"/>
      <c r="Q141" s="784"/>
    </row>
    <row r="142" customHeight="1" spans="1:17">
      <c r="A142" s="813">
        <v>140</v>
      </c>
      <c r="B142" s="814" t="s">
        <v>3229</v>
      </c>
      <c r="C142" s="814"/>
      <c r="D142" s="819" t="s">
        <v>2814</v>
      </c>
      <c r="E142" s="820" t="s">
        <v>2801</v>
      </c>
      <c r="F142" s="821">
        <f>EDU*4</f>
        <v>0</v>
      </c>
      <c r="G142" s="822" t="s">
        <v>3230</v>
      </c>
      <c r="H142" s="766"/>
      <c r="I142" s="773"/>
      <c r="J142" s="773"/>
      <c r="K142" s="825" t="s">
        <v>3231</v>
      </c>
      <c r="L142" s="784"/>
      <c r="M142" s="825" t="s">
        <v>3194</v>
      </c>
      <c r="N142" s="784"/>
      <c r="O142" s="784"/>
      <c r="P142" s="784"/>
      <c r="Q142" s="784"/>
    </row>
    <row r="143" customHeight="1" spans="1:17">
      <c r="A143" s="813">
        <v>141</v>
      </c>
      <c r="B143" s="814" t="s">
        <v>2496</v>
      </c>
      <c r="C143" s="814"/>
      <c r="D143" s="815" t="s">
        <v>3051</v>
      </c>
      <c r="E143" s="816" t="s">
        <v>2796</v>
      </c>
      <c r="F143" s="817">
        <f>EDU*2+MAX(STR*2,DEX*2)</f>
        <v>0</v>
      </c>
      <c r="G143" s="818" t="s">
        <v>3232</v>
      </c>
      <c r="H143" s="766"/>
      <c r="I143" s="773"/>
      <c r="J143" s="773"/>
      <c r="K143" s="825" t="s">
        <v>3233</v>
      </c>
      <c r="L143" s="784"/>
      <c r="M143" s="825" t="s">
        <v>3194</v>
      </c>
      <c r="N143" s="784"/>
      <c r="O143" s="784"/>
      <c r="P143" s="784"/>
      <c r="Q143" s="784"/>
    </row>
    <row r="144" customHeight="1" spans="1:17">
      <c r="A144" s="813">
        <v>142</v>
      </c>
      <c r="B144" s="814" t="s">
        <v>2497</v>
      </c>
      <c r="C144" s="814"/>
      <c r="D144" s="819" t="s">
        <v>3234</v>
      </c>
      <c r="E144" s="820" t="s">
        <v>2796</v>
      </c>
      <c r="F144" s="821">
        <f>EDU*2+MAX(STR*2,DEX*2)</f>
        <v>0</v>
      </c>
      <c r="G144" s="822" t="s">
        <v>3235</v>
      </c>
      <c r="H144" s="766"/>
      <c r="I144" s="773"/>
      <c r="J144" s="773"/>
      <c r="K144" s="825" t="s">
        <v>3236</v>
      </c>
      <c r="L144" s="784"/>
      <c r="M144" s="825" t="s">
        <v>3194</v>
      </c>
      <c r="N144" s="784"/>
      <c r="O144" s="784"/>
      <c r="P144" s="784"/>
      <c r="Q144" s="784"/>
    </row>
    <row r="145" customHeight="1" spans="1:17">
      <c r="A145" s="813">
        <v>143</v>
      </c>
      <c r="B145" s="814" t="s">
        <v>2498</v>
      </c>
      <c r="C145" s="814"/>
      <c r="D145" s="815" t="s">
        <v>2838</v>
      </c>
      <c r="E145" s="816" t="s">
        <v>3065</v>
      </c>
      <c r="F145" s="817">
        <f>EDU*2+MAX(POW*2,DEX*2)</f>
        <v>0</v>
      </c>
      <c r="G145" s="818" t="s">
        <v>3237</v>
      </c>
      <c r="H145" s="766"/>
      <c r="I145" s="773"/>
      <c r="J145" s="773"/>
      <c r="K145" s="825" t="s">
        <v>3238</v>
      </c>
      <c r="L145" s="784"/>
      <c r="M145" s="825" t="s">
        <v>3194</v>
      </c>
      <c r="N145" s="784"/>
      <c r="O145" s="784"/>
      <c r="P145" s="784"/>
      <c r="Q145" s="784"/>
    </row>
    <row r="146" customHeight="1" spans="1:17">
      <c r="A146" s="813">
        <v>144</v>
      </c>
      <c r="B146" s="814" t="s">
        <v>3239</v>
      </c>
      <c r="C146" s="814"/>
      <c r="D146" s="819" t="s">
        <v>2776</v>
      </c>
      <c r="E146" s="820" t="s">
        <v>2897</v>
      </c>
      <c r="F146" s="821">
        <f>EDU*2+DEX*2</f>
        <v>0</v>
      </c>
      <c r="G146" s="822" t="s">
        <v>3240</v>
      </c>
      <c r="H146" s="766"/>
      <c r="I146" s="773"/>
      <c r="J146" s="773"/>
      <c r="K146" s="825" t="s">
        <v>3241</v>
      </c>
      <c r="L146" s="784"/>
      <c r="M146" s="825" t="s">
        <v>3194</v>
      </c>
      <c r="N146" s="784"/>
      <c r="O146" s="784"/>
      <c r="P146" s="784"/>
      <c r="Q146" s="784"/>
    </row>
    <row r="147" customHeight="1" spans="1:17">
      <c r="A147" s="813">
        <v>145</v>
      </c>
      <c r="B147" s="814" t="s">
        <v>2500</v>
      </c>
      <c r="C147" s="814"/>
      <c r="D147" s="815" t="s">
        <v>3026</v>
      </c>
      <c r="E147" s="816" t="s">
        <v>2801</v>
      </c>
      <c r="F147" s="817">
        <f>EDU*4</f>
        <v>0</v>
      </c>
      <c r="G147" s="818" t="s">
        <v>3242</v>
      </c>
      <c r="H147" s="766"/>
      <c r="I147" s="773"/>
      <c r="J147" s="773"/>
      <c r="K147" s="825" t="s">
        <v>3243</v>
      </c>
      <c r="L147" s="784"/>
      <c r="M147" s="825" t="s">
        <v>3194</v>
      </c>
      <c r="N147" s="784"/>
      <c r="O147" s="784"/>
      <c r="P147" s="784"/>
      <c r="Q147" s="784"/>
    </row>
    <row r="148" customHeight="1" spans="1:17">
      <c r="A148" s="813">
        <v>146</v>
      </c>
      <c r="B148" s="814" t="s">
        <v>2501</v>
      </c>
      <c r="C148" s="814"/>
      <c r="D148" s="826" t="s">
        <v>2786</v>
      </c>
      <c r="E148" s="816" t="s">
        <v>2901</v>
      </c>
      <c r="F148" s="821">
        <f>EDU*2+APP*2</f>
        <v>0</v>
      </c>
      <c r="G148" s="822" t="s">
        <v>3134</v>
      </c>
      <c r="H148" s="766"/>
      <c r="I148" s="773"/>
      <c r="J148" s="773"/>
      <c r="K148" s="825" t="s">
        <v>3244</v>
      </c>
      <c r="L148" s="784"/>
      <c r="M148" s="825" t="s">
        <v>3194</v>
      </c>
      <c r="N148" s="784"/>
      <c r="O148" s="784"/>
      <c r="P148" s="784"/>
      <c r="Q148" s="784"/>
    </row>
    <row r="149" customHeight="1" spans="1:17">
      <c r="A149" s="813">
        <v>147</v>
      </c>
      <c r="B149" s="814" t="s">
        <v>2502</v>
      </c>
      <c r="C149" s="814"/>
      <c r="D149" s="815" t="s">
        <v>2838</v>
      </c>
      <c r="E149" s="816" t="s">
        <v>2901</v>
      </c>
      <c r="F149" s="817">
        <f>EDU*2+APP*2</f>
        <v>0</v>
      </c>
      <c r="G149" s="818" t="s">
        <v>3245</v>
      </c>
      <c r="H149" s="766"/>
      <c r="I149" s="773"/>
      <c r="J149" s="773"/>
      <c r="K149" s="825" t="s">
        <v>3224</v>
      </c>
      <c r="L149" s="784"/>
      <c r="M149" s="825" t="s">
        <v>3194</v>
      </c>
      <c r="N149" s="784"/>
      <c r="O149" s="784"/>
      <c r="P149" s="784"/>
      <c r="Q149" s="784"/>
    </row>
    <row r="150" customHeight="1" spans="1:17">
      <c r="A150" s="813">
        <v>148</v>
      </c>
      <c r="B150" s="814" t="s">
        <v>2503</v>
      </c>
      <c r="C150" s="814"/>
      <c r="D150" s="827" t="s">
        <v>3246</v>
      </c>
      <c r="E150" s="820" t="s">
        <v>2901</v>
      </c>
      <c r="F150" s="821">
        <f>EDU*4</f>
        <v>0</v>
      </c>
      <c r="G150" s="822" t="s">
        <v>3247</v>
      </c>
      <c r="H150" s="766"/>
      <c r="I150" s="773"/>
      <c r="J150" s="773"/>
      <c r="K150" s="825" t="s">
        <v>3248</v>
      </c>
      <c r="L150" s="784"/>
      <c r="M150" s="825" t="s">
        <v>3194</v>
      </c>
      <c r="N150" s="784"/>
      <c r="O150" s="784"/>
      <c r="P150" s="784"/>
      <c r="Q150" s="784"/>
    </row>
    <row r="151" customHeight="1" spans="1:17">
      <c r="A151" s="813">
        <v>149</v>
      </c>
      <c r="B151" s="814" t="s">
        <v>2504</v>
      </c>
      <c r="C151" s="814"/>
      <c r="D151" s="815" t="s">
        <v>2781</v>
      </c>
      <c r="E151" s="816" t="s">
        <v>2796</v>
      </c>
      <c r="F151" s="817">
        <f>EDU*2+MAX(STR*2,DEX*2)</f>
        <v>0</v>
      </c>
      <c r="G151" s="818" t="s">
        <v>3249</v>
      </c>
      <c r="H151" s="766"/>
      <c r="I151" s="773"/>
      <c r="J151" s="773"/>
      <c r="K151" s="825" t="s">
        <v>3250</v>
      </c>
      <c r="L151" s="784"/>
      <c r="M151" s="825" t="s">
        <v>3194</v>
      </c>
      <c r="N151" s="784"/>
      <c r="O151" s="784"/>
      <c r="P151" s="784"/>
      <c r="Q151" s="784"/>
    </row>
    <row r="152" customHeight="1" spans="1:17">
      <c r="A152" s="813">
        <v>150</v>
      </c>
      <c r="B152" s="814" t="s">
        <v>2505</v>
      </c>
      <c r="C152" s="814"/>
      <c r="D152" s="819" t="s">
        <v>3251</v>
      </c>
      <c r="E152" s="820" t="s">
        <v>2801</v>
      </c>
      <c r="F152" s="821">
        <f t="shared" ref="F152:F157" si="2">EDU*4</f>
        <v>0</v>
      </c>
      <c r="G152" s="822" t="s">
        <v>3252</v>
      </c>
      <c r="H152" s="766"/>
      <c r="I152" s="773"/>
      <c r="J152" s="773"/>
      <c r="K152" s="825" t="s">
        <v>3253</v>
      </c>
      <c r="L152" s="784"/>
      <c r="M152" s="825" t="s">
        <v>3194</v>
      </c>
      <c r="N152" s="784"/>
      <c r="O152" s="784"/>
      <c r="P152" s="784"/>
      <c r="Q152" s="784"/>
    </row>
    <row r="153" customHeight="1" spans="1:17">
      <c r="A153" s="813">
        <v>151</v>
      </c>
      <c r="B153" s="814" t="s">
        <v>2506</v>
      </c>
      <c r="C153" s="814"/>
      <c r="D153" s="815" t="s">
        <v>2916</v>
      </c>
      <c r="E153" s="816" t="s">
        <v>2801</v>
      </c>
      <c r="F153" s="817">
        <f t="shared" si="2"/>
        <v>0</v>
      </c>
      <c r="G153" s="818" t="s">
        <v>3254</v>
      </c>
      <c r="H153" s="766"/>
      <c r="I153" s="773"/>
      <c r="J153" s="773"/>
      <c r="K153" s="825" t="s">
        <v>3255</v>
      </c>
      <c r="L153" s="784"/>
      <c r="M153" s="825" t="s">
        <v>3194</v>
      </c>
      <c r="N153" s="784"/>
      <c r="O153" s="784"/>
      <c r="P153" s="784"/>
      <c r="Q153" s="784"/>
    </row>
    <row r="154" customHeight="1" spans="1:17">
      <c r="A154" s="813">
        <v>152</v>
      </c>
      <c r="B154" s="814" t="s">
        <v>2507</v>
      </c>
      <c r="C154" s="814"/>
      <c r="D154" s="819" t="s">
        <v>2846</v>
      </c>
      <c r="E154" s="820" t="s">
        <v>2801</v>
      </c>
      <c r="F154" s="821">
        <f t="shared" si="2"/>
        <v>0</v>
      </c>
      <c r="G154" s="822" t="s">
        <v>3256</v>
      </c>
      <c r="H154" s="766"/>
      <c r="I154" s="773"/>
      <c r="J154" s="773"/>
      <c r="K154" s="825" t="s">
        <v>3257</v>
      </c>
      <c r="L154" s="784"/>
      <c r="M154" s="825" t="s">
        <v>3194</v>
      </c>
      <c r="N154" s="784"/>
      <c r="O154" s="784"/>
      <c r="P154" s="784"/>
      <c r="Q154" s="784"/>
    </row>
    <row r="155" customHeight="1" spans="1:17">
      <c r="A155" s="813">
        <v>153</v>
      </c>
      <c r="B155" s="814" t="s">
        <v>2508</v>
      </c>
      <c r="C155" s="814"/>
      <c r="D155" s="815" t="s">
        <v>2838</v>
      </c>
      <c r="E155" s="816" t="s">
        <v>2801</v>
      </c>
      <c r="F155" s="817">
        <f t="shared" si="2"/>
        <v>0</v>
      </c>
      <c r="G155" s="818" t="s">
        <v>3258</v>
      </c>
      <c r="H155" s="766"/>
      <c r="I155" s="773"/>
      <c r="J155" s="773"/>
      <c r="K155" s="825" t="s">
        <v>3259</v>
      </c>
      <c r="L155" s="784"/>
      <c r="M155" s="825" t="s">
        <v>3194</v>
      </c>
      <c r="N155" s="784"/>
      <c r="O155" s="784"/>
      <c r="P155" s="784"/>
      <c r="Q155" s="784"/>
    </row>
    <row r="156" customHeight="1" spans="1:17">
      <c r="A156" s="813">
        <v>154</v>
      </c>
      <c r="B156" s="814" t="s">
        <v>2509</v>
      </c>
      <c r="C156" s="814"/>
      <c r="D156" s="819" t="s">
        <v>2882</v>
      </c>
      <c r="E156" s="820" t="s">
        <v>2801</v>
      </c>
      <c r="F156" s="821">
        <f t="shared" si="2"/>
        <v>0</v>
      </c>
      <c r="G156" s="822" t="s">
        <v>3260</v>
      </c>
      <c r="H156" s="766"/>
      <c r="I156" s="773"/>
      <c r="J156" s="773"/>
      <c r="K156" s="795" t="s">
        <v>3261</v>
      </c>
      <c r="L156" s="784"/>
      <c r="M156" s="825" t="s">
        <v>3194</v>
      </c>
      <c r="N156" s="784"/>
      <c r="O156" s="784"/>
      <c r="P156" s="784"/>
      <c r="Q156" s="784"/>
    </row>
    <row r="157" customHeight="1" spans="1:17">
      <c r="A157" s="813">
        <v>155</v>
      </c>
      <c r="B157" s="814" t="s">
        <v>2510</v>
      </c>
      <c r="C157" s="814"/>
      <c r="D157" s="815" t="s">
        <v>2838</v>
      </c>
      <c r="E157" s="816" t="s">
        <v>2801</v>
      </c>
      <c r="F157" s="817">
        <f t="shared" si="2"/>
        <v>0</v>
      </c>
      <c r="G157" s="818" t="s">
        <v>3262</v>
      </c>
      <c r="H157" s="766"/>
      <c r="I157" s="773"/>
      <c r="J157" s="773"/>
      <c r="K157" s="825" t="s">
        <v>3263</v>
      </c>
      <c r="L157" s="784"/>
      <c r="M157" s="825" t="s">
        <v>3194</v>
      </c>
      <c r="N157" s="784"/>
      <c r="O157" s="870" t="s">
        <v>1785</v>
      </c>
      <c r="P157" s="871"/>
      <c r="Q157" s="885" t="s">
        <v>3264</v>
      </c>
    </row>
    <row r="158" customHeight="1" spans="1:17">
      <c r="A158" s="828">
        <v>156</v>
      </c>
      <c r="B158" s="829" t="s">
        <v>2511</v>
      </c>
      <c r="C158" s="829"/>
      <c r="D158" s="830" t="s">
        <v>2838</v>
      </c>
      <c r="E158" s="831" t="s">
        <v>2796</v>
      </c>
      <c r="F158" s="832">
        <f>EDU*2+MAX(STR*2,DEX*2)</f>
        <v>0</v>
      </c>
      <c r="G158" s="833" t="s">
        <v>3265</v>
      </c>
      <c r="H158" s="766"/>
      <c r="I158" s="773"/>
      <c r="J158" s="773"/>
      <c r="K158" s="825" t="s">
        <v>3266</v>
      </c>
      <c r="L158" s="784"/>
      <c r="M158" s="825" t="s">
        <v>3194</v>
      </c>
      <c r="N158" s="784"/>
      <c r="O158" s="872" t="s">
        <v>1564</v>
      </c>
      <c r="P158" s="873"/>
      <c r="Q158" s="886" t="s">
        <v>3267</v>
      </c>
    </row>
    <row r="159" customHeight="1" spans="1:17">
      <c r="A159" s="834">
        <v>157</v>
      </c>
      <c r="B159" s="835" t="s">
        <v>2512</v>
      </c>
      <c r="C159" s="835"/>
      <c r="D159" s="836" t="s">
        <v>2846</v>
      </c>
      <c r="E159" s="837" t="s">
        <v>2796</v>
      </c>
      <c r="F159" s="838">
        <f>EDU*2+MAX(STR*2,DEX*2)</f>
        <v>0</v>
      </c>
      <c r="G159" s="839" t="s">
        <v>3268</v>
      </c>
      <c r="H159" s="812" t="s">
        <v>3269</v>
      </c>
      <c r="I159" s="812"/>
      <c r="J159" s="767"/>
      <c r="K159" s="874" t="s">
        <v>3270</v>
      </c>
      <c r="L159" s="875"/>
      <c r="M159" s="874" t="s">
        <v>3271</v>
      </c>
      <c r="N159" s="876"/>
      <c r="O159" s="872" t="s">
        <v>675</v>
      </c>
      <c r="P159" s="873"/>
      <c r="Q159" s="886" t="s">
        <v>3272</v>
      </c>
    </row>
    <row r="160" customHeight="1" spans="1:17">
      <c r="A160" s="840">
        <v>158</v>
      </c>
      <c r="B160" s="841" t="s">
        <v>1416</v>
      </c>
      <c r="C160" s="841"/>
      <c r="D160" s="842" t="s">
        <v>3152</v>
      </c>
      <c r="E160" s="843" t="s">
        <v>2796</v>
      </c>
      <c r="F160" s="844">
        <f>EDU*2+MAX(STR*2,DEX*2)</f>
        <v>0</v>
      </c>
      <c r="G160" s="845" t="s">
        <v>3273</v>
      </c>
      <c r="H160" s="812"/>
      <c r="I160" s="812"/>
      <c r="J160" s="767"/>
      <c r="K160" s="874" t="s">
        <v>3274</v>
      </c>
      <c r="L160" s="875"/>
      <c r="M160" s="874" t="s">
        <v>3271</v>
      </c>
      <c r="N160" s="876"/>
      <c r="O160" s="872" t="s">
        <v>1559</v>
      </c>
      <c r="P160" s="873"/>
      <c r="Q160" s="886" t="s">
        <v>3267</v>
      </c>
    </row>
    <row r="161" customHeight="1" spans="1:17">
      <c r="A161" s="846">
        <v>159</v>
      </c>
      <c r="B161" s="847" t="s">
        <v>2513</v>
      </c>
      <c r="C161" s="847"/>
      <c r="D161" s="848" t="s">
        <v>3275</v>
      </c>
      <c r="E161" s="849" t="s">
        <v>2801</v>
      </c>
      <c r="F161" s="850">
        <f>EDU*4</f>
        <v>0</v>
      </c>
      <c r="G161" s="851" t="s">
        <v>3276</v>
      </c>
      <c r="H161" s="812"/>
      <c r="I161" s="812"/>
      <c r="J161" s="767"/>
      <c r="K161" s="874" t="s">
        <v>3277</v>
      </c>
      <c r="L161" s="875"/>
      <c r="M161" s="874" t="s">
        <v>3271</v>
      </c>
      <c r="N161" s="876"/>
      <c r="O161" s="872" t="s">
        <v>1602</v>
      </c>
      <c r="P161" s="873"/>
      <c r="Q161" s="886" t="s">
        <v>3267</v>
      </c>
    </row>
    <row r="162" customHeight="1" spans="1:17">
      <c r="A162" s="840">
        <v>160</v>
      </c>
      <c r="B162" s="841" t="s">
        <v>2514</v>
      </c>
      <c r="C162" s="841"/>
      <c r="D162" s="842" t="s">
        <v>2916</v>
      </c>
      <c r="E162" s="843" t="s">
        <v>2801</v>
      </c>
      <c r="F162" s="844">
        <f>EDU*4</f>
        <v>0</v>
      </c>
      <c r="G162" s="845" t="s">
        <v>3278</v>
      </c>
      <c r="H162" s="812"/>
      <c r="I162" s="812"/>
      <c r="J162" s="767"/>
      <c r="K162" s="874" t="s">
        <v>2866</v>
      </c>
      <c r="L162" s="875"/>
      <c r="M162" s="874" t="s">
        <v>3271</v>
      </c>
      <c r="N162" s="876"/>
      <c r="O162" s="872" t="s">
        <v>1673</v>
      </c>
      <c r="P162" s="873"/>
      <c r="Q162" s="886" t="s">
        <v>3279</v>
      </c>
    </row>
    <row r="163" customHeight="1" spans="1:17">
      <c r="A163" s="846">
        <v>161</v>
      </c>
      <c r="B163" s="847" t="s">
        <v>2515</v>
      </c>
      <c r="C163" s="847"/>
      <c r="D163" s="848" t="s">
        <v>2846</v>
      </c>
      <c r="E163" s="849" t="s">
        <v>2801</v>
      </c>
      <c r="F163" s="850">
        <f>EDU*4</f>
        <v>0</v>
      </c>
      <c r="G163" s="851" t="s">
        <v>3280</v>
      </c>
      <c r="H163" s="812"/>
      <c r="I163" s="812"/>
      <c r="J163" s="767"/>
      <c r="K163" s="874"/>
      <c r="L163" s="875"/>
      <c r="M163" s="874" t="s">
        <v>3271</v>
      </c>
      <c r="N163" s="876"/>
      <c r="O163" s="872" t="s">
        <v>671</v>
      </c>
      <c r="P163" s="873"/>
      <c r="Q163" s="886" t="s">
        <v>3272</v>
      </c>
    </row>
    <row r="164" customHeight="1" spans="1:17">
      <c r="A164" s="840">
        <v>162</v>
      </c>
      <c r="B164" s="841" t="s">
        <v>2516</v>
      </c>
      <c r="C164" s="841"/>
      <c r="D164" s="842" t="s">
        <v>2781</v>
      </c>
      <c r="E164" s="843" t="s">
        <v>2796</v>
      </c>
      <c r="F164" s="844">
        <f>EDU*2+MAX(STR*2,DEX*2)</f>
        <v>0</v>
      </c>
      <c r="G164" s="845" t="s">
        <v>3281</v>
      </c>
      <c r="H164" s="812"/>
      <c r="I164" s="812"/>
      <c r="J164" s="767"/>
      <c r="K164" s="874"/>
      <c r="L164" s="875"/>
      <c r="M164" s="874" t="s">
        <v>3271</v>
      </c>
      <c r="N164" s="876"/>
      <c r="O164" s="872" t="s">
        <v>1684</v>
      </c>
      <c r="P164" s="873"/>
      <c r="Q164" s="886" t="s">
        <v>3282</v>
      </c>
    </row>
    <row r="165" customHeight="1" spans="1:17">
      <c r="A165" s="846">
        <v>163</v>
      </c>
      <c r="B165" s="847" t="s">
        <v>2517</v>
      </c>
      <c r="C165" s="847"/>
      <c r="D165" s="848" t="s">
        <v>3152</v>
      </c>
      <c r="E165" s="849" t="s">
        <v>2801</v>
      </c>
      <c r="F165" s="850">
        <f>EDU*4</f>
        <v>0</v>
      </c>
      <c r="G165" s="851" t="s">
        <v>3283</v>
      </c>
      <c r="H165" s="823" t="s">
        <v>3202</v>
      </c>
      <c r="I165" s="823"/>
      <c r="J165" s="767"/>
      <c r="K165" s="874" t="s">
        <v>3284</v>
      </c>
      <c r="L165" s="875"/>
      <c r="M165" s="874" t="s">
        <v>3271</v>
      </c>
      <c r="N165" s="876"/>
      <c r="O165" s="877" t="s">
        <v>1587</v>
      </c>
      <c r="P165" s="878"/>
      <c r="Q165" s="887" t="s">
        <v>3267</v>
      </c>
    </row>
    <row r="166" customHeight="1" spans="1:17">
      <c r="A166" s="840">
        <v>164</v>
      </c>
      <c r="B166" s="841" t="s">
        <v>2518</v>
      </c>
      <c r="C166" s="841"/>
      <c r="D166" s="842" t="s">
        <v>2891</v>
      </c>
      <c r="E166" s="843" t="s">
        <v>2801</v>
      </c>
      <c r="F166" s="844">
        <f>EDU*4</f>
        <v>0</v>
      </c>
      <c r="G166" s="852" t="s">
        <v>3285</v>
      </c>
      <c r="H166" s="766"/>
      <c r="I166" s="773"/>
      <c r="J166" s="767"/>
      <c r="K166" s="874"/>
      <c r="L166" s="875"/>
      <c r="M166" s="874" t="s">
        <v>3271</v>
      </c>
      <c r="N166" s="875"/>
      <c r="O166" s="879" t="s">
        <v>3286</v>
      </c>
      <c r="P166" s="879"/>
      <c r="Q166" s="879"/>
    </row>
    <row r="167" customHeight="1" spans="1:17">
      <c r="A167" s="846">
        <v>165</v>
      </c>
      <c r="B167" s="847" t="s">
        <v>2519</v>
      </c>
      <c r="C167" s="847"/>
      <c r="D167" s="848" t="s">
        <v>2781</v>
      </c>
      <c r="E167" s="849" t="s">
        <v>2801</v>
      </c>
      <c r="F167" s="850">
        <f>EDU*4</f>
        <v>0</v>
      </c>
      <c r="G167" s="851" t="s">
        <v>3287</v>
      </c>
      <c r="H167" s="766"/>
      <c r="I167" s="773"/>
      <c r="J167" s="767"/>
      <c r="K167" s="880"/>
      <c r="L167" s="881"/>
      <c r="M167" s="880" t="s">
        <v>3271</v>
      </c>
      <c r="N167" s="881"/>
      <c r="O167" s="879"/>
      <c r="P167" s="879"/>
      <c r="Q167" s="879"/>
    </row>
    <row r="168" customHeight="1" spans="1:17">
      <c r="A168" s="840">
        <v>166</v>
      </c>
      <c r="B168" s="841" t="s">
        <v>2520</v>
      </c>
      <c r="C168" s="841"/>
      <c r="D168" s="842" t="s">
        <v>2814</v>
      </c>
      <c r="E168" s="843" t="s">
        <v>2801</v>
      </c>
      <c r="F168" s="844">
        <f>EDU*4</f>
        <v>0</v>
      </c>
      <c r="G168" s="845" t="s">
        <v>3288</v>
      </c>
      <c r="H168" s="766"/>
      <c r="I168" s="773"/>
      <c r="J168" s="882"/>
      <c r="K168" s="883"/>
      <c r="L168" s="779"/>
      <c r="M168" s="883" t="s">
        <v>3271</v>
      </c>
      <c r="N168" s="779"/>
      <c r="O168" s="879"/>
      <c r="P168" s="879"/>
      <c r="Q168" s="879"/>
    </row>
    <row r="169" customHeight="1" spans="1:17">
      <c r="A169" s="846">
        <v>167</v>
      </c>
      <c r="B169" s="847" t="s">
        <v>2521</v>
      </c>
      <c r="C169" s="847"/>
      <c r="D169" s="848" t="s">
        <v>2882</v>
      </c>
      <c r="E169" s="849" t="s">
        <v>2801</v>
      </c>
      <c r="F169" s="850">
        <f>EDU*4</f>
        <v>0</v>
      </c>
      <c r="G169" s="851" t="s">
        <v>3289</v>
      </c>
      <c r="H169" s="766"/>
      <c r="I169" s="773"/>
      <c r="J169" s="882"/>
      <c r="K169" s="883" t="s">
        <v>3290</v>
      </c>
      <c r="L169" s="779"/>
      <c r="M169" s="883" t="s">
        <v>3271</v>
      </c>
      <c r="N169" s="779"/>
      <c r="O169" s="884" t="s">
        <v>3291</v>
      </c>
      <c r="P169" s="884"/>
      <c r="Q169" s="884"/>
    </row>
    <row r="170" customHeight="1" spans="1:17">
      <c r="A170" s="840">
        <v>168</v>
      </c>
      <c r="B170" s="841" t="s">
        <v>2522</v>
      </c>
      <c r="C170" s="841"/>
      <c r="D170" s="842" t="s">
        <v>2948</v>
      </c>
      <c r="E170" s="843" t="s">
        <v>2796</v>
      </c>
      <c r="F170" s="844">
        <f>EDU*2+MAX(STR*2,DEX*2)</f>
        <v>0</v>
      </c>
      <c r="G170" s="845" t="s">
        <v>3292</v>
      </c>
      <c r="H170" s="766"/>
      <c r="I170" s="773"/>
      <c r="J170" s="882"/>
      <c r="K170" s="883" t="s">
        <v>3293</v>
      </c>
      <c r="L170" s="779"/>
      <c r="M170" s="883" t="s">
        <v>3271</v>
      </c>
      <c r="N170" s="779"/>
      <c r="O170" s="884"/>
      <c r="P170" s="884"/>
      <c r="Q170" s="884"/>
    </row>
    <row r="171" customHeight="1" spans="1:17">
      <c r="A171" s="853">
        <v>169</v>
      </c>
      <c r="B171" s="854" t="s">
        <v>2523</v>
      </c>
      <c r="C171" s="854"/>
      <c r="D171" s="855" t="s">
        <v>2858</v>
      </c>
      <c r="E171" s="856" t="s">
        <v>2859</v>
      </c>
      <c r="F171" s="857">
        <f>EDU*2+STR*2</f>
        <v>0</v>
      </c>
      <c r="G171" s="858" t="s">
        <v>3294</v>
      </c>
      <c r="H171" s="766"/>
      <c r="I171" s="773"/>
      <c r="J171" s="882"/>
      <c r="K171" s="883"/>
      <c r="L171" s="779"/>
      <c r="M171" s="883" t="s">
        <v>3271</v>
      </c>
      <c r="N171" s="779"/>
      <c r="O171" s="884" t="s">
        <v>3295</v>
      </c>
      <c r="P171" s="884"/>
      <c r="Q171" s="884"/>
    </row>
    <row r="172" customHeight="1" spans="1:17">
      <c r="A172" s="859">
        <v>170</v>
      </c>
      <c r="B172" s="860" t="s">
        <v>2524</v>
      </c>
      <c r="C172" s="860"/>
      <c r="D172" s="861" t="s">
        <v>2838</v>
      </c>
      <c r="E172" s="773" t="s">
        <v>2796</v>
      </c>
      <c r="F172" s="767">
        <f>EDU*2+MAX(STR*2,DEX*2)</f>
        <v>0</v>
      </c>
      <c r="G172" s="862" t="s">
        <v>3296</v>
      </c>
      <c r="H172" s="812" t="s">
        <v>3297</v>
      </c>
      <c r="I172" s="812"/>
      <c r="J172" s="773"/>
      <c r="K172" s="825" t="s">
        <v>3298</v>
      </c>
      <c r="L172" s="784"/>
      <c r="M172" s="825" t="s">
        <v>3299</v>
      </c>
      <c r="N172" s="784"/>
      <c r="O172" s="884"/>
      <c r="P172" s="884"/>
      <c r="Q172" s="884"/>
    </row>
    <row r="173" customHeight="1" spans="1:17">
      <c r="A173" s="863">
        <v>171</v>
      </c>
      <c r="B173" s="864" t="s">
        <v>2525</v>
      </c>
      <c r="C173" s="864"/>
      <c r="D173" s="865" t="s">
        <v>2814</v>
      </c>
      <c r="E173" s="866" t="s">
        <v>2801</v>
      </c>
      <c r="F173" s="867">
        <f>EDU*4</f>
        <v>0</v>
      </c>
      <c r="G173" s="868" t="s">
        <v>3300</v>
      </c>
      <c r="H173" s="812"/>
      <c r="I173" s="812"/>
      <c r="J173" s="773"/>
      <c r="K173" s="825" t="s">
        <v>3301</v>
      </c>
      <c r="L173" s="784"/>
      <c r="M173" s="825" t="s">
        <v>3299</v>
      </c>
      <c r="N173" s="784"/>
      <c r="O173" s="767"/>
      <c r="P173" s="767"/>
      <c r="Q173" s="767"/>
    </row>
    <row r="174" customHeight="1" spans="1:17">
      <c r="A174" s="859">
        <v>172</v>
      </c>
      <c r="B174" s="860" t="s">
        <v>2526</v>
      </c>
      <c r="C174" s="860"/>
      <c r="D174" s="861" t="s">
        <v>3152</v>
      </c>
      <c r="E174" s="773" t="s">
        <v>2801</v>
      </c>
      <c r="F174" s="767">
        <f>EDU*4</f>
        <v>0</v>
      </c>
      <c r="G174" s="862" t="s">
        <v>3302</v>
      </c>
      <c r="H174" s="812"/>
      <c r="I174" s="812"/>
      <c r="J174" s="773"/>
      <c r="K174" s="825"/>
      <c r="L174" s="784"/>
      <c r="M174" s="825" t="s">
        <v>3303</v>
      </c>
      <c r="N174" s="784"/>
      <c r="O174" s="767"/>
      <c r="P174" s="767"/>
      <c r="Q174" s="767"/>
    </row>
    <row r="175" customHeight="1" spans="1:17">
      <c r="A175" s="863">
        <v>173</v>
      </c>
      <c r="B175" s="864" t="s">
        <v>2527</v>
      </c>
      <c r="C175" s="864"/>
      <c r="D175" s="865" t="s">
        <v>3152</v>
      </c>
      <c r="E175" s="866" t="s">
        <v>2801</v>
      </c>
      <c r="F175" s="867">
        <f>EDU*4</f>
        <v>0</v>
      </c>
      <c r="G175" s="868" t="s">
        <v>3304</v>
      </c>
      <c r="H175" s="812"/>
      <c r="I175" s="812"/>
      <c r="J175" s="773"/>
      <c r="K175" s="825" t="s">
        <v>3305</v>
      </c>
      <c r="L175" s="784"/>
      <c r="M175" s="825" t="s">
        <v>3303</v>
      </c>
      <c r="N175" s="784"/>
      <c r="O175" s="784"/>
      <c r="P175" s="784"/>
      <c r="Q175" s="784"/>
    </row>
    <row r="176" customHeight="1" spans="1:17">
      <c r="A176" s="859">
        <v>174</v>
      </c>
      <c r="B176" s="860" t="s">
        <v>2528</v>
      </c>
      <c r="C176" s="860"/>
      <c r="D176" s="861" t="s">
        <v>2814</v>
      </c>
      <c r="E176" s="773" t="s">
        <v>2806</v>
      </c>
      <c r="F176" s="767">
        <f>EDU*2+MAX(APP*2,POW*2)</f>
        <v>0</v>
      </c>
      <c r="G176" s="862" t="s">
        <v>3306</v>
      </c>
      <c r="H176" s="812"/>
      <c r="I176" s="812"/>
      <c r="J176" s="773"/>
      <c r="K176" s="825"/>
      <c r="L176" s="784"/>
      <c r="M176" s="825" t="s">
        <v>3307</v>
      </c>
      <c r="N176" s="784"/>
      <c r="O176" s="798" t="s">
        <v>3308</v>
      </c>
      <c r="P176" s="798"/>
      <c r="Q176" s="798"/>
    </row>
    <row r="177" customHeight="1" spans="1:17">
      <c r="A177" s="863">
        <v>175</v>
      </c>
      <c r="B177" s="864" t="s">
        <v>2529</v>
      </c>
      <c r="C177" s="864"/>
      <c r="D177" s="865" t="s">
        <v>3156</v>
      </c>
      <c r="E177" s="866" t="s">
        <v>2801</v>
      </c>
      <c r="F177" s="867">
        <f>EDU*4</f>
        <v>0</v>
      </c>
      <c r="G177" s="868" t="s">
        <v>3309</v>
      </c>
      <c r="H177" s="812"/>
      <c r="I177" s="812"/>
      <c r="J177" s="773"/>
      <c r="K177" s="825"/>
      <c r="L177" s="784"/>
      <c r="M177" s="825" t="s">
        <v>3310</v>
      </c>
      <c r="N177" s="784"/>
      <c r="O177" s="798"/>
      <c r="P177" s="798"/>
      <c r="Q177" s="798"/>
    </row>
    <row r="178" customHeight="1" spans="1:17">
      <c r="A178" s="859">
        <v>176</v>
      </c>
      <c r="B178" s="860" t="s">
        <v>2530</v>
      </c>
      <c r="C178" s="860"/>
      <c r="D178" s="861" t="s">
        <v>2868</v>
      </c>
      <c r="E178" s="773" t="s">
        <v>2801</v>
      </c>
      <c r="F178" s="767">
        <f>EDU*4</f>
        <v>0</v>
      </c>
      <c r="G178" s="862" t="s">
        <v>3311</v>
      </c>
      <c r="H178" s="823" t="s">
        <v>3202</v>
      </c>
      <c r="I178" s="823"/>
      <c r="J178" s="773"/>
      <c r="K178" s="825"/>
      <c r="L178" s="784"/>
      <c r="M178" s="825" t="s">
        <v>3307</v>
      </c>
      <c r="N178" s="784"/>
      <c r="O178" s="798"/>
      <c r="P178" s="798"/>
      <c r="Q178" s="798"/>
    </row>
    <row r="179" customHeight="1" spans="1:17">
      <c r="A179" s="863">
        <v>177</v>
      </c>
      <c r="B179" s="864" t="s">
        <v>2531</v>
      </c>
      <c r="C179" s="864"/>
      <c r="D179" s="865" t="s">
        <v>2814</v>
      </c>
      <c r="E179" s="867" t="s">
        <v>2801</v>
      </c>
      <c r="F179" s="867">
        <f>EDU*4</f>
        <v>0</v>
      </c>
      <c r="G179" s="868" t="s">
        <v>3230</v>
      </c>
      <c r="H179" s="767"/>
      <c r="I179" s="767"/>
      <c r="J179" s="773"/>
      <c r="K179" s="825" t="s">
        <v>3231</v>
      </c>
      <c r="L179" s="784"/>
      <c r="M179" s="825" t="s">
        <v>3307</v>
      </c>
      <c r="N179" s="784"/>
      <c r="O179" s="798"/>
      <c r="P179" s="798"/>
      <c r="Q179" s="798"/>
    </row>
    <row r="180" customHeight="1" spans="1:17">
      <c r="A180" s="859">
        <v>178</v>
      </c>
      <c r="B180" s="860" t="s">
        <v>2532</v>
      </c>
      <c r="C180" s="860"/>
      <c r="D180" s="861" t="s">
        <v>3156</v>
      </c>
      <c r="E180" s="773" t="s">
        <v>2796</v>
      </c>
      <c r="F180" s="767">
        <f>EDU*2+MAX(STR*2,DEX*2)</f>
        <v>0</v>
      </c>
      <c r="G180" s="862" t="s">
        <v>3312</v>
      </c>
      <c r="H180" s="823" t="s">
        <v>3313</v>
      </c>
      <c r="I180" s="823"/>
      <c r="J180" s="773"/>
      <c r="K180" s="825"/>
      <c r="L180" s="784"/>
      <c r="M180" s="825" t="s">
        <v>3307</v>
      </c>
      <c r="N180" s="784"/>
      <c r="O180" s="784"/>
      <c r="P180" s="784"/>
      <c r="Q180" s="784"/>
    </row>
    <row r="181" customHeight="1" spans="1:17">
      <c r="A181" s="863">
        <v>179</v>
      </c>
      <c r="B181" s="864" t="s">
        <v>2533</v>
      </c>
      <c r="C181" s="864"/>
      <c r="D181" s="865" t="s">
        <v>2834</v>
      </c>
      <c r="E181" s="866" t="s">
        <v>2787</v>
      </c>
      <c r="F181" s="867">
        <f>EDU*2+APP*2</f>
        <v>0</v>
      </c>
      <c r="G181" s="868" t="s">
        <v>2973</v>
      </c>
      <c r="H181" s="823"/>
      <c r="I181" s="823"/>
      <c r="J181" s="773"/>
      <c r="K181" s="825"/>
      <c r="L181" s="784"/>
      <c r="M181" s="825" t="s">
        <v>3307</v>
      </c>
      <c r="N181" s="784"/>
      <c r="O181" s="784"/>
      <c r="P181" s="784"/>
      <c r="Q181" s="784"/>
    </row>
    <row r="182" customHeight="1" spans="1:17">
      <c r="A182" s="859">
        <v>180</v>
      </c>
      <c r="B182" s="860" t="s">
        <v>2534</v>
      </c>
      <c r="C182" s="860"/>
      <c r="D182" s="861" t="s">
        <v>2916</v>
      </c>
      <c r="E182" s="773" t="s">
        <v>2801</v>
      </c>
      <c r="F182" s="767">
        <f>EDU*4</f>
        <v>0</v>
      </c>
      <c r="G182" s="869" t="s">
        <v>3314</v>
      </c>
      <c r="H182" s="823"/>
      <c r="I182" s="823"/>
      <c r="J182" s="773"/>
      <c r="K182" s="825"/>
      <c r="L182" s="784"/>
      <c r="M182" s="825" t="s">
        <v>3307</v>
      </c>
      <c r="N182" s="784"/>
      <c r="O182" s="784"/>
      <c r="P182" s="784"/>
      <c r="Q182" s="784"/>
    </row>
    <row r="183" customHeight="1" spans="1:17">
      <c r="A183" s="863">
        <v>181</v>
      </c>
      <c r="B183" s="864" t="s">
        <v>2535</v>
      </c>
      <c r="C183" s="864"/>
      <c r="D183" s="865" t="s">
        <v>2838</v>
      </c>
      <c r="E183" s="866" t="s">
        <v>2801</v>
      </c>
      <c r="F183" s="867">
        <f>EDU*4</f>
        <v>0</v>
      </c>
      <c r="G183" s="868" t="s">
        <v>3315</v>
      </c>
      <c r="H183" s="823"/>
      <c r="I183" s="823"/>
      <c r="J183" s="773"/>
      <c r="K183" s="825"/>
      <c r="L183" s="784"/>
      <c r="M183" s="825" t="s">
        <v>3307</v>
      </c>
      <c r="N183" s="784"/>
      <c r="O183" s="784"/>
      <c r="P183" s="784"/>
      <c r="Q183" s="784"/>
    </row>
    <row r="184" customHeight="1" spans="1:17">
      <c r="A184" s="859">
        <v>182</v>
      </c>
      <c r="B184" s="860" t="s">
        <v>2536</v>
      </c>
      <c r="C184" s="860"/>
      <c r="D184" s="861" t="s">
        <v>2850</v>
      </c>
      <c r="E184" s="773" t="s">
        <v>2801</v>
      </c>
      <c r="F184" s="767">
        <f>EDU*4</f>
        <v>0</v>
      </c>
      <c r="G184" s="862" t="s">
        <v>3316</v>
      </c>
      <c r="H184" s="766"/>
      <c r="I184" s="773"/>
      <c r="J184" s="773"/>
      <c r="K184" s="825"/>
      <c r="L184" s="784"/>
      <c r="M184" s="825" t="s">
        <v>3307</v>
      </c>
      <c r="N184" s="784"/>
      <c r="O184" s="784"/>
      <c r="P184" s="784"/>
      <c r="Q184" s="784"/>
    </row>
    <row r="185" customHeight="1" spans="1:17">
      <c r="A185" s="863">
        <v>183</v>
      </c>
      <c r="B185" s="864" t="s">
        <v>2537</v>
      </c>
      <c r="C185" s="864"/>
      <c r="D185" s="865" t="s">
        <v>2838</v>
      </c>
      <c r="E185" s="866" t="s">
        <v>2796</v>
      </c>
      <c r="F185" s="867">
        <f>EDU*2+MAX(STR*2,DEX*2)</f>
        <v>0</v>
      </c>
      <c r="G185" s="868" t="s">
        <v>3147</v>
      </c>
      <c r="H185" s="766"/>
      <c r="I185" s="773"/>
      <c r="J185" s="773"/>
      <c r="K185" s="825"/>
      <c r="L185" s="784"/>
      <c r="M185" s="825" t="s">
        <v>3307</v>
      </c>
      <c r="N185" s="784"/>
      <c r="O185" s="767"/>
      <c r="P185" s="767"/>
      <c r="Q185" s="784"/>
    </row>
    <row r="186" customHeight="1" spans="1:17">
      <c r="A186" s="859">
        <v>184</v>
      </c>
      <c r="B186" s="860" t="s">
        <v>2538</v>
      </c>
      <c r="C186" s="860"/>
      <c r="D186" s="861" t="s">
        <v>2838</v>
      </c>
      <c r="E186" s="773" t="s">
        <v>2796</v>
      </c>
      <c r="F186" s="767">
        <f>EDU*2+MAX(STR*2,DEX*2)</f>
        <v>0</v>
      </c>
      <c r="G186" s="862" t="s">
        <v>3147</v>
      </c>
      <c r="H186" s="766"/>
      <c r="I186" s="773"/>
      <c r="J186" s="773"/>
      <c r="K186" s="825"/>
      <c r="L186" s="784"/>
      <c r="M186" s="825" t="s">
        <v>3307</v>
      </c>
      <c r="N186" s="784"/>
      <c r="O186" s="767"/>
      <c r="P186" s="767"/>
      <c r="Q186" s="784"/>
    </row>
    <row r="187" customHeight="1" spans="1:17">
      <c r="A187" s="863">
        <v>185</v>
      </c>
      <c r="B187" s="864" t="s">
        <v>2539</v>
      </c>
      <c r="C187" s="864"/>
      <c r="D187" s="865" t="s">
        <v>2976</v>
      </c>
      <c r="E187" s="866" t="s">
        <v>2949</v>
      </c>
      <c r="F187" s="867">
        <f>EDU*2+MAX(DEX*2,APP*2,STR*2)</f>
        <v>0</v>
      </c>
      <c r="G187" s="868" t="s">
        <v>3317</v>
      </c>
      <c r="H187" s="766"/>
      <c r="I187" s="773"/>
      <c r="J187" s="773"/>
      <c r="K187" s="825"/>
      <c r="L187" s="784"/>
      <c r="M187" s="825" t="s">
        <v>3307</v>
      </c>
      <c r="N187" s="784"/>
      <c r="O187" s="767"/>
      <c r="P187" s="767"/>
      <c r="Q187" s="784"/>
    </row>
    <row r="188" customHeight="1" spans="1:17">
      <c r="A188" s="859">
        <v>186</v>
      </c>
      <c r="B188" s="860" t="s">
        <v>2540</v>
      </c>
      <c r="C188" s="860"/>
      <c r="D188" s="861" t="s">
        <v>2776</v>
      </c>
      <c r="E188" s="773" t="s">
        <v>2801</v>
      </c>
      <c r="F188" s="767">
        <f>EDU*4</f>
        <v>0</v>
      </c>
      <c r="G188" s="862" t="s">
        <v>3208</v>
      </c>
      <c r="H188" s="766"/>
      <c r="I188" s="773"/>
      <c r="J188" s="773"/>
      <c r="K188" s="825"/>
      <c r="L188" s="784"/>
      <c r="M188" s="825" t="s">
        <v>3307</v>
      </c>
      <c r="N188" s="784"/>
      <c r="O188" s="784"/>
      <c r="P188" s="784"/>
      <c r="Q188" s="784"/>
    </row>
    <row r="189" customHeight="1" spans="1:17">
      <c r="A189" s="863">
        <v>187</v>
      </c>
      <c r="B189" s="864" t="s">
        <v>2541</v>
      </c>
      <c r="C189" s="864"/>
      <c r="D189" s="865" t="s">
        <v>2834</v>
      </c>
      <c r="E189" s="866" t="s">
        <v>2787</v>
      </c>
      <c r="F189" s="867">
        <f>EDU*2+APP*2</f>
        <v>0</v>
      </c>
      <c r="G189" s="868" t="s">
        <v>3318</v>
      </c>
      <c r="H189" s="766"/>
      <c r="I189" s="773"/>
      <c r="J189" s="773"/>
      <c r="K189" s="825"/>
      <c r="L189" s="784"/>
      <c r="M189" s="825" t="s">
        <v>3307</v>
      </c>
      <c r="N189" s="784"/>
      <c r="O189" s="784"/>
      <c r="P189" s="784"/>
      <c r="Q189" s="784"/>
    </row>
    <row r="190" customHeight="1" spans="1:17">
      <c r="A190" s="859">
        <v>188</v>
      </c>
      <c r="B190" s="860" t="s">
        <v>2542</v>
      </c>
      <c r="C190" s="860"/>
      <c r="D190" s="861" t="s">
        <v>2834</v>
      </c>
      <c r="E190" s="773" t="s">
        <v>2787</v>
      </c>
      <c r="F190" s="767">
        <f>EDU*2+APP*2</f>
        <v>0</v>
      </c>
      <c r="G190" s="862" t="s">
        <v>3319</v>
      </c>
      <c r="H190" s="766"/>
      <c r="I190" s="773"/>
      <c r="J190" s="773"/>
      <c r="K190" s="825"/>
      <c r="L190" s="784"/>
      <c r="M190" s="825" t="s">
        <v>3307</v>
      </c>
      <c r="N190" s="784"/>
      <c r="O190" s="784"/>
      <c r="P190" s="784"/>
      <c r="Q190" s="784"/>
    </row>
    <row r="191" customHeight="1" spans="1:17">
      <c r="A191" s="863">
        <v>189</v>
      </c>
      <c r="B191" s="864" t="s">
        <v>2543</v>
      </c>
      <c r="C191" s="864"/>
      <c r="D191" s="865" t="s">
        <v>2834</v>
      </c>
      <c r="E191" s="866" t="s">
        <v>2787</v>
      </c>
      <c r="F191" s="867">
        <f>EDU*2+APP*2</f>
        <v>0</v>
      </c>
      <c r="G191" s="868" t="s">
        <v>3320</v>
      </c>
      <c r="H191" s="766"/>
      <c r="I191" s="773"/>
      <c r="J191" s="773"/>
      <c r="K191" s="825"/>
      <c r="L191" s="784"/>
      <c r="M191" s="825" t="s">
        <v>3307</v>
      </c>
      <c r="N191" s="784"/>
      <c r="O191" s="784"/>
      <c r="P191" s="784"/>
      <c r="Q191" s="784"/>
    </row>
    <row r="192" customHeight="1" spans="1:17">
      <c r="A192" s="859">
        <v>190</v>
      </c>
      <c r="B192" s="860" t="s">
        <v>2544</v>
      </c>
      <c r="C192" s="860"/>
      <c r="D192" s="861" t="s">
        <v>2781</v>
      </c>
      <c r="E192" s="773" t="s">
        <v>2897</v>
      </c>
      <c r="F192" s="767">
        <f>EDU*2+DEX*2</f>
        <v>0</v>
      </c>
      <c r="G192" s="862" t="s">
        <v>3321</v>
      </c>
      <c r="H192" s="766"/>
      <c r="I192" s="773"/>
      <c r="J192" s="773"/>
      <c r="K192" s="825"/>
      <c r="L192" s="784"/>
      <c r="M192" s="825" t="s">
        <v>3307</v>
      </c>
      <c r="N192" s="784"/>
      <c r="O192" s="784"/>
      <c r="P192" s="784"/>
      <c r="Q192" s="784"/>
    </row>
    <row r="193" customHeight="1" spans="1:17">
      <c r="A193" s="863">
        <v>191</v>
      </c>
      <c r="B193" s="864" t="s">
        <v>2545</v>
      </c>
      <c r="C193" s="864"/>
      <c r="D193" s="865" t="s">
        <v>3026</v>
      </c>
      <c r="E193" s="866" t="s">
        <v>2801</v>
      </c>
      <c r="F193" s="867">
        <f>EDU*4</f>
        <v>0</v>
      </c>
      <c r="G193" s="868" t="s">
        <v>3242</v>
      </c>
      <c r="H193" s="766"/>
      <c r="I193" s="773"/>
      <c r="J193" s="773"/>
      <c r="K193" s="825"/>
      <c r="L193" s="784"/>
      <c r="M193" s="825" t="s">
        <v>3307</v>
      </c>
      <c r="N193" s="784"/>
      <c r="O193" s="784"/>
      <c r="P193" s="784"/>
      <c r="Q193" s="784"/>
    </row>
    <row r="194" customHeight="1" spans="1:17">
      <c r="A194" s="859">
        <v>192</v>
      </c>
      <c r="B194" s="860" t="s">
        <v>2546</v>
      </c>
      <c r="C194" s="860"/>
      <c r="D194" s="861" t="s">
        <v>3026</v>
      </c>
      <c r="E194" s="773" t="s">
        <v>2801</v>
      </c>
      <c r="F194" s="767">
        <f>EDU*4</f>
        <v>0</v>
      </c>
      <c r="G194" s="862" t="s">
        <v>3242</v>
      </c>
      <c r="H194" s="766"/>
      <c r="I194" s="773"/>
      <c r="J194" s="773"/>
      <c r="K194" s="825"/>
      <c r="L194" s="784"/>
      <c r="M194" s="825" t="s">
        <v>3307</v>
      </c>
      <c r="N194" s="784"/>
      <c r="O194" s="784"/>
      <c r="P194" s="784"/>
      <c r="Q194" s="784"/>
    </row>
    <row r="195" customHeight="1" spans="1:17">
      <c r="A195" s="863">
        <v>193</v>
      </c>
      <c r="B195" s="864" t="s">
        <v>2547</v>
      </c>
      <c r="C195" s="864"/>
      <c r="D195" s="865" t="s">
        <v>3026</v>
      </c>
      <c r="E195" s="866" t="s">
        <v>2801</v>
      </c>
      <c r="F195" s="867">
        <f>EDU*4</f>
        <v>0</v>
      </c>
      <c r="G195" s="868" t="s">
        <v>3242</v>
      </c>
      <c r="H195" s="766"/>
      <c r="I195" s="773"/>
      <c r="J195" s="773"/>
      <c r="K195" s="825"/>
      <c r="L195" s="784"/>
      <c r="M195" s="825" t="s">
        <v>3307</v>
      </c>
      <c r="N195" s="784"/>
      <c r="O195" s="784"/>
      <c r="P195" s="784"/>
      <c r="Q195" s="784"/>
    </row>
    <row r="196" customHeight="1" spans="1:17">
      <c r="A196" s="859">
        <v>194</v>
      </c>
      <c r="B196" s="860" t="s">
        <v>2548</v>
      </c>
      <c r="C196" s="860"/>
      <c r="D196" s="861" t="s">
        <v>2834</v>
      </c>
      <c r="E196" s="773" t="s">
        <v>2787</v>
      </c>
      <c r="F196" s="888">
        <f>EDU*2+APP*2</f>
        <v>0</v>
      </c>
      <c r="G196" s="862" t="s">
        <v>3322</v>
      </c>
      <c r="H196" s="766"/>
      <c r="I196" s="773"/>
      <c r="J196" s="773"/>
      <c r="K196" s="825"/>
      <c r="L196" s="784"/>
      <c r="M196" s="825" t="s">
        <v>3307</v>
      </c>
      <c r="N196" s="784"/>
      <c r="O196" s="784"/>
      <c r="P196" s="784"/>
      <c r="Q196" s="784"/>
    </row>
    <row r="197" customHeight="1" spans="1:17">
      <c r="A197" s="863">
        <v>195</v>
      </c>
      <c r="B197" s="864" t="s">
        <v>2549</v>
      </c>
      <c r="C197" s="864"/>
      <c r="D197" s="865" t="s">
        <v>2776</v>
      </c>
      <c r="E197" s="866" t="s">
        <v>2801</v>
      </c>
      <c r="F197" s="867">
        <f>EDU*4</f>
        <v>0</v>
      </c>
      <c r="G197" s="868" t="s">
        <v>3323</v>
      </c>
      <c r="H197" s="766"/>
      <c r="I197" s="773"/>
      <c r="J197" s="773"/>
      <c r="K197" s="825"/>
      <c r="L197" s="784"/>
      <c r="M197" s="825" t="s">
        <v>3307</v>
      </c>
      <c r="N197" s="784"/>
      <c r="O197" s="784"/>
      <c r="P197" s="784"/>
      <c r="Q197" s="784"/>
    </row>
    <row r="198" customHeight="1" spans="1:17">
      <c r="A198" s="859">
        <v>196</v>
      </c>
      <c r="B198" s="860" t="s">
        <v>2550</v>
      </c>
      <c r="C198" s="860"/>
      <c r="D198" s="861" t="s">
        <v>2838</v>
      </c>
      <c r="E198" s="773" t="s">
        <v>2897</v>
      </c>
      <c r="F198" s="767">
        <f>EDU*2+DEX*2</f>
        <v>0</v>
      </c>
      <c r="G198" s="862" t="s">
        <v>3324</v>
      </c>
      <c r="H198" s="766"/>
      <c r="I198" s="773"/>
      <c r="J198" s="773"/>
      <c r="K198" s="825"/>
      <c r="L198" s="784"/>
      <c r="M198" s="825" t="s">
        <v>3307</v>
      </c>
      <c r="N198" s="784"/>
      <c r="O198" s="784"/>
      <c r="P198" s="784"/>
      <c r="Q198" s="784"/>
    </row>
    <row r="199" customHeight="1" spans="1:17">
      <c r="A199" s="863">
        <v>197</v>
      </c>
      <c r="B199" s="864" t="s">
        <v>2551</v>
      </c>
      <c r="C199" s="864"/>
      <c r="D199" s="865" t="s">
        <v>2838</v>
      </c>
      <c r="E199" s="866" t="s">
        <v>3325</v>
      </c>
      <c r="F199" s="867">
        <f>EDU*2+MAX(EDU*2,APP*2)</f>
        <v>0</v>
      </c>
      <c r="G199" s="868" t="s">
        <v>3326</v>
      </c>
      <c r="H199" s="766"/>
      <c r="I199" s="773"/>
      <c r="J199" s="773"/>
      <c r="K199" s="825"/>
      <c r="L199" s="784"/>
      <c r="M199" s="825" t="s">
        <v>3307</v>
      </c>
      <c r="N199" s="784"/>
      <c r="O199" s="784"/>
      <c r="P199" s="784"/>
      <c r="Q199" s="784"/>
    </row>
    <row r="200" customHeight="1" spans="1:17">
      <c r="A200" s="859">
        <v>198</v>
      </c>
      <c r="B200" s="860" t="s">
        <v>2552</v>
      </c>
      <c r="C200" s="860"/>
      <c r="D200" s="861" t="s">
        <v>2786</v>
      </c>
      <c r="E200" s="773" t="s">
        <v>2801</v>
      </c>
      <c r="F200" s="767">
        <f>EDU*4</f>
        <v>0</v>
      </c>
      <c r="G200" s="862" t="s">
        <v>3048</v>
      </c>
      <c r="H200" s="766"/>
      <c r="I200" s="773"/>
      <c r="J200" s="773"/>
      <c r="K200" s="825"/>
      <c r="L200" s="784"/>
      <c r="M200" s="825" t="s">
        <v>3307</v>
      </c>
      <c r="N200" s="784"/>
      <c r="O200" s="784"/>
      <c r="P200" s="784"/>
      <c r="Q200" s="784"/>
    </row>
    <row r="201" customHeight="1" spans="1:17">
      <c r="A201" s="863">
        <v>199</v>
      </c>
      <c r="B201" s="864" t="s">
        <v>2553</v>
      </c>
      <c r="C201" s="864"/>
      <c r="D201" s="865" t="s">
        <v>2838</v>
      </c>
      <c r="E201" s="866" t="s">
        <v>2878</v>
      </c>
      <c r="F201" s="867">
        <f>EDU*2+DEX*2</f>
        <v>0</v>
      </c>
      <c r="G201" s="868" t="s">
        <v>3327</v>
      </c>
      <c r="H201" s="766"/>
      <c r="I201" s="773"/>
      <c r="J201" s="773"/>
      <c r="K201" s="825"/>
      <c r="L201" s="784"/>
      <c r="M201" s="825" t="s">
        <v>3307</v>
      </c>
      <c r="N201" s="784"/>
      <c r="O201" s="784"/>
      <c r="P201" s="784"/>
      <c r="Q201" s="784"/>
    </row>
    <row r="202" customHeight="1" spans="1:17">
      <c r="A202" s="859">
        <v>200</v>
      </c>
      <c r="B202" s="860" t="s">
        <v>2554</v>
      </c>
      <c r="C202" s="860"/>
      <c r="D202" s="861" t="s">
        <v>2868</v>
      </c>
      <c r="E202" s="773" t="s">
        <v>2801</v>
      </c>
      <c r="F202" s="767">
        <f>EDU*4</f>
        <v>0</v>
      </c>
      <c r="G202" s="862" t="s">
        <v>3328</v>
      </c>
      <c r="H202" s="766"/>
      <c r="I202" s="773"/>
      <c r="J202" s="773"/>
      <c r="K202" s="825"/>
      <c r="L202" s="784"/>
      <c r="M202" s="825" t="s">
        <v>3307</v>
      </c>
      <c r="N202" s="784"/>
      <c r="O202" s="784"/>
      <c r="P202" s="784"/>
      <c r="Q202" s="784"/>
    </row>
    <row r="203" customHeight="1" spans="1:17">
      <c r="A203" s="863">
        <v>201</v>
      </c>
      <c r="B203" s="864" t="s">
        <v>2555</v>
      </c>
      <c r="C203" s="864"/>
      <c r="D203" s="865" t="s">
        <v>2838</v>
      </c>
      <c r="E203" s="866" t="s">
        <v>2796</v>
      </c>
      <c r="F203" s="867">
        <f>EDU*2+MAX(STR*2,DEX*2)</f>
        <v>0</v>
      </c>
      <c r="G203" s="868" t="s">
        <v>3147</v>
      </c>
      <c r="H203" s="766"/>
      <c r="I203" s="773"/>
      <c r="J203" s="773"/>
      <c r="K203" s="825"/>
      <c r="L203" s="784"/>
      <c r="M203" s="825" t="s">
        <v>3307</v>
      </c>
      <c r="N203" s="784"/>
      <c r="O203" s="784"/>
      <c r="P203" s="784"/>
      <c r="Q203" s="784"/>
    </row>
    <row r="204" customHeight="1" spans="1:17">
      <c r="A204" s="859">
        <v>202</v>
      </c>
      <c r="B204" s="860" t="s">
        <v>2556</v>
      </c>
      <c r="C204" s="860"/>
      <c r="D204" s="861" t="s">
        <v>3329</v>
      </c>
      <c r="E204" s="773" t="s">
        <v>2801</v>
      </c>
      <c r="F204" s="767">
        <f>EDU*4</f>
        <v>0</v>
      </c>
      <c r="G204" s="862" t="s">
        <v>3330</v>
      </c>
      <c r="H204" s="766"/>
      <c r="I204" s="773"/>
      <c r="J204" s="773"/>
      <c r="K204" s="825"/>
      <c r="L204" s="784"/>
      <c r="M204" s="825" t="s">
        <v>3307</v>
      </c>
      <c r="N204" s="784"/>
      <c r="O204" s="784"/>
      <c r="P204" s="784"/>
      <c r="Q204" s="784"/>
    </row>
    <row r="205" customHeight="1" spans="1:17">
      <c r="A205" s="863">
        <v>203</v>
      </c>
      <c r="B205" s="889" t="s">
        <v>2557</v>
      </c>
      <c r="C205" s="889"/>
      <c r="D205" s="865" t="s">
        <v>2838</v>
      </c>
      <c r="E205" s="866" t="s">
        <v>2796</v>
      </c>
      <c r="F205" s="867">
        <f>EDU*2+MAX(STR*2,DEX*2)</f>
        <v>0</v>
      </c>
      <c r="G205" s="868" t="s">
        <v>3331</v>
      </c>
      <c r="H205" s="766"/>
      <c r="I205" s="773"/>
      <c r="J205" s="773"/>
      <c r="K205" s="825"/>
      <c r="L205" s="784"/>
      <c r="M205" s="825" t="s">
        <v>3307</v>
      </c>
      <c r="N205" s="784"/>
      <c r="O205" s="784"/>
      <c r="P205" s="784"/>
      <c r="Q205" s="784"/>
    </row>
    <row r="206" customHeight="1" spans="1:17">
      <c r="A206" s="890">
        <v>204</v>
      </c>
      <c r="B206" s="891" t="s">
        <v>2558</v>
      </c>
      <c r="C206" s="891"/>
      <c r="D206" s="892" t="s">
        <v>2781</v>
      </c>
      <c r="E206" s="893" t="s">
        <v>2801</v>
      </c>
      <c r="F206" s="894">
        <f>EDU*4</f>
        <v>0</v>
      </c>
      <c r="G206" s="895" t="s">
        <v>3332</v>
      </c>
      <c r="H206" s="766"/>
      <c r="I206" s="773"/>
      <c r="J206" s="773"/>
      <c r="K206" s="825"/>
      <c r="L206" s="784"/>
      <c r="M206" s="825" t="s">
        <v>3307</v>
      </c>
      <c r="N206" s="784"/>
      <c r="O206" s="784"/>
      <c r="P206" s="784"/>
      <c r="Q206" s="784"/>
    </row>
    <row r="207" customHeight="1" spans="1:17">
      <c r="A207" s="896">
        <v>205</v>
      </c>
      <c r="B207" s="897" t="s">
        <v>2559</v>
      </c>
      <c r="C207" s="897"/>
      <c r="D207" s="898" t="s">
        <v>2838</v>
      </c>
      <c r="E207" s="899" t="s">
        <v>2787</v>
      </c>
      <c r="F207" s="900">
        <f>EDU*2+APP*2</f>
        <v>0</v>
      </c>
      <c r="G207" s="901" t="s">
        <v>3333</v>
      </c>
      <c r="H207" s="812" t="s">
        <v>3334</v>
      </c>
      <c r="I207" s="812"/>
      <c r="J207" s="773"/>
      <c r="K207" s="825"/>
      <c r="L207" s="784"/>
      <c r="M207" s="825" t="s">
        <v>3335</v>
      </c>
      <c r="N207" s="784"/>
      <c r="O207" s="784"/>
      <c r="P207" s="784"/>
      <c r="Q207" s="784"/>
    </row>
    <row r="208" customHeight="1" spans="1:17">
      <c r="A208" s="902">
        <v>206</v>
      </c>
      <c r="B208" s="903" t="s">
        <v>2560</v>
      </c>
      <c r="C208" s="903"/>
      <c r="D208" s="904" t="s">
        <v>2882</v>
      </c>
      <c r="E208" s="905" t="s">
        <v>2801</v>
      </c>
      <c r="F208" s="906">
        <f>EDU*4</f>
        <v>0</v>
      </c>
      <c r="G208" s="907" t="s">
        <v>3336</v>
      </c>
      <c r="H208" s="812"/>
      <c r="I208" s="812"/>
      <c r="J208" s="773"/>
      <c r="K208" s="825"/>
      <c r="L208" s="784"/>
      <c r="M208" s="825" t="s">
        <v>3335</v>
      </c>
      <c r="N208" s="784"/>
      <c r="O208" s="784"/>
      <c r="P208" s="784"/>
      <c r="Q208" s="784"/>
    </row>
    <row r="209" customHeight="1" spans="1:17">
      <c r="A209" s="902">
        <v>207</v>
      </c>
      <c r="B209" s="903" t="s">
        <v>2561</v>
      </c>
      <c r="C209" s="903"/>
      <c r="D209" s="908" t="s">
        <v>3337</v>
      </c>
      <c r="E209" s="909" t="s">
        <v>3325</v>
      </c>
      <c r="F209" s="910">
        <f>EDU*2+MAX(EDU*2,APP*2)</f>
        <v>0</v>
      </c>
      <c r="G209" s="911" t="s">
        <v>3338</v>
      </c>
      <c r="H209" s="812"/>
      <c r="I209" s="812"/>
      <c r="J209" s="773"/>
      <c r="K209" s="825"/>
      <c r="L209" s="784"/>
      <c r="M209" s="825" t="s">
        <v>3335</v>
      </c>
      <c r="N209" s="784"/>
      <c r="O209" s="784"/>
      <c r="P209" s="784"/>
      <c r="Q209" s="784"/>
    </row>
    <row r="210" customHeight="1" spans="1:17">
      <c r="A210" s="902">
        <v>208</v>
      </c>
      <c r="B210" s="903" t="s">
        <v>2368</v>
      </c>
      <c r="C210" s="903"/>
      <c r="D210" s="904" t="s">
        <v>2805</v>
      </c>
      <c r="E210" s="905" t="s">
        <v>2826</v>
      </c>
      <c r="F210" s="906">
        <f>EDU*2+MAX(DEX*2,POW*2)</f>
        <v>0</v>
      </c>
      <c r="G210" s="907" t="s">
        <v>3339</v>
      </c>
      <c r="H210" s="812"/>
      <c r="I210" s="812"/>
      <c r="J210" s="773"/>
      <c r="K210" s="825"/>
      <c r="L210" s="784"/>
      <c r="M210" s="825" t="s">
        <v>3335</v>
      </c>
      <c r="N210" s="784"/>
      <c r="O210" s="784"/>
      <c r="P210" s="784"/>
      <c r="Q210" s="784"/>
    </row>
    <row r="211" customHeight="1" spans="1:17">
      <c r="A211" s="902">
        <v>209</v>
      </c>
      <c r="B211" s="903" t="s">
        <v>2562</v>
      </c>
      <c r="C211" s="903"/>
      <c r="D211" s="908" t="s">
        <v>2805</v>
      </c>
      <c r="E211" s="909" t="s">
        <v>2801</v>
      </c>
      <c r="F211" s="910">
        <f>EDU*4</f>
        <v>0</v>
      </c>
      <c r="G211" s="911" t="s">
        <v>3340</v>
      </c>
      <c r="H211" s="812"/>
      <c r="I211" s="812"/>
      <c r="J211" s="773"/>
      <c r="K211" s="825"/>
      <c r="L211" s="784"/>
      <c r="M211" s="825" t="s">
        <v>3335</v>
      </c>
      <c r="N211" s="784"/>
      <c r="O211" s="784"/>
      <c r="P211" s="784"/>
      <c r="Q211" s="784"/>
    </row>
    <row r="212" customHeight="1" spans="1:17">
      <c r="A212" s="902">
        <v>210</v>
      </c>
      <c r="B212" s="903" t="s">
        <v>2563</v>
      </c>
      <c r="C212" s="903"/>
      <c r="D212" s="904" t="s">
        <v>2924</v>
      </c>
      <c r="E212" s="905" t="s">
        <v>2878</v>
      </c>
      <c r="F212" s="906">
        <f>EDU*2+DEX*2</f>
        <v>0</v>
      </c>
      <c r="G212" s="907" t="s">
        <v>3341</v>
      </c>
      <c r="H212" s="812"/>
      <c r="I212" s="812"/>
      <c r="J212" s="773"/>
      <c r="K212" s="825"/>
      <c r="L212" s="784"/>
      <c r="M212" s="825" t="s">
        <v>3335</v>
      </c>
      <c r="N212" s="784"/>
      <c r="O212" s="784"/>
      <c r="P212" s="784"/>
      <c r="Q212" s="784"/>
    </row>
    <row r="213" customHeight="1" spans="1:17">
      <c r="A213" s="902">
        <v>211</v>
      </c>
      <c r="B213" s="903" t="s">
        <v>2564</v>
      </c>
      <c r="C213" s="903"/>
      <c r="D213" s="908" t="s">
        <v>3342</v>
      </c>
      <c r="E213" s="909" t="s">
        <v>2806</v>
      </c>
      <c r="F213" s="910">
        <f>EDU*2+MAX(APP*2,POW*2)</f>
        <v>0</v>
      </c>
      <c r="G213" s="911" t="s">
        <v>3343</v>
      </c>
      <c r="H213" s="823" t="s">
        <v>3202</v>
      </c>
      <c r="I213" s="823"/>
      <c r="J213" s="773"/>
      <c r="K213" s="825"/>
      <c r="L213" s="784"/>
      <c r="M213" s="825" t="s">
        <v>3335</v>
      </c>
      <c r="N213" s="784"/>
      <c r="O213" s="784"/>
      <c r="P213" s="784"/>
      <c r="Q213" s="784"/>
    </row>
    <row r="214" customHeight="1" spans="1:17">
      <c r="A214" s="902">
        <v>212</v>
      </c>
      <c r="B214" s="903" t="s">
        <v>2565</v>
      </c>
      <c r="C214" s="903"/>
      <c r="D214" s="904" t="s">
        <v>2800</v>
      </c>
      <c r="E214" s="905" t="s">
        <v>2801</v>
      </c>
      <c r="F214" s="906">
        <f>EDU*4</f>
        <v>0</v>
      </c>
      <c r="G214" s="907" t="s">
        <v>3344</v>
      </c>
      <c r="H214" s="823" t="s">
        <v>3345</v>
      </c>
      <c r="I214" s="823"/>
      <c r="J214" s="773"/>
      <c r="K214" s="825"/>
      <c r="L214" s="784"/>
      <c r="M214" s="825" t="s">
        <v>3335</v>
      </c>
      <c r="N214" s="784"/>
      <c r="O214" s="784"/>
      <c r="P214" s="784"/>
      <c r="Q214" s="784"/>
    </row>
    <row r="215" customHeight="1" spans="1:17">
      <c r="A215" s="902">
        <v>213</v>
      </c>
      <c r="B215" s="903" t="s">
        <v>2382</v>
      </c>
      <c r="C215" s="903"/>
      <c r="D215" s="908" t="s">
        <v>3044</v>
      </c>
      <c r="E215" s="909" t="s">
        <v>2796</v>
      </c>
      <c r="F215" s="910">
        <f>EDU*2+MAX(STR*2,DEX*2)</f>
        <v>0</v>
      </c>
      <c r="G215" s="911" t="s">
        <v>3346</v>
      </c>
      <c r="H215" s="766"/>
      <c r="I215" s="773"/>
      <c r="J215" s="773"/>
      <c r="K215" s="825"/>
      <c r="L215" s="784"/>
      <c r="M215" s="825" t="s">
        <v>3335</v>
      </c>
      <c r="N215" s="784"/>
      <c r="O215" s="784"/>
      <c r="P215" s="784"/>
      <c r="Q215" s="784"/>
    </row>
    <row r="216" customHeight="1" spans="1:17">
      <c r="A216" s="902">
        <v>214</v>
      </c>
      <c r="B216" s="903" t="s">
        <v>2566</v>
      </c>
      <c r="C216" s="903"/>
      <c r="D216" s="904" t="s">
        <v>2838</v>
      </c>
      <c r="E216" s="905" t="s">
        <v>2949</v>
      </c>
      <c r="F216" s="906">
        <f>EDU*2+MAX(DEX*2,APP*2,STR*2)</f>
        <v>0</v>
      </c>
      <c r="G216" s="907" t="s">
        <v>3347</v>
      </c>
      <c r="H216" s="766"/>
      <c r="I216" s="773"/>
      <c r="J216" s="773"/>
      <c r="K216" s="825"/>
      <c r="L216" s="784"/>
      <c r="M216" s="825" t="s">
        <v>3335</v>
      </c>
      <c r="N216" s="784"/>
      <c r="O216" s="784"/>
      <c r="P216" s="784"/>
      <c r="Q216" s="784"/>
    </row>
    <row r="217" customHeight="1" spans="1:17">
      <c r="A217" s="902">
        <v>215</v>
      </c>
      <c r="B217" s="903" t="s">
        <v>2567</v>
      </c>
      <c r="C217" s="903"/>
      <c r="D217" s="908" t="s">
        <v>2868</v>
      </c>
      <c r="E217" s="909" t="s">
        <v>2787</v>
      </c>
      <c r="F217" s="910">
        <f>EDU*2+APP*2</f>
        <v>0</v>
      </c>
      <c r="G217" s="911" t="s">
        <v>3348</v>
      </c>
      <c r="H217" s="766"/>
      <c r="I217" s="773"/>
      <c r="J217" s="773"/>
      <c r="K217" s="825"/>
      <c r="L217" s="784"/>
      <c r="M217" s="825" t="s">
        <v>3335</v>
      </c>
      <c r="N217" s="784"/>
      <c r="O217" s="784"/>
      <c r="P217" s="784"/>
      <c r="Q217" s="784"/>
    </row>
    <row r="218" customHeight="1" spans="1:17">
      <c r="A218" s="902">
        <v>216</v>
      </c>
      <c r="B218" s="903" t="s">
        <v>2407</v>
      </c>
      <c r="C218" s="903"/>
      <c r="D218" s="904" t="s">
        <v>2805</v>
      </c>
      <c r="E218" s="905" t="s">
        <v>2806</v>
      </c>
      <c r="F218" s="906">
        <f>EDU*2+MAX(APP*2,POW*2)</f>
        <v>0</v>
      </c>
      <c r="G218" s="907" t="s">
        <v>3349</v>
      </c>
      <c r="H218" s="766"/>
      <c r="I218" s="773"/>
      <c r="J218" s="773"/>
      <c r="K218" s="825"/>
      <c r="L218" s="784"/>
      <c r="M218" s="825" t="s">
        <v>3335</v>
      </c>
      <c r="N218" s="784"/>
      <c r="O218" s="784"/>
      <c r="P218" s="784"/>
      <c r="Q218" s="784"/>
    </row>
    <row r="219" customHeight="1" spans="1:17">
      <c r="A219" s="902">
        <v>217</v>
      </c>
      <c r="B219" s="903" t="s">
        <v>2568</v>
      </c>
      <c r="C219" s="903"/>
      <c r="D219" s="908" t="s">
        <v>3350</v>
      </c>
      <c r="E219" s="909" t="s">
        <v>2801</v>
      </c>
      <c r="F219" s="910">
        <f>EDU*4</f>
        <v>0</v>
      </c>
      <c r="G219" s="911" t="s">
        <v>3351</v>
      </c>
      <c r="H219" s="766"/>
      <c r="I219" s="773"/>
      <c r="J219" s="773"/>
      <c r="K219" s="825"/>
      <c r="L219" s="784"/>
      <c r="M219" s="825" t="s">
        <v>3335</v>
      </c>
      <c r="N219" s="784"/>
      <c r="O219" s="784"/>
      <c r="P219" s="784"/>
      <c r="Q219" s="784"/>
    </row>
    <row r="220" customHeight="1" spans="1:17">
      <c r="A220" s="902">
        <v>218</v>
      </c>
      <c r="B220" s="903" t="s">
        <v>2569</v>
      </c>
      <c r="C220" s="903"/>
      <c r="D220" s="904" t="s">
        <v>3352</v>
      </c>
      <c r="E220" s="905" t="s">
        <v>2949</v>
      </c>
      <c r="F220" s="906">
        <f>EDU*2+MAX(DEX*2,APP*2,STR*2)</f>
        <v>0</v>
      </c>
      <c r="G220" s="907" t="s">
        <v>3353</v>
      </c>
      <c r="H220" s="766"/>
      <c r="I220" s="773"/>
      <c r="J220" s="773"/>
      <c r="K220" s="825"/>
      <c r="L220" s="784"/>
      <c r="M220" s="825" t="s">
        <v>3335</v>
      </c>
      <c r="N220" s="784"/>
      <c r="O220" s="784"/>
      <c r="P220" s="784"/>
      <c r="Q220" s="784"/>
    </row>
    <row r="221" customHeight="1" spans="1:17">
      <c r="A221" s="902">
        <v>219</v>
      </c>
      <c r="B221" s="903" t="s">
        <v>2446</v>
      </c>
      <c r="C221" s="903"/>
      <c r="D221" s="908" t="s">
        <v>2786</v>
      </c>
      <c r="E221" s="909" t="s">
        <v>3011</v>
      </c>
      <c r="F221" s="910">
        <f>EDU*2+MAX(DEX*2,APP*2)</f>
        <v>0</v>
      </c>
      <c r="G221" s="911" t="s">
        <v>3354</v>
      </c>
      <c r="H221" s="766"/>
      <c r="I221" s="773"/>
      <c r="J221" s="773"/>
      <c r="K221" s="825"/>
      <c r="L221" s="784"/>
      <c r="M221" s="825" t="s">
        <v>3335</v>
      </c>
      <c r="N221" s="784"/>
      <c r="O221" s="784"/>
      <c r="P221" s="784"/>
      <c r="Q221" s="784"/>
    </row>
    <row r="222" customHeight="1" spans="1:17">
      <c r="A222" s="902">
        <v>220</v>
      </c>
      <c r="B222" s="903" t="s">
        <v>2570</v>
      </c>
      <c r="C222" s="903"/>
      <c r="D222" s="904" t="s">
        <v>2838</v>
      </c>
      <c r="E222" s="905" t="s">
        <v>3011</v>
      </c>
      <c r="F222" s="906">
        <f>EDU*2+MAX(DEX*2,APP*2)</f>
        <v>0</v>
      </c>
      <c r="G222" s="907" t="s">
        <v>3355</v>
      </c>
      <c r="H222" s="766"/>
      <c r="I222" s="773"/>
      <c r="J222" s="773"/>
      <c r="K222" s="825"/>
      <c r="L222" s="784"/>
      <c r="M222" s="825" t="s">
        <v>3335</v>
      </c>
      <c r="N222" s="784"/>
      <c r="O222" s="784"/>
      <c r="P222" s="784"/>
      <c r="Q222" s="784"/>
    </row>
    <row r="223" customHeight="1" spans="1:17">
      <c r="A223" s="902">
        <v>221</v>
      </c>
      <c r="B223" s="903" t="s">
        <v>2571</v>
      </c>
      <c r="C223" s="903"/>
      <c r="D223" s="908" t="s">
        <v>3110</v>
      </c>
      <c r="E223" s="909" t="s">
        <v>2859</v>
      </c>
      <c r="F223" s="910">
        <f>EDU*2+STR*2</f>
        <v>0</v>
      </c>
      <c r="G223" s="907" t="s">
        <v>3356</v>
      </c>
      <c r="H223" s="766"/>
      <c r="I223" s="773"/>
      <c r="J223" s="773"/>
      <c r="K223" s="825"/>
      <c r="L223" s="784"/>
      <c r="M223" s="825" t="s">
        <v>3335</v>
      </c>
      <c r="N223" s="784"/>
      <c r="O223" s="925"/>
      <c r="P223" s="925"/>
      <c r="Q223" s="925"/>
    </row>
    <row r="224" customHeight="1" spans="1:17">
      <c r="A224" s="902">
        <v>222</v>
      </c>
      <c r="B224" s="903" t="s">
        <v>2427</v>
      </c>
      <c r="C224" s="903"/>
      <c r="D224" s="904" t="s">
        <v>3176</v>
      </c>
      <c r="E224" s="905" t="s">
        <v>2801</v>
      </c>
      <c r="F224" s="906">
        <f>EDU*4</f>
        <v>0</v>
      </c>
      <c r="G224" s="907" t="s">
        <v>3357</v>
      </c>
      <c r="H224" s="766"/>
      <c r="I224" s="773"/>
      <c r="J224" s="773"/>
      <c r="K224" s="825"/>
      <c r="L224" s="784"/>
      <c r="M224" s="825" t="s">
        <v>3335</v>
      </c>
      <c r="N224" s="784"/>
      <c r="O224" s="925"/>
      <c r="P224" s="925"/>
      <c r="Q224" s="925"/>
    </row>
    <row r="225" customHeight="1" spans="1:17">
      <c r="A225" s="902">
        <v>223</v>
      </c>
      <c r="B225" s="903" t="s">
        <v>2572</v>
      </c>
      <c r="C225" s="903"/>
      <c r="D225" s="908" t="s">
        <v>2776</v>
      </c>
      <c r="E225" s="909" t="s">
        <v>2801</v>
      </c>
      <c r="F225" s="910">
        <f>EDU*4</f>
        <v>0</v>
      </c>
      <c r="G225" s="911" t="s">
        <v>3358</v>
      </c>
      <c r="H225" s="766"/>
      <c r="I225" s="773"/>
      <c r="J225" s="773"/>
      <c r="K225" s="825"/>
      <c r="L225" s="784"/>
      <c r="M225" s="825" t="s">
        <v>3335</v>
      </c>
      <c r="N225" s="784"/>
      <c r="O225" s="784"/>
      <c r="P225" s="784"/>
      <c r="Q225" s="784"/>
    </row>
    <row r="226" customHeight="1" spans="1:17">
      <c r="A226" s="902">
        <v>224</v>
      </c>
      <c r="B226" s="903" t="s">
        <v>2573</v>
      </c>
      <c r="C226" s="903"/>
      <c r="D226" s="904" t="s">
        <v>2838</v>
      </c>
      <c r="E226" s="905" t="s">
        <v>2796</v>
      </c>
      <c r="F226" s="906">
        <f>EDU*2+MAX(STR*2,DEX*2)</f>
        <v>0</v>
      </c>
      <c r="G226" s="907" t="s">
        <v>3359</v>
      </c>
      <c r="H226" s="766"/>
      <c r="I226" s="773"/>
      <c r="J226" s="773"/>
      <c r="K226" s="825"/>
      <c r="L226" s="784"/>
      <c r="M226" s="825" t="s">
        <v>3335</v>
      </c>
      <c r="N226" s="784"/>
      <c r="O226" s="784"/>
      <c r="P226" s="784"/>
      <c r="Q226" s="784"/>
    </row>
    <row r="227" customHeight="1" spans="1:17">
      <c r="A227" s="902">
        <v>225</v>
      </c>
      <c r="B227" s="903" t="s">
        <v>2574</v>
      </c>
      <c r="C227" s="903"/>
      <c r="D227" s="908" t="s">
        <v>2846</v>
      </c>
      <c r="E227" s="909" t="s">
        <v>2801</v>
      </c>
      <c r="F227" s="910">
        <f>EDU*4</f>
        <v>0</v>
      </c>
      <c r="G227" s="911" t="s">
        <v>3360</v>
      </c>
      <c r="H227" s="766"/>
      <c r="I227" s="773"/>
      <c r="J227" s="773"/>
      <c r="K227" s="825"/>
      <c r="L227" s="784"/>
      <c r="M227" s="825" t="s">
        <v>3335</v>
      </c>
      <c r="N227" s="784"/>
      <c r="O227" s="784"/>
      <c r="P227" s="784"/>
      <c r="Q227" s="784"/>
    </row>
    <row r="228" customHeight="1" spans="1:17">
      <c r="A228" s="902">
        <v>226</v>
      </c>
      <c r="B228" s="903" t="s">
        <v>2456</v>
      </c>
      <c r="C228" s="903"/>
      <c r="D228" s="904" t="s">
        <v>2800</v>
      </c>
      <c r="E228" s="905" t="s">
        <v>2801</v>
      </c>
      <c r="F228" s="906">
        <f>EDU*4</f>
        <v>0</v>
      </c>
      <c r="G228" s="907" t="s">
        <v>3361</v>
      </c>
      <c r="H228" s="766"/>
      <c r="I228" s="773"/>
      <c r="J228" s="773"/>
      <c r="K228" s="825"/>
      <c r="L228" s="784"/>
      <c r="M228" s="825" t="s">
        <v>3335</v>
      </c>
      <c r="N228" s="784"/>
      <c r="O228" s="784"/>
      <c r="P228" s="784"/>
      <c r="Q228" s="784"/>
    </row>
    <row r="229" customHeight="1" spans="1:17">
      <c r="A229" s="902">
        <v>227</v>
      </c>
      <c r="B229" s="903" t="s">
        <v>2575</v>
      </c>
      <c r="C229" s="903"/>
      <c r="D229" s="908" t="s">
        <v>3110</v>
      </c>
      <c r="E229" s="909" t="s">
        <v>3011</v>
      </c>
      <c r="F229" s="910">
        <f>EDU*2+MAX(APP*2,DEX*2)</f>
        <v>0</v>
      </c>
      <c r="G229" s="911" t="s">
        <v>3362</v>
      </c>
      <c r="H229" s="766"/>
      <c r="I229" s="773"/>
      <c r="J229" s="773"/>
      <c r="K229" s="825"/>
      <c r="L229" s="784"/>
      <c r="M229" s="825" t="s">
        <v>3335</v>
      </c>
      <c r="N229" s="784"/>
      <c r="O229" s="784"/>
      <c r="P229" s="784"/>
      <c r="Q229" s="784"/>
    </row>
    <row r="230" customHeight="1" spans="1:17">
      <c r="A230" s="902">
        <v>228</v>
      </c>
      <c r="B230" s="903" t="s">
        <v>2576</v>
      </c>
      <c r="C230" s="903"/>
      <c r="D230" s="904" t="s">
        <v>2838</v>
      </c>
      <c r="E230" s="905" t="s">
        <v>3011</v>
      </c>
      <c r="F230" s="906">
        <f>EDU*2+MAX(APP*2,DEX*2)</f>
        <v>0</v>
      </c>
      <c r="G230" s="907" t="s">
        <v>3363</v>
      </c>
      <c r="H230" s="766"/>
      <c r="I230" s="773"/>
      <c r="J230" s="773"/>
      <c r="K230" s="825"/>
      <c r="L230" s="784"/>
      <c r="M230" s="825" t="s">
        <v>3335</v>
      </c>
      <c r="N230" s="784"/>
      <c r="O230" s="784"/>
      <c r="P230" s="784"/>
      <c r="Q230" s="784"/>
    </row>
    <row r="231" customHeight="1" spans="1:17">
      <c r="A231" s="902">
        <v>229</v>
      </c>
      <c r="B231" s="903" t="s">
        <v>2577</v>
      </c>
      <c r="C231" s="903"/>
      <c r="D231" s="908" t="s">
        <v>2838</v>
      </c>
      <c r="E231" s="909" t="s">
        <v>2796</v>
      </c>
      <c r="F231" s="910">
        <f>EDU*2+MAX(STR*2,DEX*2)</f>
        <v>0</v>
      </c>
      <c r="G231" s="911" t="s">
        <v>3364</v>
      </c>
      <c r="H231" s="766"/>
      <c r="I231" s="773"/>
      <c r="J231" s="773"/>
      <c r="K231" s="825"/>
      <c r="L231" s="784"/>
      <c r="M231" s="825" t="s">
        <v>3335</v>
      </c>
      <c r="N231" s="784"/>
      <c r="O231" s="784"/>
      <c r="P231" s="784"/>
      <c r="Q231" s="784"/>
    </row>
    <row r="232" customHeight="1" spans="1:17">
      <c r="A232" s="912">
        <v>230</v>
      </c>
      <c r="B232" s="913" t="s">
        <v>2578</v>
      </c>
      <c r="C232" s="913"/>
      <c r="D232" s="914" t="s">
        <v>2776</v>
      </c>
      <c r="E232" s="915" t="s">
        <v>3011</v>
      </c>
      <c r="F232" s="916">
        <f>EDU*2+MAX(APP*2,DEX*2)</f>
        <v>0</v>
      </c>
      <c r="G232" s="917" t="s">
        <v>3365</v>
      </c>
      <c r="H232" s="766"/>
      <c r="I232" s="773"/>
      <c r="J232" s="773"/>
      <c r="K232" s="825"/>
      <c r="L232" s="784"/>
      <c r="M232" s="825" t="s">
        <v>3335</v>
      </c>
      <c r="N232" s="784"/>
      <c r="O232" s="784"/>
      <c r="P232" s="784"/>
      <c r="Q232" s="784"/>
    </row>
    <row r="233" customFormat="1" customHeight="1" spans="1:17">
      <c r="A233" s="918">
        <v>231</v>
      </c>
      <c r="B233" s="919" t="s">
        <v>2579</v>
      </c>
      <c r="C233" s="919"/>
      <c r="D233" s="920" t="s">
        <v>3026</v>
      </c>
      <c r="E233" s="921" t="s">
        <v>2801</v>
      </c>
      <c r="F233" s="922">
        <f>EDU*4</f>
        <v>0</v>
      </c>
      <c r="G233" s="923" t="s">
        <v>3366</v>
      </c>
      <c r="H233" s="3"/>
      <c r="I233" s="766"/>
      <c r="J233" s="773"/>
      <c r="K233" s="773"/>
      <c r="L233" s="773"/>
      <c r="M233" s="773" t="s">
        <v>3367</v>
      </c>
      <c r="N233" s="767"/>
      <c r="O233" s="767"/>
      <c r="P233" s="767"/>
      <c r="Q233" s="767"/>
    </row>
    <row r="234" customFormat="1" customHeight="1" spans="1:17">
      <c r="A234" s="918">
        <v>232</v>
      </c>
      <c r="B234" s="919" t="s">
        <v>2580</v>
      </c>
      <c r="C234" s="919"/>
      <c r="D234" s="920" t="s">
        <v>2846</v>
      </c>
      <c r="E234" s="921" t="s">
        <v>3368</v>
      </c>
      <c r="F234" s="922">
        <f>EDU*2+APP*2</f>
        <v>0</v>
      </c>
      <c r="G234" s="923" t="s">
        <v>3369</v>
      </c>
      <c r="H234" s="3"/>
      <c r="I234" s="766"/>
      <c r="J234" s="773"/>
      <c r="K234" s="773"/>
      <c r="L234" s="773"/>
      <c r="M234" s="773" t="s">
        <v>3370</v>
      </c>
      <c r="N234" s="767"/>
      <c r="O234" s="767"/>
      <c r="P234" s="767"/>
      <c r="Q234" s="767"/>
    </row>
    <row r="235" customFormat="1" customHeight="1" spans="1:17">
      <c r="A235" s="918">
        <v>233</v>
      </c>
      <c r="B235" s="919" t="s">
        <v>2581</v>
      </c>
      <c r="C235" s="919"/>
      <c r="D235" s="920" t="s">
        <v>2776</v>
      </c>
      <c r="E235" s="921" t="s">
        <v>3371</v>
      </c>
      <c r="F235" s="922">
        <f>EDU*2+INT*2</f>
        <v>0</v>
      </c>
      <c r="G235" s="923" t="s">
        <v>3372</v>
      </c>
      <c r="H235" s="3"/>
      <c r="I235" s="766"/>
      <c r="J235" s="773"/>
      <c r="K235" s="773"/>
      <c r="L235" s="773"/>
      <c r="M235" s="773" t="s">
        <v>3373</v>
      </c>
      <c r="N235" s="767"/>
      <c r="O235" s="767"/>
      <c r="P235" s="767"/>
      <c r="Q235" s="767"/>
    </row>
    <row r="236" customFormat="1" customHeight="1" spans="1:17">
      <c r="A236" s="924">
        <v>234</v>
      </c>
      <c r="B236" s="919" t="s">
        <v>2582</v>
      </c>
      <c r="C236" s="919"/>
      <c r="D236" s="920" t="s">
        <v>2846</v>
      </c>
      <c r="E236" s="921" t="s">
        <v>3374</v>
      </c>
      <c r="F236" s="922">
        <f>EDU*2+DEX*2</f>
        <v>0</v>
      </c>
      <c r="G236" s="923" t="s">
        <v>3375</v>
      </c>
      <c r="H236" s="3"/>
      <c r="I236" s="766"/>
      <c r="J236" s="773"/>
      <c r="K236" s="773"/>
      <c r="L236" s="773"/>
      <c r="M236" s="773" t="s">
        <v>3376</v>
      </c>
      <c r="N236" s="767"/>
      <c r="O236" s="767"/>
      <c r="P236" s="767"/>
      <c r="Q236" s="767"/>
    </row>
    <row r="237" customFormat="1" customHeight="1" spans="1:17">
      <c r="A237" s="918">
        <v>235</v>
      </c>
      <c r="B237" s="919" t="s">
        <v>2583</v>
      </c>
      <c r="C237" s="919"/>
      <c r="D237" s="920" t="s">
        <v>2786</v>
      </c>
      <c r="E237" s="921" t="s">
        <v>3368</v>
      </c>
      <c r="F237" s="922">
        <f>EDU*2+APP*2</f>
        <v>0</v>
      </c>
      <c r="G237" s="923" t="s">
        <v>3377</v>
      </c>
      <c r="H237" s="3"/>
      <c r="I237" s="766"/>
      <c r="J237" s="773"/>
      <c r="K237" s="773"/>
      <c r="L237" s="773"/>
      <c r="M237" s="773" t="s">
        <v>3378</v>
      </c>
      <c r="N237" s="767"/>
      <c r="O237" s="767"/>
      <c r="P237" s="767"/>
      <c r="Q237" s="767"/>
    </row>
    <row r="238" customFormat="1" customHeight="1" spans="1:17">
      <c r="A238" s="918">
        <v>236</v>
      </c>
      <c r="B238" s="919" t="s">
        <v>2584</v>
      </c>
      <c r="C238" s="919"/>
      <c r="D238" s="920" t="s">
        <v>2805</v>
      </c>
      <c r="E238" s="921" t="s">
        <v>3379</v>
      </c>
      <c r="F238" s="922">
        <f>EDU*2+POW*2</f>
        <v>0</v>
      </c>
      <c r="G238" s="923" t="s">
        <v>3380</v>
      </c>
      <c r="H238" s="3"/>
      <c r="I238" s="766"/>
      <c r="J238" s="773"/>
      <c r="K238" s="773"/>
      <c r="L238" s="773"/>
      <c r="M238" s="773" t="s">
        <v>3381</v>
      </c>
      <c r="N238" s="767"/>
      <c r="O238" s="767"/>
      <c r="P238" s="767"/>
      <c r="Q238" s="767"/>
    </row>
    <row r="239" customFormat="1" customHeight="1" spans="1:17">
      <c r="A239" s="918">
        <v>237</v>
      </c>
      <c r="B239" s="919" t="s">
        <v>2585</v>
      </c>
      <c r="C239" s="919"/>
      <c r="D239" s="920" t="s">
        <v>2838</v>
      </c>
      <c r="E239" s="921" t="s">
        <v>3382</v>
      </c>
      <c r="F239" s="922">
        <f>EDU*2+STR*2</f>
        <v>0</v>
      </c>
      <c r="G239" s="923" t="s">
        <v>3383</v>
      </c>
      <c r="H239" s="3"/>
      <c r="I239" s="766"/>
      <c r="J239" s="773"/>
      <c r="K239" s="773"/>
      <c r="L239" s="773"/>
      <c r="M239" s="773" t="s">
        <v>3384</v>
      </c>
      <c r="N239" s="767"/>
      <c r="O239" s="767"/>
      <c r="P239" s="767"/>
      <c r="Q239" s="767"/>
    </row>
    <row r="240" customFormat="1" customHeight="1" spans="1:17">
      <c r="A240" s="924">
        <v>238</v>
      </c>
      <c r="B240" s="919" t="s">
        <v>2586</v>
      </c>
      <c r="C240" s="919"/>
      <c r="D240" s="920" t="s">
        <v>2776</v>
      </c>
      <c r="E240" s="921" t="s">
        <v>3368</v>
      </c>
      <c r="F240" s="922">
        <f>EDU*2+APP*2</f>
        <v>0</v>
      </c>
      <c r="G240" s="923" t="s">
        <v>3385</v>
      </c>
      <c r="H240" s="3"/>
      <c r="I240" s="766"/>
      <c r="J240" s="773"/>
      <c r="K240" s="773"/>
      <c r="L240" s="773"/>
      <c r="M240" s="773" t="s">
        <v>3386</v>
      </c>
      <c r="N240" s="767"/>
      <c r="O240" s="767"/>
      <c r="P240" s="767"/>
      <c r="Q240" s="767"/>
    </row>
    <row r="241" customFormat="1" customHeight="1" spans="1:17">
      <c r="A241" s="918">
        <v>239</v>
      </c>
      <c r="B241" s="919" t="s">
        <v>2587</v>
      </c>
      <c r="C241" s="919"/>
      <c r="D241" s="920" t="s">
        <v>3387</v>
      </c>
      <c r="E241" s="921" t="s">
        <v>2801</v>
      </c>
      <c r="F241" s="922">
        <f>EDU*4</f>
        <v>0</v>
      </c>
      <c r="G241" s="923" t="s">
        <v>3388</v>
      </c>
      <c r="H241" s="3"/>
      <c r="I241" s="766"/>
      <c r="J241" s="773"/>
      <c r="K241" s="773"/>
      <c r="L241" s="773"/>
      <c r="M241" s="773" t="s">
        <v>3389</v>
      </c>
      <c r="N241" s="767"/>
      <c r="O241" s="767"/>
      <c r="P241" s="767"/>
      <c r="Q241" s="767"/>
    </row>
    <row r="242" customFormat="1" customHeight="1" spans="1:17">
      <c r="A242" s="918">
        <v>240</v>
      </c>
      <c r="B242" s="919" t="s">
        <v>2588</v>
      </c>
      <c r="C242" s="919"/>
      <c r="D242" s="920" t="s">
        <v>2916</v>
      </c>
      <c r="E242" s="921" t="s">
        <v>2801</v>
      </c>
      <c r="F242" s="922">
        <f>EDU*4</f>
        <v>0</v>
      </c>
      <c r="G242" s="923" t="s">
        <v>3390</v>
      </c>
      <c r="H242" s="3"/>
      <c r="I242" s="766"/>
      <c r="J242" s="773"/>
      <c r="K242" s="773"/>
      <c r="L242" s="773"/>
      <c r="M242" s="773" t="s">
        <v>3391</v>
      </c>
      <c r="N242" s="767"/>
      <c r="O242" s="767"/>
      <c r="P242" s="767"/>
      <c r="Q242" s="767"/>
    </row>
    <row r="243" customFormat="1" customHeight="1" spans="1:17">
      <c r="A243" s="918">
        <v>241</v>
      </c>
      <c r="B243" s="919" t="s">
        <v>2589</v>
      </c>
      <c r="C243" s="919"/>
      <c r="D243" s="920" t="s">
        <v>2776</v>
      </c>
      <c r="E243" s="921" t="s">
        <v>2801</v>
      </c>
      <c r="F243" s="922">
        <f>EDU*4</f>
        <v>0</v>
      </c>
      <c r="G243" s="923" t="s">
        <v>3392</v>
      </c>
      <c r="H243" s="3"/>
      <c r="I243" s="766"/>
      <c r="J243" s="773"/>
      <c r="K243" s="773"/>
      <c r="L243" s="773"/>
      <c r="M243" s="773" t="s">
        <v>3393</v>
      </c>
      <c r="N243" s="767"/>
      <c r="O243" s="767"/>
      <c r="P243" s="767"/>
      <c r="Q243" s="767"/>
    </row>
    <row r="244" customFormat="1" customHeight="1" spans="1:17">
      <c r="A244" s="924">
        <v>242</v>
      </c>
      <c r="B244" s="919" t="s">
        <v>2590</v>
      </c>
      <c r="C244" s="919"/>
      <c r="D244" s="920" t="s">
        <v>2916</v>
      </c>
      <c r="E244" s="921" t="s">
        <v>3368</v>
      </c>
      <c r="F244" s="922">
        <f>EDU*2+APP*2</f>
        <v>0</v>
      </c>
      <c r="G244" s="923" t="s">
        <v>3394</v>
      </c>
      <c r="H244" s="3"/>
      <c r="I244" s="766"/>
      <c r="J244" s="773"/>
      <c r="K244" s="773"/>
      <c r="L244" s="773"/>
      <c r="M244" s="773" t="s">
        <v>3395</v>
      </c>
      <c r="N244" s="767"/>
      <c r="O244" s="767"/>
      <c r="P244" s="767"/>
      <c r="Q244" s="767"/>
    </row>
    <row r="245" customFormat="1" customHeight="1" spans="1:17">
      <c r="A245" s="918">
        <v>243</v>
      </c>
      <c r="B245" s="919" t="s">
        <v>2591</v>
      </c>
      <c r="C245" s="919"/>
      <c r="D245" s="920" t="s">
        <v>2966</v>
      </c>
      <c r="E245" s="921" t="s">
        <v>2801</v>
      </c>
      <c r="F245" s="922">
        <f>EDU*4</f>
        <v>0</v>
      </c>
      <c r="G245" s="923" t="s">
        <v>3396</v>
      </c>
      <c r="H245" s="3"/>
      <c r="I245" s="766"/>
      <c r="J245" s="773"/>
      <c r="K245" s="773"/>
      <c r="L245" s="773"/>
      <c r="M245" s="773" t="s">
        <v>3397</v>
      </c>
      <c r="N245" s="767"/>
      <c r="O245" s="767"/>
      <c r="P245" s="767"/>
      <c r="Q245" s="767"/>
    </row>
    <row r="246" customFormat="1" customHeight="1" spans="1:17">
      <c r="A246" s="918">
        <v>244</v>
      </c>
      <c r="B246" s="919" t="s">
        <v>2592</v>
      </c>
      <c r="C246" s="919"/>
      <c r="D246" s="920" t="s">
        <v>2825</v>
      </c>
      <c r="E246" s="921" t="s">
        <v>3374</v>
      </c>
      <c r="F246" s="922">
        <f>EDU*2+DEX*2</f>
        <v>0</v>
      </c>
      <c r="G246" s="923" t="s">
        <v>3398</v>
      </c>
      <c r="H246" s="3"/>
      <c r="I246" s="766"/>
      <c r="J246" s="773"/>
      <c r="K246" s="773"/>
      <c r="L246" s="773"/>
      <c r="M246" s="773" t="s">
        <v>3399</v>
      </c>
      <c r="N246" s="767"/>
      <c r="O246" s="767"/>
      <c r="P246" s="767"/>
      <c r="Q246" s="767"/>
    </row>
    <row r="247" customFormat="1" customHeight="1" spans="1:17">
      <c r="A247" s="918">
        <v>245</v>
      </c>
      <c r="B247" s="919" t="s">
        <v>2593</v>
      </c>
      <c r="C247" s="919"/>
      <c r="D247" s="920" t="s">
        <v>2846</v>
      </c>
      <c r="E247" s="921" t="s">
        <v>2801</v>
      </c>
      <c r="F247" s="922">
        <f>EDU*4</f>
        <v>0</v>
      </c>
      <c r="G247" s="923" t="s">
        <v>3400</v>
      </c>
      <c r="H247" s="3"/>
      <c r="I247" s="766"/>
      <c r="J247" s="773"/>
      <c r="K247" s="773"/>
      <c r="L247" s="773"/>
      <c r="M247" s="773" t="s">
        <v>3401</v>
      </c>
      <c r="N247" s="767"/>
      <c r="O247" s="767"/>
      <c r="P247" s="767"/>
      <c r="Q247" s="767"/>
    </row>
    <row r="248" customFormat="1" customHeight="1" spans="1:17">
      <c r="A248" s="924">
        <v>246</v>
      </c>
      <c r="B248" s="919" t="s">
        <v>2594</v>
      </c>
      <c r="C248" s="919"/>
      <c r="D248" s="920" t="s">
        <v>2825</v>
      </c>
      <c r="E248" s="921" t="s">
        <v>3382</v>
      </c>
      <c r="F248" s="922">
        <f>EDU*2+STR*2</f>
        <v>0</v>
      </c>
      <c r="G248" s="923" t="s">
        <v>3402</v>
      </c>
      <c r="H248" s="3"/>
      <c r="I248" s="766"/>
      <c r="J248" s="773"/>
      <c r="K248" s="773"/>
      <c r="L248" s="773"/>
      <c r="M248" s="773" t="s">
        <v>3403</v>
      </c>
      <c r="N248" s="767"/>
      <c r="O248" s="767"/>
      <c r="P248" s="767"/>
      <c r="Q248" s="767"/>
    </row>
    <row r="249" customFormat="1" customHeight="1" spans="1:17">
      <c r="A249" s="918">
        <v>247</v>
      </c>
      <c r="B249" s="919" t="s">
        <v>2595</v>
      </c>
      <c r="C249" s="919"/>
      <c r="D249" s="920" t="s">
        <v>2916</v>
      </c>
      <c r="E249" s="921" t="s">
        <v>2801</v>
      </c>
      <c r="F249" s="922">
        <f>EDU*4</f>
        <v>0</v>
      </c>
      <c r="G249" s="923" t="s">
        <v>3404</v>
      </c>
      <c r="H249" s="3"/>
      <c r="I249" s="766"/>
      <c r="J249" s="773"/>
      <c r="K249" s="773"/>
      <c r="L249" s="773"/>
      <c r="M249" s="773" t="s">
        <v>3405</v>
      </c>
      <c r="N249" s="767"/>
      <c r="O249" s="767"/>
      <c r="P249" s="767"/>
      <c r="Q249" s="767"/>
    </row>
    <row r="250" customFormat="1" customHeight="1" spans="1:17">
      <c r="A250" s="918">
        <v>248</v>
      </c>
      <c r="B250" s="919" t="s">
        <v>2596</v>
      </c>
      <c r="C250" s="919"/>
      <c r="D250" s="920" t="s">
        <v>3387</v>
      </c>
      <c r="E250" s="921" t="s">
        <v>2801</v>
      </c>
      <c r="F250" s="922">
        <f>EDU*4</f>
        <v>0</v>
      </c>
      <c r="G250" s="923" t="s">
        <v>3406</v>
      </c>
      <c r="H250" s="3"/>
      <c r="I250" s="766"/>
      <c r="J250" s="773"/>
      <c r="K250" s="773"/>
      <c r="L250" s="773"/>
      <c r="M250" s="773" t="s">
        <v>3407</v>
      </c>
      <c r="N250" s="767"/>
      <c r="O250" s="767"/>
      <c r="P250" s="767"/>
      <c r="Q250" s="767"/>
    </row>
    <row r="251" customFormat="1" customHeight="1" spans="1:17">
      <c r="A251" s="918">
        <v>249</v>
      </c>
      <c r="B251" s="919" t="s">
        <v>2597</v>
      </c>
      <c r="C251" s="919"/>
      <c r="D251" s="920" t="s">
        <v>2786</v>
      </c>
      <c r="E251" s="921" t="s">
        <v>2801</v>
      </c>
      <c r="F251" s="922">
        <f>EDU*4</f>
        <v>0</v>
      </c>
      <c r="G251" s="923" t="s">
        <v>3408</v>
      </c>
      <c r="H251" s="3"/>
      <c r="I251" s="766"/>
      <c r="J251" s="773"/>
      <c r="K251" s="773"/>
      <c r="L251" s="773"/>
      <c r="M251" s="773" t="s">
        <v>3409</v>
      </c>
      <c r="N251" s="767"/>
      <c r="O251" s="767"/>
      <c r="P251" s="767"/>
      <c r="Q251" s="767"/>
    </row>
    <row r="252" customFormat="1" customHeight="1" spans="1:17">
      <c r="A252" s="924">
        <v>250</v>
      </c>
      <c r="B252" s="919" t="s">
        <v>2598</v>
      </c>
      <c r="C252" s="919"/>
      <c r="D252" s="920" t="s">
        <v>2776</v>
      </c>
      <c r="E252" s="921" t="s">
        <v>2801</v>
      </c>
      <c r="F252" s="922">
        <f>EDU*4</f>
        <v>0</v>
      </c>
      <c r="G252" s="923" t="s">
        <v>3410</v>
      </c>
      <c r="H252" s="3"/>
      <c r="I252" s="766"/>
      <c r="J252" s="773"/>
      <c r="K252" s="773"/>
      <c r="L252" s="773"/>
      <c r="M252" s="773" t="s">
        <v>3411</v>
      </c>
      <c r="N252" s="767"/>
      <c r="O252" s="767"/>
      <c r="P252" s="767"/>
      <c r="Q252" s="767"/>
    </row>
    <row r="253" customFormat="1" customHeight="1" spans="1:17">
      <c r="A253" s="918">
        <v>251</v>
      </c>
      <c r="B253" s="919" t="s">
        <v>2599</v>
      </c>
      <c r="C253" s="919"/>
      <c r="D253" s="920" t="s">
        <v>2944</v>
      </c>
      <c r="E253" s="921" t="s">
        <v>3368</v>
      </c>
      <c r="F253" s="922">
        <f>EDU*2+APP*2</f>
        <v>0</v>
      </c>
      <c r="G253" s="923" t="s">
        <v>3412</v>
      </c>
      <c r="H253" s="3"/>
      <c r="I253" s="766"/>
      <c r="J253" s="773"/>
      <c r="K253" s="773"/>
      <c r="L253" s="773"/>
      <c r="M253" s="773" t="s">
        <v>3413</v>
      </c>
      <c r="N253" s="767"/>
      <c r="O253" s="767"/>
      <c r="P253" s="767"/>
      <c r="Q253" s="767"/>
    </row>
    <row r="254" customFormat="1" customHeight="1" spans="1:17">
      <c r="A254" s="918">
        <v>252</v>
      </c>
      <c r="B254" s="919" t="s">
        <v>2600</v>
      </c>
      <c r="C254" s="919"/>
      <c r="D254" s="920" t="s">
        <v>2776</v>
      </c>
      <c r="E254" s="921" t="s">
        <v>3368</v>
      </c>
      <c r="F254" s="922">
        <f>EDU*2+APP*2</f>
        <v>0</v>
      </c>
      <c r="G254" s="923" t="s">
        <v>3414</v>
      </c>
      <c r="H254" s="3"/>
      <c r="I254" s="766"/>
      <c r="J254" s="773"/>
      <c r="K254" s="773"/>
      <c r="L254" s="773"/>
      <c r="M254" s="773" t="s">
        <v>3415</v>
      </c>
      <c r="N254" s="767"/>
      <c r="O254" s="767"/>
      <c r="P254" s="767"/>
      <c r="Q254" s="767"/>
    </row>
    <row r="255" customFormat="1" customHeight="1" spans="1:17">
      <c r="A255" s="918">
        <v>253</v>
      </c>
      <c r="B255" s="919" t="s">
        <v>2601</v>
      </c>
      <c r="C255" s="919"/>
      <c r="D255" s="920" t="s">
        <v>2916</v>
      </c>
      <c r="E255" s="921" t="s">
        <v>3379</v>
      </c>
      <c r="F255" s="922">
        <f>EDU*2+POW*2</f>
        <v>0</v>
      </c>
      <c r="G255" s="923" t="s">
        <v>3416</v>
      </c>
      <c r="H255" s="3"/>
      <c r="I255" s="766"/>
      <c r="J255" s="773"/>
      <c r="K255" s="773"/>
      <c r="L255" s="773"/>
      <c r="M255" s="773" t="s">
        <v>3417</v>
      </c>
      <c r="N255" s="767"/>
      <c r="O255" s="767"/>
      <c r="P255" s="767"/>
      <c r="Q255" s="767"/>
    </row>
    <row r="256" customFormat="1" customHeight="1" spans="1:17">
      <c r="A256" s="924">
        <v>254</v>
      </c>
      <c r="B256" s="919" t="s">
        <v>2602</v>
      </c>
      <c r="C256" s="919"/>
      <c r="D256" s="920" t="s">
        <v>3007</v>
      </c>
      <c r="E256" s="921" t="s">
        <v>2801</v>
      </c>
      <c r="F256" s="922">
        <f>EDU*4</f>
        <v>0</v>
      </c>
      <c r="G256" s="923" t="s">
        <v>3418</v>
      </c>
      <c r="H256" s="3"/>
      <c r="I256" s="766"/>
      <c r="J256" s="773"/>
      <c r="K256" s="773"/>
      <c r="L256" s="773"/>
      <c r="M256" s="773" t="s">
        <v>3419</v>
      </c>
      <c r="N256" s="767"/>
      <c r="O256" s="767"/>
      <c r="P256" s="767"/>
      <c r="Q256" s="767"/>
    </row>
    <row r="257" customFormat="1" customHeight="1" spans="1:17">
      <c r="A257" s="918">
        <v>255</v>
      </c>
      <c r="B257" s="919" t="s">
        <v>3420</v>
      </c>
      <c r="C257" s="919"/>
      <c r="D257" s="920" t="s">
        <v>2916</v>
      </c>
      <c r="E257" s="921" t="s">
        <v>3379</v>
      </c>
      <c r="F257" s="922">
        <f>EDU*2+POW*2</f>
        <v>0</v>
      </c>
      <c r="G257" s="923" t="s">
        <v>3421</v>
      </c>
      <c r="H257" s="3"/>
      <c r="I257" s="766"/>
      <c r="J257" s="773"/>
      <c r="K257" s="773"/>
      <c r="L257" s="773"/>
      <c r="M257" s="773" t="s">
        <v>3422</v>
      </c>
      <c r="N257" s="767"/>
      <c r="O257" s="767"/>
      <c r="P257" s="767"/>
      <c r="Q257" s="767"/>
    </row>
    <row r="258" customFormat="1" customHeight="1" spans="1:17">
      <c r="A258" s="918">
        <v>256</v>
      </c>
      <c r="B258" s="919" t="s">
        <v>2604</v>
      </c>
      <c r="C258" s="919"/>
      <c r="D258" s="920" t="s">
        <v>3026</v>
      </c>
      <c r="E258" s="921" t="s">
        <v>2801</v>
      </c>
      <c r="F258" s="922">
        <f>EDU*4</f>
        <v>0</v>
      </c>
      <c r="G258" s="923" t="s">
        <v>3423</v>
      </c>
      <c r="H258" s="3"/>
      <c r="I258" s="766"/>
      <c r="J258" s="773"/>
      <c r="K258" s="773"/>
      <c r="L258" s="773"/>
      <c r="M258" s="773" t="s">
        <v>3424</v>
      </c>
      <c r="N258" s="767"/>
      <c r="O258" s="767"/>
      <c r="P258" s="767"/>
      <c r="Q258" s="767"/>
    </row>
    <row r="259" customFormat="1" customHeight="1" spans="1:17">
      <c r="A259" s="918">
        <v>257</v>
      </c>
      <c r="B259" s="919" t="s">
        <v>2605</v>
      </c>
      <c r="C259" s="919"/>
      <c r="D259" s="920" t="s">
        <v>2776</v>
      </c>
      <c r="E259" s="921" t="s">
        <v>3368</v>
      </c>
      <c r="F259" s="922">
        <f>EDU*2+APP*2</f>
        <v>0</v>
      </c>
      <c r="G259" s="923" t="s">
        <v>3425</v>
      </c>
      <c r="H259" s="3"/>
      <c r="I259" s="766"/>
      <c r="J259" s="773"/>
      <c r="K259" s="773"/>
      <c r="L259" s="773"/>
      <c r="M259" s="773" t="s">
        <v>3426</v>
      </c>
      <c r="N259" s="767"/>
      <c r="O259" s="767"/>
      <c r="P259" s="767"/>
      <c r="Q259" s="767"/>
    </row>
    <row r="260" customFormat="1" customHeight="1" spans="1:17">
      <c r="A260" s="924">
        <v>258</v>
      </c>
      <c r="B260" s="919" t="s">
        <v>2606</v>
      </c>
      <c r="C260" s="919"/>
      <c r="D260" s="920" t="s">
        <v>2776</v>
      </c>
      <c r="E260" s="921" t="s">
        <v>3427</v>
      </c>
      <c r="F260" s="922">
        <f>EDU*2+CON*2</f>
        <v>0</v>
      </c>
      <c r="G260" s="923" t="s">
        <v>3428</v>
      </c>
      <c r="H260" s="3"/>
      <c r="I260" s="766"/>
      <c r="J260" s="773"/>
      <c r="K260" s="773"/>
      <c r="L260" s="773"/>
      <c r="M260" s="773" t="s">
        <v>3429</v>
      </c>
      <c r="N260" s="767"/>
      <c r="O260" s="767"/>
      <c r="P260" s="767"/>
      <c r="Q260" s="767"/>
    </row>
    <row r="261" customFormat="1" customHeight="1" spans="1:17">
      <c r="A261" s="918">
        <v>259</v>
      </c>
      <c r="B261" s="919" t="s">
        <v>2607</v>
      </c>
      <c r="C261" s="919"/>
      <c r="D261" s="920" t="s">
        <v>2916</v>
      </c>
      <c r="E261" s="921" t="s">
        <v>2801</v>
      </c>
      <c r="F261" s="922">
        <f>EDU*4</f>
        <v>0</v>
      </c>
      <c r="G261" s="923" t="s">
        <v>3430</v>
      </c>
      <c r="H261" s="3"/>
      <c r="I261" s="766"/>
      <c r="J261" s="773"/>
      <c r="K261" s="773"/>
      <c r="L261" s="773"/>
      <c r="M261" s="773" t="s">
        <v>3431</v>
      </c>
      <c r="N261" s="767"/>
      <c r="O261" s="767"/>
      <c r="P261" s="767"/>
      <c r="Q261" s="767"/>
    </row>
    <row r="262" customFormat="1" customHeight="1" spans="1:17">
      <c r="A262" s="918">
        <v>260</v>
      </c>
      <c r="B262" s="919" t="s">
        <v>2608</v>
      </c>
      <c r="C262" s="919"/>
      <c r="D262" s="920" t="s">
        <v>2916</v>
      </c>
      <c r="E262" s="921" t="s">
        <v>3374</v>
      </c>
      <c r="F262" s="922">
        <f>EDU*2+DEX*2</f>
        <v>0</v>
      </c>
      <c r="G262" s="923" t="s">
        <v>3432</v>
      </c>
      <c r="H262" s="3"/>
      <c r="I262" s="766"/>
      <c r="J262" s="773"/>
      <c r="K262" s="773"/>
      <c r="L262" s="773"/>
      <c r="M262" s="773" t="s">
        <v>3433</v>
      </c>
      <c r="N262" s="767"/>
      <c r="O262" s="767"/>
      <c r="P262" s="767"/>
      <c r="Q262" s="767"/>
    </row>
    <row r="263" customFormat="1" customHeight="1" spans="1:17">
      <c r="A263" s="918">
        <v>261</v>
      </c>
      <c r="B263" s="919" t="s">
        <v>2609</v>
      </c>
      <c r="C263" s="919"/>
      <c r="D263" s="920" t="s">
        <v>2776</v>
      </c>
      <c r="E263" s="921" t="s">
        <v>2801</v>
      </c>
      <c r="F263" s="922">
        <f>EDU*4</f>
        <v>0</v>
      </c>
      <c r="G263" s="923" t="s">
        <v>3434</v>
      </c>
      <c r="H263" s="3"/>
      <c r="I263" s="766"/>
      <c r="J263" s="773"/>
      <c r="K263" s="773"/>
      <c r="L263" s="773"/>
      <c r="M263" s="773" t="s">
        <v>3435</v>
      </c>
      <c r="N263" s="767"/>
      <c r="O263" s="767"/>
      <c r="P263" s="767"/>
      <c r="Q263" s="767"/>
    </row>
    <row r="264" customFormat="1" customHeight="1" spans="1:17">
      <c r="A264" s="924">
        <v>262</v>
      </c>
      <c r="B264" s="919" t="s">
        <v>2610</v>
      </c>
      <c r="C264" s="919"/>
      <c r="D264" s="920" t="s">
        <v>3007</v>
      </c>
      <c r="E264" s="921" t="s">
        <v>3368</v>
      </c>
      <c r="F264" s="922">
        <f>EDU*2+APP*2</f>
        <v>0</v>
      </c>
      <c r="G264" s="923" t="s">
        <v>3436</v>
      </c>
      <c r="H264" s="3"/>
      <c r="I264" s="766"/>
      <c r="J264" s="773"/>
      <c r="K264" s="773"/>
      <c r="L264" s="773"/>
      <c r="M264" s="773" t="s">
        <v>3437</v>
      </c>
      <c r="N264" s="767"/>
      <c r="O264" s="767"/>
      <c r="P264" s="767"/>
      <c r="Q264" s="767"/>
    </row>
    <row r="265" customFormat="1" customHeight="1" spans="1:17">
      <c r="A265" s="918">
        <v>263</v>
      </c>
      <c r="B265" s="919" t="s">
        <v>2611</v>
      </c>
      <c r="C265" s="919"/>
      <c r="D265" s="920" t="s">
        <v>2805</v>
      </c>
      <c r="E265" s="921" t="s">
        <v>2801</v>
      </c>
      <c r="F265" s="922">
        <f>EDU*4</f>
        <v>0</v>
      </c>
      <c r="G265" s="923" t="s">
        <v>3438</v>
      </c>
      <c r="H265" s="3"/>
      <c r="I265" s="766"/>
      <c r="J265" s="773"/>
      <c r="K265" s="773"/>
      <c r="L265" s="773"/>
      <c r="M265" s="773" t="s">
        <v>3439</v>
      </c>
      <c r="N265" s="767"/>
      <c r="O265" s="767"/>
      <c r="P265" s="767"/>
      <c r="Q265" s="767"/>
    </row>
    <row r="266" customFormat="1" customHeight="1" spans="1:17">
      <c r="A266" s="918">
        <v>264</v>
      </c>
      <c r="B266" s="919" t="s">
        <v>2612</v>
      </c>
      <c r="C266" s="919"/>
      <c r="D266" s="920" t="s">
        <v>2944</v>
      </c>
      <c r="E266" s="921" t="s">
        <v>2801</v>
      </c>
      <c r="F266" s="922">
        <f>EDU*4</f>
        <v>0</v>
      </c>
      <c r="G266" s="923" t="s">
        <v>3440</v>
      </c>
      <c r="H266" s="3"/>
      <c r="I266" s="766"/>
      <c r="J266" s="773"/>
      <c r="K266" s="773"/>
      <c r="L266" s="773"/>
      <c r="M266" s="773" t="s">
        <v>3441</v>
      </c>
      <c r="N266" s="767"/>
      <c r="O266" s="767"/>
      <c r="P266" s="767"/>
      <c r="Q266" s="767"/>
    </row>
    <row r="267" customFormat="1" customHeight="1" spans="1:17">
      <c r="A267" s="918">
        <v>265</v>
      </c>
      <c r="B267" s="919" t="s">
        <v>2613</v>
      </c>
      <c r="C267" s="919"/>
      <c r="D267" s="920" t="s">
        <v>2838</v>
      </c>
      <c r="E267" s="921" t="s">
        <v>3379</v>
      </c>
      <c r="F267" s="922">
        <f>EDU*2+POW*2</f>
        <v>0</v>
      </c>
      <c r="G267" s="923" t="s">
        <v>3442</v>
      </c>
      <c r="H267" s="3"/>
      <c r="I267" s="766"/>
      <c r="J267" s="773"/>
      <c r="K267" s="773"/>
      <c r="L267" s="773"/>
      <c r="M267" s="773" t="s">
        <v>3443</v>
      </c>
      <c r="N267" s="767"/>
      <c r="O267" s="767"/>
      <c r="P267" s="767"/>
      <c r="Q267" s="767"/>
    </row>
    <row r="268" customFormat="1" customHeight="1" spans="1:17">
      <c r="A268" s="924">
        <v>266</v>
      </c>
      <c r="B268" s="919" t="s">
        <v>2614</v>
      </c>
      <c r="C268" s="919"/>
      <c r="D268" s="920" t="s">
        <v>2916</v>
      </c>
      <c r="E268" s="921" t="s">
        <v>3427</v>
      </c>
      <c r="F268" s="922">
        <f>EDU*2+CON*2</f>
        <v>0</v>
      </c>
      <c r="G268" s="923" t="s">
        <v>3444</v>
      </c>
      <c r="H268" s="3"/>
      <c r="I268" s="766"/>
      <c r="J268" s="773"/>
      <c r="K268" s="773"/>
      <c r="L268" s="773"/>
      <c r="M268" s="773" t="s">
        <v>3445</v>
      </c>
      <c r="N268" s="767"/>
      <c r="O268" s="767"/>
      <c r="P268" s="767"/>
      <c r="Q268" s="767"/>
    </row>
    <row r="269" customFormat="1" customHeight="1" spans="1:17">
      <c r="A269" s="918">
        <v>267</v>
      </c>
      <c r="B269" s="919" t="s">
        <v>2615</v>
      </c>
      <c r="C269" s="919"/>
      <c r="D269" s="920" t="s">
        <v>3251</v>
      </c>
      <c r="E269" s="921" t="s">
        <v>2801</v>
      </c>
      <c r="F269" s="922">
        <f>EDU*4</f>
        <v>0</v>
      </c>
      <c r="G269" s="923" t="s">
        <v>3446</v>
      </c>
      <c r="H269" s="3"/>
      <c r="I269" s="766"/>
      <c r="J269" s="773"/>
      <c r="K269" s="773"/>
      <c r="L269" s="773"/>
      <c r="M269" s="773" t="s">
        <v>3447</v>
      </c>
      <c r="N269" s="767"/>
      <c r="O269" s="767"/>
      <c r="P269" s="767"/>
      <c r="Q269" s="767"/>
    </row>
    <row r="270" customFormat="1" customHeight="1" spans="1:17">
      <c r="A270" s="918">
        <v>268</v>
      </c>
      <c r="B270" s="919" t="s">
        <v>2616</v>
      </c>
      <c r="C270" s="919"/>
      <c r="D270" s="920" t="s">
        <v>2776</v>
      </c>
      <c r="E270" s="921" t="s">
        <v>3427</v>
      </c>
      <c r="F270" s="922">
        <f>EDU*2+CON*2</f>
        <v>0</v>
      </c>
      <c r="G270" s="923" t="s">
        <v>3448</v>
      </c>
      <c r="H270" s="3"/>
      <c r="I270" s="766"/>
      <c r="J270" s="773"/>
      <c r="K270" s="773"/>
      <c r="L270" s="773"/>
      <c r="M270" s="773" t="s">
        <v>3449</v>
      </c>
      <c r="N270" s="767"/>
      <c r="O270" s="767"/>
      <c r="P270" s="767"/>
      <c r="Q270" s="767"/>
    </row>
    <row r="271" customFormat="1" customHeight="1" spans="1:17">
      <c r="A271" s="918">
        <v>269</v>
      </c>
      <c r="B271" s="919" t="s">
        <v>2617</v>
      </c>
      <c r="C271" s="919"/>
      <c r="D271" s="920" t="s">
        <v>3001</v>
      </c>
      <c r="E271" s="921" t="s">
        <v>2801</v>
      </c>
      <c r="F271" s="922">
        <f>EDU*4</f>
        <v>0</v>
      </c>
      <c r="G271" s="923" t="s">
        <v>3450</v>
      </c>
      <c r="H271" s="3"/>
      <c r="I271" s="766"/>
      <c r="J271" s="773"/>
      <c r="K271" s="773"/>
      <c r="L271" s="773"/>
      <c r="M271" s="773" t="s">
        <v>3451</v>
      </c>
      <c r="N271" s="767"/>
      <c r="O271" s="767"/>
      <c r="P271" s="767"/>
      <c r="Q271" s="767"/>
    </row>
    <row r="272" customFormat="1" customHeight="1" spans="1:17">
      <c r="A272" s="924">
        <v>270</v>
      </c>
      <c r="B272" s="919" t="s">
        <v>2618</v>
      </c>
      <c r="C272" s="919"/>
      <c r="D272" s="920" t="s">
        <v>2776</v>
      </c>
      <c r="E272" s="921" t="s">
        <v>2801</v>
      </c>
      <c r="F272" s="922">
        <f>EDU*4</f>
        <v>0</v>
      </c>
      <c r="G272" s="923" t="s">
        <v>3452</v>
      </c>
      <c r="H272" s="3"/>
      <c r="I272" s="766"/>
      <c r="J272" s="773"/>
      <c r="K272" s="773"/>
      <c r="L272" s="773"/>
      <c r="M272" s="773" t="s">
        <v>3453</v>
      </c>
      <c r="N272" s="767"/>
      <c r="O272" s="767"/>
      <c r="P272" s="767"/>
      <c r="Q272" s="767"/>
    </row>
    <row r="273" customFormat="1" customHeight="1" spans="1:17">
      <c r="A273" s="918">
        <v>271</v>
      </c>
      <c r="B273" s="919" t="s">
        <v>2619</v>
      </c>
      <c r="C273" s="919"/>
      <c r="D273" s="920" t="s">
        <v>2966</v>
      </c>
      <c r="E273" s="921" t="s">
        <v>3368</v>
      </c>
      <c r="F273" s="922">
        <f>EDU*2+APP*2</f>
        <v>0</v>
      </c>
      <c r="G273" s="923" t="s">
        <v>3454</v>
      </c>
      <c r="H273" s="3"/>
      <c r="I273" s="766"/>
      <c r="J273" s="773"/>
      <c r="K273" s="773"/>
      <c r="L273" s="773"/>
      <c r="M273" s="773" t="s">
        <v>3455</v>
      </c>
      <c r="N273" s="767"/>
      <c r="O273" s="767"/>
      <c r="P273" s="767"/>
      <c r="Q273" s="767"/>
    </row>
    <row r="274" customFormat="1" customHeight="1" spans="1:17">
      <c r="A274" s="918">
        <v>272</v>
      </c>
      <c r="B274" s="919" t="s">
        <v>2620</v>
      </c>
      <c r="C274" s="919"/>
      <c r="D274" s="920" t="s">
        <v>3456</v>
      </c>
      <c r="E274" s="921" t="s">
        <v>2801</v>
      </c>
      <c r="F274" s="922">
        <f>EDU*4</f>
        <v>0</v>
      </c>
      <c r="G274" s="923" t="s">
        <v>3457</v>
      </c>
      <c r="H274" s="3"/>
      <c r="I274" s="766"/>
      <c r="J274" s="773"/>
      <c r="K274" s="773"/>
      <c r="L274" s="773"/>
      <c r="M274" s="773" t="s">
        <v>3458</v>
      </c>
      <c r="N274" s="767"/>
      <c r="O274" s="767"/>
      <c r="P274" s="767"/>
      <c r="Q274" s="767"/>
    </row>
    <row r="275" customFormat="1" customHeight="1" spans="1:17">
      <c r="A275" s="918">
        <v>273</v>
      </c>
      <c r="B275" s="919" t="s">
        <v>2621</v>
      </c>
      <c r="C275" s="919"/>
      <c r="D275" s="920" t="s">
        <v>3459</v>
      </c>
      <c r="E275" s="921" t="s">
        <v>2801</v>
      </c>
      <c r="F275" s="922">
        <f>EDU*4</f>
        <v>0</v>
      </c>
      <c r="G275" s="923" t="s">
        <v>3460</v>
      </c>
      <c r="H275" s="3"/>
      <c r="I275" s="766"/>
      <c r="J275" s="773"/>
      <c r="K275" s="773"/>
      <c r="L275" s="773"/>
      <c r="M275" s="773" t="s">
        <v>3461</v>
      </c>
      <c r="N275" s="767"/>
      <c r="O275" s="767"/>
      <c r="P275" s="767"/>
      <c r="Q275" s="767"/>
    </row>
    <row r="276" customFormat="1" customHeight="1" spans="1:17">
      <c r="A276" s="924">
        <v>274</v>
      </c>
      <c r="B276" s="919" t="s">
        <v>2622</v>
      </c>
      <c r="C276" s="919"/>
      <c r="D276" s="920" t="s">
        <v>2776</v>
      </c>
      <c r="E276" s="921" t="s">
        <v>2801</v>
      </c>
      <c r="F276" s="922">
        <f>EDU*4</f>
        <v>0</v>
      </c>
      <c r="G276" s="923" t="s">
        <v>3462</v>
      </c>
      <c r="H276" s="3"/>
      <c r="I276" s="766"/>
      <c r="J276" s="773"/>
      <c r="K276" s="773"/>
      <c r="L276" s="773"/>
      <c r="M276" s="773" t="s">
        <v>3463</v>
      </c>
      <c r="N276" s="767"/>
      <c r="O276" s="767"/>
      <c r="P276" s="767"/>
      <c r="Q276" s="767"/>
    </row>
    <row r="277" customFormat="1" customHeight="1" spans="1:17">
      <c r="A277" s="918">
        <v>275</v>
      </c>
      <c r="B277" s="919" t="s">
        <v>2623</v>
      </c>
      <c r="C277" s="919"/>
      <c r="D277" s="920" t="s">
        <v>3387</v>
      </c>
      <c r="E277" s="921" t="s">
        <v>2801</v>
      </c>
      <c r="F277" s="922">
        <f>EDU*4</f>
        <v>0</v>
      </c>
      <c r="G277" s="923" t="s">
        <v>3464</v>
      </c>
      <c r="H277" s="3"/>
      <c r="I277" s="766"/>
      <c r="J277" s="773"/>
      <c r="K277" s="773"/>
      <c r="L277" s="773"/>
      <c r="M277" s="773" t="s">
        <v>3465</v>
      </c>
      <c r="N277" s="767"/>
      <c r="O277" s="767"/>
      <c r="P277" s="767"/>
      <c r="Q277" s="767"/>
    </row>
    <row r="278" customFormat="1" customHeight="1" spans="1:17">
      <c r="A278" s="918">
        <v>276</v>
      </c>
      <c r="B278" s="919" t="s">
        <v>2624</v>
      </c>
      <c r="C278" s="919"/>
      <c r="D278" s="920" t="s">
        <v>3251</v>
      </c>
      <c r="E278" s="921" t="s">
        <v>2801</v>
      </c>
      <c r="F278" s="922">
        <f>EDU*4</f>
        <v>0</v>
      </c>
      <c r="G278" s="923" t="s">
        <v>3466</v>
      </c>
      <c r="H278" s="3"/>
      <c r="I278" s="766"/>
      <c r="J278" s="773"/>
      <c r="K278" s="773"/>
      <c r="L278" s="773"/>
      <c r="M278" s="773" t="s">
        <v>3467</v>
      </c>
      <c r="N278" s="767"/>
      <c r="O278" s="767"/>
      <c r="P278" s="767"/>
      <c r="Q278" s="767"/>
    </row>
    <row r="279" customFormat="1" customHeight="1" spans="1:17">
      <c r="A279" s="918">
        <v>277</v>
      </c>
      <c r="B279" s="919" t="s">
        <v>2625</v>
      </c>
      <c r="C279" s="919"/>
      <c r="D279" s="920" t="s">
        <v>2776</v>
      </c>
      <c r="E279" s="921" t="s">
        <v>2801</v>
      </c>
      <c r="F279" s="922">
        <f>EDU*4</f>
        <v>0</v>
      </c>
      <c r="G279" s="923" t="s">
        <v>3468</v>
      </c>
      <c r="H279" s="3"/>
      <c r="I279" s="766"/>
      <c r="J279" s="773"/>
      <c r="K279" s="773"/>
      <c r="L279" s="773"/>
      <c r="M279" s="773" t="s">
        <v>3469</v>
      </c>
      <c r="N279" s="767"/>
      <c r="O279" s="767"/>
      <c r="P279" s="767"/>
      <c r="Q279" s="767"/>
    </row>
    <row r="280" customFormat="1" customHeight="1" spans="1:17">
      <c r="A280" s="924">
        <v>278</v>
      </c>
      <c r="B280" s="919" t="s">
        <v>2626</v>
      </c>
      <c r="C280" s="919"/>
      <c r="D280" s="920" t="s">
        <v>2838</v>
      </c>
      <c r="E280" s="921" t="s">
        <v>3374</v>
      </c>
      <c r="F280" s="922">
        <f>EDU*2+DEX*2</f>
        <v>0</v>
      </c>
      <c r="G280" s="923" t="s">
        <v>3470</v>
      </c>
      <c r="H280" s="3"/>
      <c r="I280" s="766"/>
      <c r="J280" s="773"/>
      <c r="K280" s="773"/>
      <c r="L280" s="773"/>
      <c r="M280" s="773" t="s">
        <v>3471</v>
      </c>
      <c r="N280" s="767"/>
      <c r="O280" s="767"/>
      <c r="P280" s="767"/>
      <c r="Q280" s="767"/>
    </row>
    <row r="281" customFormat="1" customHeight="1" spans="1:17">
      <c r="A281" s="918">
        <v>279</v>
      </c>
      <c r="B281" s="919" t="s">
        <v>2627</v>
      </c>
      <c r="C281" s="919"/>
      <c r="D281" s="920" t="s">
        <v>2916</v>
      </c>
      <c r="E281" s="921" t="s">
        <v>3374</v>
      </c>
      <c r="F281" s="922">
        <f>EDU*2+DEX*2</f>
        <v>0</v>
      </c>
      <c r="G281" s="923" t="s">
        <v>3472</v>
      </c>
      <c r="H281" s="3"/>
      <c r="I281" s="766"/>
      <c r="J281" s="773"/>
      <c r="K281" s="773"/>
      <c r="L281" s="773"/>
      <c r="M281" s="773" t="s">
        <v>3473</v>
      </c>
      <c r="N281" s="767"/>
      <c r="O281" s="767"/>
      <c r="P281" s="767"/>
      <c r="Q281" s="767"/>
    </row>
    <row r="282" customFormat="1" customHeight="1" spans="1:17">
      <c r="A282" s="918">
        <v>280</v>
      </c>
      <c r="B282" s="919" t="s">
        <v>2628</v>
      </c>
      <c r="C282" s="919"/>
      <c r="D282" s="920" t="s">
        <v>3387</v>
      </c>
      <c r="E282" s="921" t="s">
        <v>2801</v>
      </c>
      <c r="F282" s="922">
        <f>EDU*4</f>
        <v>0</v>
      </c>
      <c r="G282" s="923" t="s">
        <v>3474</v>
      </c>
      <c r="H282" s="3"/>
      <c r="I282" s="766"/>
      <c r="J282" s="773"/>
      <c r="K282" s="773"/>
      <c r="L282" s="773"/>
      <c r="M282" s="773" t="s">
        <v>3475</v>
      </c>
      <c r="N282" s="767"/>
      <c r="O282" s="767"/>
      <c r="P282" s="767"/>
      <c r="Q282" s="767"/>
    </row>
    <row r="283" customFormat="1" customHeight="1" spans="1:17">
      <c r="A283" s="918">
        <v>281</v>
      </c>
      <c r="B283" s="919" t="s">
        <v>2629</v>
      </c>
      <c r="C283" s="919"/>
      <c r="D283" s="920" t="s">
        <v>3001</v>
      </c>
      <c r="E283" s="921" t="s">
        <v>2801</v>
      </c>
      <c r="F283" s="922">
        <f>EDU*4</f>
        <v>0</v>
      </c>
      <c r="G283" s="923" t="s">
        <v>3476</v>
      </c>
      <c r="H283" s="3"/>
      <c r="I283" s="766"/>
      <c r="J283" s="773"/>
      <c r="K283" s="773"/>
      <c r="L283" s="773"/>
      <c r="M283" s="773" t="s">
        <v>3477</v>
      </c>
      <c r="N283" s="767"/>
      <c r="O283" s="767"/>
      <c r="P283" s="767"/>
      <c r="Q283" s="767"/>
    </row>
    <row r="284" customFormat="1" customHeight="1" spans="1:17">
      <c r="A284" s="924">
        <v>282</v>
      </c>
      <c r="B284" s="919" t="s">
        <v>2630</v>
      </c>
      <c r="C284" s="919"/>
      <c r="D284" s="920" t="s">
        <v>3459</v>
      </c>
      <c r="E284" s="921" t="s">
        <v>2801</v>
      </c>
      <c r="F284" s="922">
        <f>EDU*4</f>
        <v>0</v>
      </c>
      <c r="G284" s="923" t="s">
        <v>3478</v>
      </c>
      <c r="H284" s="3"/>
      <c r="I284" s="766"/>
      <c r="J284" s="773"/>
      <c r="K284" s="773"/>
      <c r="L284" s="773"/>
      <c r="M284" s="773" t="s">
        <v>3479</v>
      </c>
      <c r="N284" s="767"/>
      <c r="O284" s="767"/>
      <c r="P284" s="767"/>
      <c r="Q284" s="767"/>
    </row>
    <row r="285" customFormat="1" customHeight="1" spans="1:17">
      <c r="A285" s="918">
        <v>283</v>
      </c>
      <c r="B285" s="919" t="s">
        <v>2631</v>
      </c>
      <c r="C285" s="919"/>
      <c r="D285" s="920" t="s">
        <v>2916</v>
      </c>
      <c r="E285" s="921" t="s">
        <v>3379</v>
      </c>
      <c r="F285" s="922">
        <f>EDU*2+POW*2</f>
        <v>0</v>
      </c>
      <c r="G285" s="923" t="s">
        <v>3480</v>
      </c>
      <c r="H285" s="3"/>
      <c r="I285" s="766"/>
      <c r="J285" s="773"/>
      <c r="K285" s="773"/>
      <c r="L285" s="773"/>
      <c r="M285" s="773" t="s">
        <v>3481</v>
      </c>
      <c r="N285" s="767"/>
      <c r="O285" s="767"/>
      <c r="P285" s="767"/>
      <c r="Q285" s="767"/>
    </row>
    <row r="286" customFormat="1" customHeight="1" spans="1:17">
      <c r="A286" s="918">
        <v>284</v>
      </c>
      <c r="B286" s="919" t="s">
        <v>2632</v>
      </c>
      <c r="C286" s="919"/>
      <c r="D286" s="920" t="s">
        <v>3456</v>
      </c>
      <c r="E286" s="921" t="s">
        <v>2801</v>
      </c>
      <c r="F286" s="922">
        <f>EDU*4</f>
        <v>0</v>
      </c>
      <c r="G286" s="923" t="s">
        <v>3482</v>
      </c>
      <c r="H286" s="3"/>
      <c r="I286" s="766"/>
      <c r="J286" s="773"/>
      <c r="K286" s="773"/>
      <c r="L286" s="773"/>
      <c r="M286" s="773" t="s">
        <v>3483</v>
      </c>
      <c r="N286" s="767"/>
      <c r="O286" s="767"/>
      <c r="P286" s="767"/>
      <c r="Q286" s="767"/>
    </row>
    <row r="287" customFormat="1" customHeight="1" spans="1:17">
      <c r="A287" s="918">
        <v>285</v>
      </c>
      <c r="B287" s="919" t="s">
        <v>2633</v>
      </c>
      <c r="C287" s="919"/>
      <c r="D287" s="920" t="s">
        <v>2944</v>
      </c>
      <c r="E287" s="921" t="s">
        <v>2801</v>
      </c>
      <c r="F287" s="922">
        <f>EDU*4</f>
        <v>0</v>
      </c>
      <c r="G287" s="923" t="s">
        <v>3484</v>
      </c>
      <c r="H287" s="3"/>
      <c r="I287" s="766"/>
      <c r="J287" s="773"/>
      <c r="K287" s="773"/>
      <c r="L287" s="773"/>
      <c r="M287" s="773" t="s">
        <v>3485</v>
      </c>
      <c r="N287" s="767"/>
      <c r="O287" s="767"/>
      <c r="P287" s="767"/>
      <c r="Q287" s="767"/>
    </row>
    <row r="288" customFormat="1" customHeight="1" spans="1:17">
      <c r="A288" s="924">
        <v>286</v>
      </c>
      <c r="B288" s="919" t="s">
        <v>2634</v>
      </c>
      <c r="C288" s="919"/>
      <c r="D288" s="920" t="s">
        <v>2776</v>
      </c>
      <c r="E288" s="921" t="s">
        <v>2801</v>
      </c>
      <c r="F288" s="922">
        <f>EDU*4</f>
        <v>0</v>
      </c>
      <c r="G288" s="923" t="s">
        <v>3486</v>
      </c>
      <c r="H288" s="3"/>
      <c r="I288" s="766"/>
      <c r="J288" s="773"/>
      <c r="K288" s="773"/>
      <c r="L288" s="773"/>
      <c r="M288" s="773" t="s">
        <v>3487</v>
      </c>
      <c r="N288" s="767"/>
      <c r="O288" s="767"/>
      <c r="P288" s="767"/>
      <c r="Q288" s="767"/>
    </row>
    <row r="289" customFormat="1" customHeight="1" spans="1:17">
      <c r="A289" s="918">
        <v>287</v>
      </c>
      <c r="B289" s="919" t="s">
        <v>2635</v>
      </c>
      <c r="C289" s="919"/>
      <c r="D289" s="920" t="s">
        <v>2966</v>
      </c>
      <c r="E289" s="921" t="s">
        <v>2801</v>
      </c>
      <c r="F289" s="922">
        <f>EDU*4</f>
        <v>0</v>
      </c>
      <c r="G289" s="923" t="s">
        <v>3488</v>
      </c>
      <c r="H289" s="3"/>
      <c r="I289" s="766"/>
      <c r="J289" s="773"/>
      <c r="K289" s="773"/>
      <c r="L289" s="773"/>
      <c r="M289" s="773" t="s">
        <v>3489</v>
      </c>
      <c r="N289" s="767"/>
      <c r="O289" s="767"/>
      <c r="P289" s="767"/>
      <c r="Q289" s="767"/>
    </row>
    <row r="290" customFormat="1" customHeight="1" spans="1:17">
      <c r="A290" s="918">
        <v>288</v>
      </c>
      <c r="B290" s="919" t="s">
        <v>2636</v>
      </c>
      <c r="C290" s="919"/>
      <c r="D290" s="920" t="s">
        <v>2916</v>
      </c>
      <c r="E290" s="921" t="s">
        <v>3374</v>
      </c>
      <c r="F290" s="922">
        <f>EDU*2+DEX*2</f>
        <v>0</v>
      </c>
      <c r="G290" s="923" t="s">
        <v>3490</v>
      </c>
      <c r="H290" s="3"/>
      <c r="I290" s="766"/>
      <c r="J290" s="773"/>
      <c r="K290" s="773"/>
      <c r="L290" s="773"/>
      <c r="M290" s="773" t="s">
        <v>3491</v>
      </c>
      <c r="N290" s="767"/>
      <c r="O290" s="767"/>
      <c r="P290" s="767"/>
      <c r="Q290" s="767"/>
    </row>
    <row r="291" customFormat="1" customHeight="1" spans="1:17">
      <c r="A291" s="918">
        <v>289</v>
      </c>
      <c r="B291" s="919" t="s">
        <v>2637</v>
      </c>
      <c r="C291" s="919"/>
      <c r="D291" s="920" t="s">
        <v>2916</v>
      </c>
      <c r="E291" s="921" t="s">
        <v>3368</v>
      </c>
      <c r="F291" s="922">
        <f>EDU*2+APP*2</f>
        <v>0</v>
      </c>
      <c r="G291" s="923" t="s">
        <v>3492</v>
      </c>
      <c r="H291" s="3"/>
      <c r="I291" s="766"/>
      <c r="J291" s="773"/>
      <c r="K291" s="773"/>
      <c r="L291" s="773"/>
      <c r="M291" s="773" t="s">
        <v>3493</v>
      </c>
      <c r="N291" s="767"/>
      <c r="O291" s="767"/>
      <c r="P291" s="767"/>
      <c r="Q291" s="767"/>
    </row>
    <row r="292" customFormat="1" customHeight="1" spans="1:17">
      <c r="A292" s="924">
        <v>290</v>
      </c>
      <c r="B292" s="919" t="s">
        <v>2638</v>
      </c>
      <c r="C292" s="919"/>
      <c r="D292" s="920" t="s">
        <v>3387</v>
      </c>
      <c r="E292" s="921" t="s">
        <v>2801</v>
      </c>
      <c r="F292" s="922">
        <f>EDU*4</f>
        <v>0</v>
      </c>
      <c r="G292" s="923" t="s">
        <v>3494</v>
      </c>
      <c r="H292" s="3"/>
      <c r="I292" s="766"/>
      <c r="J292" s="773"/>
      <c r="K292" s="773"/>
      <c r="L292" s="773"/>
      <c r="M292" s="773" t="s">
        <v>3495</v>
      </c>
      <c r="N292" s="767"/>
      <c r="O292" s="767"/>
      <c r="P292" s="767"/>
      <c r="Q292" s="767"/>
    </row>
    <row r="293" customFormat="1" customHeight="1" spans="1:17">
      <c r="A293" s="918">
        <v>291</v>
      </c>
      <c r="B293" s="919" t="s">
        <v>2639</v>
      </c>
      <c r="C293" s="919"/>
      <c r="D293" s="920" t="s">
        <v>3387</v>
      </c>
      <c r="E293" s="921" t="s">
        <v>2801</v>
      </c>
      <c r="F293" s="922">
        <f>EDU*4</f>
        <v>0</v>
      </c>
      <c r="G293" s="923" t="s">
        <v>3496</v>
      </c>
      <c r="H293" s="3"/>
      <c r="I293" s="766"/>
      <c r="J293" s="773"/>
      <c r="K293" s="773"/>
      <c r="L293" s="773"/>
      <c r="M293" s="773" t="s">
        <v>3497</v>
      </c>
      <c r="N293" s="767"/>
      <c r="O293" s="767"/>
      <c r="P293" s="767"/>
      <c r="Q293" s="767"/>
    </row>
    <row r="294" customFormat="1" customHeight="1" spans="1:17">
      <c r="A294" s="918">
        <v>292</v>
      </c>
      <c r="B294" s="919" t="s">
        <v>2640</v>
      </c>
      <c r="C294" s="919"/>
      <c r="D294" s="920" t="s">
        <v>3387</v>
      </c>
      <c r="E294" s="921" t="s">
        <v>2801</v>
      </c>
      <c r="F294" s="922">
        <f>EDU*4</f>
        <v>0</v>
      </c>
      <c r="G294" s="923" t="s">
        <v>3498</v>
      </c>
      <c r="H294" s="3"/>
      <c r="I294" s="766"/>
      <c r="J294" s="773"/>
      <c r="K294" s="773"/>
      <c r="L294" s="773"/>
      <c r="M294" s="773" t="s">
        <v>3499</v>
      </c>
      <c r="N294" s="767"/>
      <c r="O294" s="767"/>
      <c r="P294" s="767"/>
      <c r="Q294" s="767"/>
    </row>
    <row r="295" customFormat="1" customHeight="1" spans="1:17">
      <c r="A295" s="918">
        <v>293</v>
      </c>
      <c r="B295" s="919" t="s">
        <v>2641</v>
      </c>
      <c r="C295" s="919"/>
      <c r="D295" s="920" t="s">
        <v>3387</v>
      </c>
      <c r="E295" s="921" t="s">
        <v>3374</v>
      </c>
      <c r="F295" s="922">
        <f>EDU*2+DEX*2</f>
        <v>0</v>
      </c>
      <c r="G295" s="923" t="s">
        <v>3500</v>
      </c>
      <c r="H295" s="3"/>
      <c r="I295" s="766"/>
      <c r="J295" s="773"/>
      <c r="K295" s="773"/>
      <c r="L295" s="773"/>
      <c r="M295" s="773" t="s">
        <v>3501</v>
      </c>
      <c r="N295" s="767"/>
      <c r="O295" s="767"/>
      <c r="P295" s="767"/>
      <c r="Q295" s="767"/>
    </row>
    <row r="296" customFormat="1" customHeight="1" spans="1:17">
      <c r="A296" s="924">
        <v>294</v>
      </c>
      <c r="B296" s="919" t="s">
        <v>2642</v>
      </c>
      <c r="C296" s="919"/>
      <c r="D296" s="920" t="s">
        <v>3456</v>
      </c>
      <c r="E296" s="921" t="s">
        <v>2801</v>
      </c>
      <c r="F296" s="922">
        <f>EDU*4</f>
        <v>0</v>
      </c>
      <c r="G296" s="923" t="s">
        <v>3502</v>
      </c>
      <c r="H296" s="3"/>
      <c r="I296" s="766"/>
      <c r="J296" s="773"/>
      <c r="K296" s="773"/>
      <c r="L296" s="773"/>
      <c r="M296" s="773" t="s">
        <v>3503</v>
      </c>
      <c r="N296" s="767"/>
      <c r="O296" s="767"/>
      <c r="P296" s="767"/>
      <c r="Q296" s="767"/>
    </row>
    <row r="297" customFormat="1" customHeight="1" spans="1:17">
      <c r="A297" s="918">
        <v>295</v>
      </c>
      <c r="B297" s="919" t="s">
        <v>2643</v>
      </c>
      <c r="C297" s="919"/>
      <c r="D297" s="920" t="s">
        <v>2776</v>
      </c>
      <c r="E297" s="921" t="s">
        <v>2801</v>
      </c>
      <c r="F297" s="922">
        <f>EDU*4</f>
        <v>0</v>
      </c>
      <c r="G297" s="923" t="s">
        <v>3504</v>
      </c>
      <c r="H297" s="3"/>
      <c r="I297" s="766"/>
      <c r="J297" s="773"/>
      <c r="K297" s="773"/>
      <c r="L297" s="773"/>
      <c r="M297" s="773" t="s">
        <v>3505</v>
      </c>
      <c r="N297" s="767"/>
      <c r="O297" s="767"/>
      <c r="P297" s="767"/>
      <c r="Q297" s="767"/>
    </row>
    <row r="298" customFormat="1" customHeight="1" spans="1:17">
      <c r="A298" s="918">
        <v>296</v>
      </c>
      <c r="B298" s="919" t="s">
        <v>2644</v>
      </c>
      <c r="C298" s="919"/>
      <c r="D298" s="920" t="s">
        <v>3387</v>
      </c>
      <c r="E298" s="921" t="s">
        <v>2801</v>
      </c>
      <c r="F298" s="922">
        <f>EDU*4</f>
        <v>0</v>
      </c>
      <c r="G298" s="923" t="s">
        <v>3506</v>
      </c>
      <c r="H298" s="3"/>
      <c r="I298" s="766"/>
      <c r="J298" s="773"/>
      <c r="K298" s="773"/>
      <c r="L298" s="773"/>
      <c r="M298" s="773" t="s">
        <v>3507</v>
      </c>
      <c r="N298" s="767"/>
      <c r="O298" s="767"/>
      <c r="P298" s="767"/>
      <c r="Q298" s="767"/>
    </row>
    <row r="299" customFormat="1" customHeight="1" spans="1:17">
      <c r="A299" s="918">
        <v>297</v>
      </c>
      <c r="B299" s="919" t="s">
        <v>2645</v>
      </c>
      <c r="C299" s="919"/>
      <c r="D299" s="920" t="s">
        <v>2776</v>
      </c>
      <c r="E299" s="921" t="s">
        <v>3427</v>
      </c>
      <c r="F299" s="922">
        <f>EDU*2+CON*2</f>
        <v>0</v>
      </c>
      <c r="G299" s="923" t="s">
        <v>3508</v>
      </c>
      <c r="H299" s="3"/>
      <c r="I299" s="766"/>
      <c r="J299" s="773"/>
      <c r="K299" s="773"/>
      <c r="L299" s="773"/>
      <c r="M299" s="773" t="s">
        <v>3509</v>
      </c>
      <c r="N299" s="767"/>
      <c r="O299" s="767"/>
      <c r="P299" s="767"/>
      <c r="Q299" s="767"/>
    </row>
    <row r="300" customFormat="1" customHeight="1" spans="1:17">
      <c r="A300" s="924">
        <v>298</v>
      </c>
      <c r="B300" s="919" t="s">
        <v>2646</v>
      </c>
      <c r="C300" s="919"/>
      <c r="D300" s="920" t="s">
        <v>3456</v>
      </c>
      <c r="E300" s="921" t="s">
        <v>2801</v>
      </c>
      <c r="F300" s="922">
        <f>EDU*4</f>
        <v>0</v>
      </c>
      <c r="G300" s="923" t="s">
        <v>3510</v>
      </c>
      <c r="H300" s="3"/>
      <c r="I300" s="766"/>
      <c r="J300" s="773"/>
      <c r="K300" s="773"/>
      <c r="L300" s="773"/>
      <c r="M300" s="773" t="s">
        <v>3511</v>
      </c>
      <c r="N300" s="767"/>
      <c r="O300" s="767"/>
      <c r="P300" s="767"/>
      <c r="Q300" s="767"/>
    </row>
    <row r="301" customFormat="1" customHeight="1" spans="1:17">
      <c r="A301" s="918">
        <v>299</v>
      </c>
      <c r="B301" s="919" t="s">
        <v>2647</v>
      </c>
      <c r="C301" s="919"/>
      <c r="D301" s="920" t="s">
        <v>2776</v>
      </c>
      <c r="E301" s="921" t="s">
        <v>3368</v>
      </c>
      <c r="F301" s="922">
        <f>EDU*2+APP*2</f>
        <v>0</v>
      </c>
      <c r="G301" s="923" t="s">
        <v>3512</v>
      </c>
      <c r="H301" s="3"/>
      <c r="I301" s="766"/>
      <c r="J301" s="773"/>
      <c r="K301" s="773"/>
      <c r="L301" s="773"/>
      <c r="M301" s="773" t="s">
        <v>3513</v>
      </c>
      <c r="N301" s="767"/>
      <c r="O301" s="767"/>
      <c r="P301" s="767"/>
      <c r="Q301" s="767"/>
    </row>
    <row r="302" customFormat="1" customHeight="1" spans="1:17">
      <c r="A302" s="918">
        <v>300</v>
      </c>
      <c r="B302" s="919" t="s">
        <v>2648</v>
      </c>
      <c r="C302" s="919"/>
      <c r="D302" s="920" t="s">
        <v>3387</v>
      </c>
      <c r="E302" s="921" t="s">
        <v>2801</v>
      </c>
      <c r="F302" s="922">
        <f>EDU*4</f>
        <v>0</v>
      </c>
      <c r="G302" s="923" t="s">
        <v>3514</v>
      </c>
      <c r="H302" s="3"/>
      <c r="I302" s="766"/>
      <c r="J302" s="773"/>
      <c r="K302" s="773"/>
      <c r="L302" s="773"/>
      <c r="M302" s="773" t="s">
        <v>3515</v>
      </c>
      <c r="N302" s="767"/>
      <c r="O302" s="767"/>
      <c r="P302" s="767"/>
      <c r="Q302" s="767"/>
    </row>
    <row r="303" customFormat="1" customHeight="1" spans="1:17">
      <c r="A303" s="918">
        <v>301</v>
      </c>
      <c r="B303" s="919" t="s">
        <v>2649</v>
      </c>
      <c r="C303" s="919"/>
      <c r="D303" s="920" t="s">
        <v>3387</v>
      </c>
      <c r="E303" s="921" t="s">
        <v>2801</v>
      </c>
      <c r="F303" s="922">
        <f>EDU*4</f>
        <v>0</v>
      </c>
      <c r="G303" s="923" t="s">
        <v>3516</v>
      </c>
      <c r="H303" s="3"/>
      <c r="I303" s="766"/>
      <c r="J303" s="773"/>
      <c r="K303" s="773"/>
      <c r="L303" s="773"/>
      <c r="M303" s="773" t="s">
        <v>3517</v>
      </c>
      <c r="N303" s="767"/>
      <c r="O303" s="767"/>
      <c r="P303" s="767"/>
      <c r="Q303" s="767"/>
    </row>
    <row r="304" customFormat="1" customHeight="1" spans="1:17">
      <c r="A304" s="924">
        <v>302</v>
      </c>
      <c r="B304" s="919" t="s">
        <v>2650</v>
      </c>
      <c r="C304" s="919"/>
      <c r="D304" s="920" t="s">
        <v>3387</v>
      </c>
      <c r="E304" s="921" t="s">
        <v>2801</v>
      </c>
      <c r="F304" s="922">
        <f>EDU*4</f>
        <v>0</v>
      </c>
      <c r="G304" s="923" t="s">
        <v>3518</v>
      </c>
      <c r="H304" s="3"/>
      <c r="I304" s="766"/>
      <c r="J304" s="773"/>
      <c r="K304" s="773"/>
      <c r="L304" s="773"/>
      <c r="M304" s="773" t="s">
        <v>3519</v>
      </c>
      <c r="N304" s="767"/>
      <c r="O304" s="767"/>
      <c r="P304" s="767"/>
      <c r="Q304" s="767"/>
    </row>
    <row r="305" customFormat="1" customHeight="1" spans="1:17">
      <c r="A305" s="918">
        <v>303</v>
      </c>
      <c r="B305" s="919" t="s">
        <v>2651</v>
      </c>
      <c r="C305" s="919"/>
      <c r="D305" s="920" t="s">
        <v>2966</v>
      </c>
      <c r="E305" s="921" t="s">
        <v>2801</v>
      </c>
      <c r="F305" s="922">
        <f>EDU*4</f>
        <v>0</v>
      </c>
      <c r="G305" s="923" t="s">
        <v>3520</v>
      </c>
      <c r="H305" s="3"/>
      <c r="I305" s="766"/>
      <c r="J305" s="773"/>
      <c r="K305" s="773"/>
      <c r="L305" s="773"/>
      <c r="M305" s="773" t="s">
        <v>3521</v>
      </c>
      <c r="N305" s="767"/>
      <c r="O305" s="767"/>
      <c r="P305" s="767"/>
      <c r="Q305" s="767"/>
    </row>
    <row r="306" customFormat="1" customHeight="1" spans="1:17">
      <c r="A306" s="918">
        <v>304</v>
      </c>
      <c r="B306" s="919" t="s">
        <v>2652</v>
      </c>
      <c r="C306" s="919"/>
      <c r="D306" s="920" t="s">
        <v>2966</v>
      </c>
      <c r="E306" s="921" t="s">
        <v>3368</v>
      </c>
      <c r="F306" s="922">
        <f>EDU*2+APP*2</f>
        <v>0</v>
      </c>
      <c r="G306" s="923" t="s">
        <v>3522</v>
      </c>
      <c r="H306" s="3"/>
      <c r="I306" s="766"/>
      <c r="J306" s="773"/>
      <c r="K306" s="773"/>
      <c r="L306" s="773"/>
      <c r="M306" s="773" t="s">
        <v>3523</v>
      </c>
      <c r="N306" s="767"/>
      <c r="O306" s="767"/>
      <c r="P306" s="767"/>
      <c r="Q306" s="767"/>
    </row>
    <row r="307" customFormat="1" customHeight="1" spans="1:17">
      <c r="A307" s="918">
        <v>305</v>
      </c>
      <c r="B307" s="919" t="s">
        <v>2653</v>
      </c>
      <c r="C307" s="919"/>
      <c r="D307" s="920" t="s">
        <v>2846</v>
      </c>
      <c r="E307" s="921" t="s">
        <v>3374</v>
      </c>
      <c r="F307" s="922">
        <f>EDU*2+DEX*2</f>
        <v>0</v>
      </c>
      <c r="G307" s="923" t="s">
        <v>3524</v>
      </c>
      <c r="H307" s="3"/>
      <c r="I307" s="766"/>
      <c r="J307" s="773"/>
      <c r="K307" s="773"/>
      <c r="L307" s="773"/>
      <c r="M307" s="773" t="s">
        <v>3525</v>
      </c>
      <c r="N307" s="767"/>
      <c r="O307" s="767"/>
      <c r="P307" s="767"/>
      <c r="Q307" s="767"/>
    </row>
    <row r="308" customFormat="1" customHeight="1" spans="1:17">
      <c r="A308" s="924">
        <v>306</v>
      </c>
      <c r="B308" s="919" t="s">
        <v>2654</v>
      </c>
      <c r="C308" s="919"/>
      <c r="D308" s="920" t="s">
        <v>3456</v>
      </c>
      <c r="E308" s="921" t="s">
        <v>3374</v>
      </c>
      <c r="F308" s="922">
        <f>EDU*2+DEX*2</f>
        <v>0</v>
      </c>
      <c r="G308" s="923" t="s">
        <v>3526</v>
      </c>
      <c r="H308" s="3"/>
      <c r="I308" s="766"/>
      <c r="J308" s="773"/>
      <c r="K308" s="773"/>
      <c r="L308" s="773"/>
      <c r="M308" s="773" t="s">
        <v>3527</v>
      </c>
      <c r="N308" s="767"/>
      <c r="O308" s="767"/>
      <c r="P308" s="767"/>
      <c r="Q308" s="767"/>
    </row>
    <row r="309" customFormat="1" customHeight="1" spans="1:17">
      <c r="A309" s="918">
        <v>307</v>
      </c>
      <c r="B309" s="919" t="s">
        <v>2655</v>
      </c>
      <c r="C309" s="919"/>
      <c r="D309" s="920" t="s">
        <v>3001</v>
      </c>
      <c r="E309" s="921" t="s">
        <v>2801</v>
      </c>
      <c r="F309" s="922">
        <f>EDU*4</f>
        <v>0</v>
      </c>
      <c r="G309" s="923" t="s">
        <v>3528</v>
      </c>
      <c r="H309" s="3"/>
      <c r="I309" s="766"/>
      <c r="J309" s="773"/>
      <c r="K309" s="773"/>
      <c r="L309" s="773"/>
      <c r="M309" s="773" t="s">
        <v>3529</v>
      </c>
      <c r="N309" s="767"/>
      <c r="O309" s="767"/>
      <c r="P309" s="767"/>
      <c r="Q309" s="767"/>
    </row>
    <row r="310" customFormat="1" customHeight="1" spans="1:17">
      <c r="A310" s="918">
        <v>308</v>
      </c>
      <c r="B310" s="919" t="s">
        <v>2656</v>
      </c>
      <c r="C310" s="919"/>
      <c r="D310" s="920" t="s">
        <v>2776</v>
      </c>
      <c r="E310" s="921" t="s">
        <v>2801</v>
      </c>
      <c r="F310" s="922">
        <f>EDU*4</f>
        <v>0</v>
      </c>
      <c r="G310" s="923" t="s">
        <v>3530</v>
      </c>
      <c r="H310" s="3"/>
      <c r="I310" s="766"/>
      <c r="J310" s="773"/>
      <c r="K310" s="773"/>
      <c r="L310" s="773"/>
      <c r="M310" s="773" t="s">
        <v>3531</v>
      </c>
      <c r="N310" s="767"/>
      <c r="O310" s="767"/>
      <c r="P310" s="767"/>
      <c r="Q310" s="767"/>
    </row>
    <row r="311" customFormat="1" customHeight="1" spans="1:17">
      <c r="A311" s="918">
        <v>309</v>
      </c>
      <c r="B311" s="919" t="s">
        <v>2657</v>
      </c>
      <c r="C311" s="919"/>
      <c r="D311" s="920" t="s">
        <v>3387</v>
      </c>
      <c r="E311" s="921" t="s">
        <v>2801</v>
      </c>
      <c r="F311" s="922">
        <f>EDU*4</f>
        <v>0</v>
      </c>
      <c r="G311" s="923" t="s">
        <v>3532</v>
      </c>
      <c r="H311" s="3"/>
      <c r="I311" s="766"/>
      <c r="J311" s="773"/>
      <c r="K311" s="773"/>
      <c r="L311" s="773"/>
      <c r="M311" s="773" t="s">
        <v>3533</v>
      </c>
      <c r="N311" s="767"/>
      <c r="O311" s="767"/>
      <c r="P311" s="767"/>
      <c r="Q311" s="767"/>
    </row>
    <row r="312" customFormat="1" customHeight="1" spans="1:17">
      <c r="A312" s="924">
        <v>310</v>
      </c>
      <c r="B312" s="919" t="s">
        <v>2658</v>
      </c>
      <c r="C312" s="919"/>
      <c r="D312" s="920" t="s">
        <v>3456</v>
      </c>
      <c r="E312" s="921" t="s">
        <v>2801</v>
      </c>
      <c r="F312" s="922">
        <f>EDU*4</f>
        <v>0</v>
      </c>
      <c r="G312" s="923" t="s">
        <v>3534</v>
      </c>
      <c r="H312" s="3"/>
      <c r="I312" s="766"/>
      <c r="J312" s="773"/>
      <c r="K312" s="773"/>
      <c r="L312" s="773"/>
      <c r="M312" s="773" t="s">
        <v>3535</v>
      </c>
      <c r="N312" s="767"/>
      <c r="O312" s="767"/>
      <c r="P312" s="767"/>
      <c r="Q312" s="767"/>
    </row>
    <row r="313" customFormat="1" customHeight="1" spans="1:17">
      <c r="A313" s="918">
        <v>311</v>
      </c>
      <c r="B313" s="919" t="s">
        <v>2659</v>
      </c>
      <c r="C313" s="919"/>
      <c r="D313" s="920" t="s">
        <v>2916</v>
      </c>
      <c r="E313" s="921" t="s">
        <v>3368</v>
      </c>
      <c r="F313" s="922">
        <f>EDU*2+APP*2</f>
        <v>0</v>
      </c>
      <c r="G313" s="923" t="s">
        <v>3536</v>
      </c>
      <c r="H313" s="3"/>
      <c r="I313" s="766"/>
      <c r="J313" s="773"/>
      <c r="K313" s="773"/>
      <c r="L313" s="773"/>
      <c r="M313" s="773" t="s">
        <v>3537</v>
      </c>
      <c r="N313" s="767"/>
      <c r="O313" s="767"/>
      <c r="P313" s="767"/>
      <c r="Q313" s="767"/>
    </row>
    <row r="314" customFormat="1" customHeight="1" spans="1:17">
      <c r="A314" s="918">
        <v>312</v>
      </c>
      <c r="B314" s="919" t="s">
        <v>2660</v>
      </c>
      <c r="C314" s="919"/>
      <c r="D314" s="920" t="s">
        <v>2966</v>
      </c>
      <c r="E314" s="921" t="s">
        <v>2801</v>
      </c>
      <c r="F314" s="922">
        <f>EDU*4</f>
        <v>0</v>
      </c>
      <c r="G314" s="923" t="s">
        <v>3538</v>
      </c>
      <c r="H314" s="3"/>
      <c r="I314" s="766"/>
      <c r="J314" s="773"/>
      <c r="K314" s="773"/>
      <c r="L314" s="773"/>
      <c r="M314" s="773" t="s">
        <v>3539</v>
      </c>
      <c r="N314" s="767"/>
      <c r="O314" s="767"/>
      <c r="P314" s="767"/>
      <c r="Q314" s="767"/>
    </row>
    <row r="315" customFormat="1" customHeight="1" spans="1:17">
      <c r="A315" s="918">
        <v>313</v>
      </c>
      <c r="B315" s="919" t="s">
        <v>2661</v>
      </c>
      <c r="C315" s="919"/>
      <c r="D315" s="920" t="s">
        <v>2838</v>
      </c>
      <c r="E315" s="921" t="s">
        <v>3374</v>
      </c>
      <c r="F315" s="922">
        <f>EDU*2+DEX*2</f>
        <v>0</v>
      </c>
      <c r="G315" s="923" t="s">
        <v>3540</v>
      </c>
      <c r="H315" s="3"/>
      <c r="I315" s="766"/>
      <c r="J315" s="773"/>
      <c r="K315" s="773"/>
      <c r="L315" s="773"/>
      <c r="M315" s="773" t="s">
        <v>3541</v>
      </c>
      <c r="N315" s="767"/>
      <c r="O315" s="767"/>
      <c r="P315" s="767"/>
      <c r="Q315" s="767"/>
    </row>
    <row r="316" customFormat="1" customHeight="1" spans="1:17">
      <c r="A316" s="924">
        <v>314</v>
      </c>
      <c r="B316" s="919" t="s">
        <v>2662</v>
      </c>
      <c r="C316" s="919"/>
      <c r="D316" s="920" t="s">
        <v>2786</v>
      </c>
      <c r="E316" s="921" t="s">
        <v>3368</v>
      </c>
      <c r="F316" s="922">
        <f>EDU*2+APP*2</f>
        <v>0</v>
      </c>
      <c r="G316" s="923" t="s">
        <v>3542</v>
      </c>
      <c r="H316" s="3"/>
      <c r="I316" s="766"/>
      <c r="J316" s="773"/>
      <c r="K316" s="773"/>
      <c r="L316" s="773"/>
      <c r="M316" s="773" t="s">
        <v>3543</v>
      </c>
      <c r="N316" s="767"/>
      <c r="O316" s="767"/>
      <c r="P316" s="767"/>
      <c r="Q316" s="767"/>
    </row>
    <row r="317" customFormat="1" customHeight="1" spans="1:17">
      <c r="A317" s="918">
        <v>315</v>
      </c>
      <c r="B317" s="919" t="s">
        <v>2663</v>
      </c>
      <c r="C317" s="919"/>
      <c r="D317" s="920" t="s">
        <v>2916</v>
      </c>
      <c r="E317" s="921" t="s">
        <v>3368</v>
      </c>
      <c r="F317" s="922">
        <f>EDU*2+APP*2</f>
        <v>0</v>
      </c>
      <c r="G317" s="923" t="s">
        <v>3544</v>
      </c>
      <c r="H317" s="3"/>
      <c r="I317" s="766"/>
      <c r="J317" s="773"/>
      <c r="K317" s="773"/>
      <c r="L317" s="773"/>
      <c r="M317" s="773" t="s">
        <v>3545</v>
      </c>
      <c r="N317" s="767"/>
      <c r="O317" s="767"/>
      <c r="P317" s="767"/>
      <c r="Q317" s="767"/>
    </row>
    <row r="318" customFormat="1" customHeight="1" spans="1:17">
      <c r="A318" s="918">
        <v>316</v>
      </c>
      <c r="B318" s="919" t="s">
        <v>2664</v>
      </c>
      <c r="C318" s="919"/>
      <c r="D318" s="920" t="s">
        <v>3156</v>
      </c>
      <c r="E318" s="921" t="s">
        <v>3371</v>
      </c>
      <c r="F318" s="922">
        <f>EDU*2+INT*2</f>
        <v>0</v>
      </c>
      <c r="G318" s="923" t="s">
        <v>3546</v>
      </c>
      <c r="H318" s="3"/>
      <c r="I318" s="766"/>
      <c r="J318" s="773"/>
      <c r="K318" s="773"/>
      <c r="L318" s="773"/>
      <c r="M318" s="773" t="s">
        <v>3547</v>
      </c>
      <c r="N318" s="767"/>
      <c r="O318" s="767"/>
      <c r="P318" s="767"/>
      <c r="Q318" s="767"/>
    </row>
    <row r="319" customFormat="1" customHeight="1" spans="1:17">
      <c r="A319" s="918">
        <v>317</v>
      </c>
      <c r="B319" s="919" t="s">
        <v>2665</v>
      </c>
      <c r="C319" s="919"/>
      <c r="D319" s="920" t="s">
        <v>2781</v>
      </c>
      <c r="E319" s="921" t="s">
        <v>3427</v>
      </c>
      <c r="F319" s="922">
        <f>EDU*2+CON*2</f>
        <v>0</v>
      </c>
      <c r="G319" s="923" t="s">
        <v>3548</v>
      </c>
      <c r="H319" s="3"/>
      <c r="I319" s="766"/>
      <c r="J319" s="773"/>
      <c r="K319" s="773"/>
      <c r="L319" s="773"/>
      <c r="M319" s="773" t="s">
        <v>3549</v>
      </c>
      <c r="N319" s="767"/>
      <c r="O319" s="767"/>
      <c r="P319" s="767"/>
      <c r="Q319" s="767"/>
    </row>
    <row r="320" customFormat="1" customHeight="1" spans="1:17">
      <c r="A320" s="924">
        <v>318</v>
      </c>
      <c r="B320" s="919" t="s">
        <v>2666</v>
      </c>
      <c r="C320" s="919"/>
      <c r="D320" s="920" t="s">
        <v>2776</v>
      </c>
      <c r="E320" s="921" t="s">
        <v>3368</v>
      </c>
      <c r="F320" s="922">
        <f>EDU*2+APP*2</f>
        <v>0</v>
      </c>
      <c r="G320" s="923" t="s">
        <v>3550</v>
      </c>
      <c r="H320" s="3"/>
      <c r="I320" s="766"/>
      <c r="J320" s="773"/>
      <c r="K320" s="773"/>
      <c r="L320" s="773"/>
      <c r="M320" s="773" t="s">
        <v>3551</v>
      </c>
      <c r="N320" s="767"/>
      <c r="O320" s="767"/>
      <c r="P320" s="767"/>
      <c r="Q320" s="767"/>
    </row>
    <row r="321" customFormat="1" customHeight="1" spans="1:17">
      <c r="A321" s="918">
        <v>319</v>
      </c>
      <c r="B321" s="919" t="s">
        <v>2667</v>
      </c>
      <c r="C321" s="919"/>
      <c r="D321" s="920" t="s">
        <v>3387</v>
      </c>
      <c r="E321" s="921" t="s">
        <v>2801</v>
      </c>
      <c r="F321" s="922">
        <f>EDU*4</f>
        <v>0</v>
      </c>
      <c r="G321" s="923" t="s">
        <v>3552</v>
      </c>
      <c r="H321" s="3"/>
      <c r="I321" s="766"/>
      <c r="J321" s="773"/>
      <c r="K321" s="773"/>
      <c r="L321" s="773"/>
      <c r="M321" s="773" t="s">
        <v>3553</v>
      </c>
      <c r="N321" s="767"/>
      <c r="O321" s="767"/>
      <c r="P321" s="767"/>
      <c r="Q321" s="767"/>
    </row>
    <row r="322" customFormat="1" customHeight="1" spans="1:17">
      <c r="A322" s="918">
        <v>320</v>
      </c>
      <c r="B322" s="919" t="s">
        <v>2668</v>
      </c>
      <c r="C322" s="919"/>
      <c r="D322" s="920" t="s">
        <v>3026</v>
      </c>
      <c r="E322" s="921" t="s">
        <v>2801</v>
      </c>
      <c r="F322" s="922">
        <f>EDU*4</f>
        <v>0</v>
      </c>
      <c r="G322" s="923" t="s">
        <v>3554</v>
      </c>
      <c r="H322" s="3"/>
      <c r="I322" s="766"/>
      <c r="J322" s="773"/>
      <c r="K322" s="773"/>
      <c r="L322" s="773"/>
      <c r="M322" s="773" t="s">
        <v>3555</v>
      </c>
      <c r="N322" s="767"/>
      <c r="O322" s="767"/>
      <c r="P322" s="767"/>
      <c r="Q322" s="767"/>
    </row>
    <row r="323" customFormat="1" customHeight="1" spans="1:17">
      <c r="A323" s="918">
        <v>321</v>
      </c>
      <c r="B323" s="919" t="s">
        <v>2669</v>
      </c>
      <c r="C323" s="919"/>
      <c r="D323" s="920" t="s">
        <v>2781</v>
      </c>
      <c r="E323" s="921" t="s">
        <v>3382</v>
      </c>
      <c r="F323" s="922">
        <f>EDU*2+STR*2</f>
        <v>0</v>
      </c>
      <c r="G323" s="923" t="s">
        <v>3556</v>
      </c>
      <c r="H323" s="3"/>
      <c r="I323" s="766"/>
      <c r="J323" s="773"/>
      <c r="K323" s="773"/>
      <c r="L323" s="773"/>
      <c r="M323" s="773" t="s">
        <v>3557</v>
      </c>
      <c r="N323" s="767"/>
      <c r="O323" s="767"/>
      <c r="P323" s="767"/>
      <c r="Q323" s="767"/>
    </row>
    <row r="324" customFormat="1" customHeight="1" spans="1:17">
      <c r="A324" s="924">
        <v>322</v>
      </c>
      <c r="B324" s="919" t="s">
        <v>2670</v>
      </c>
      <c r="C324" s="919"/>
      <c r="D324" s="920" t="s">
        <v>3558</v>
      </c>
      <c r="E324" s="921" t="s">
        <v>2801</v>
      </c>
      <c r="F324" s="922">
        <f>EDU*4</f>
        <v>0</v>
      </c>
      <c r="G324" s="923" t="s">
        <v>3559</v>
      </c>
      <c r="H324" s="3"/>
      <c r="I324" s="766"/>
      <c r="J324" s="773"/>
      <c r="K324" s="773"/>
      <c r="L324" s="773"/>
      <c r="M324" s="773" t="s">
        <v>3560</v>
      </c>
      <c r="N324" s="767"/>
      <c r="O324" s="767"/>
      <c r="P324" s="767"/>
      <c r="Q324" s="767"/>
    </row>
    <row r="325" customFormat="1" customHeight="1" spans="1:17">
      <c r="A325" s="918">
        <v>323</v>
      </c>
      <c r="B325" s="919" t="s">
        <v>2671</v>
      </c>
      <c r="C325" s="919"/>
      <c r="D325" s="920" t="s">
        <v>2838</v>
      </c>
      <c r="E325" s="921" t="s">
        <v>3382</v>
      </c>
      <c r="F325" s="922">
        <f>EDU*2+STR*2</f>
        <v>0</v>
      </c>
      <c r="G325" s="923" t="s">
        <v>3561</v>
      </c>
      <c r="H325" s="3"/>
      <c r="I325" s="766"/>
      <c r="J325" s="773"/>
      <c r="K325" s="773"/>
      <c r="L325" s="773"/>
      <c r="M325" s="773" t="s">
        <v>3562</v>
      </c>
      <c r="N325" s="767"/>
      <c r="O325" s="767"/>
      <c r="P325" s="767"/>
      <c r="Q325" s="767"/>
    </row>
    <row r="326" customFormat="1" customHeight="1" spans="1:17">
      <c r="A326" s="918">
        <v>324</v>
      </c>
      <c r="B326" s="919" t="s">
        <v>2672</v>
      </c>
      <c r="C326" s="919"/>
      <c r="D326" s="920" t="s">
        <v>2916</v>
      </c>
      <c r="E326" s="921" t="s">
        <v>3374</v>
      </c>
      <c r="F326" s="922">
        <f>EDU*2+DEX*2</f>
        <v>0</v>
      </c>
      <c r="G326" s="923" t="s">
        <v>3563</v>
      </c>
      <c r="H326" s="3"/>
      <c r="I326" s="766"/>
      <c r="J326" s="773"/>
      <c r="K326" s="773"/>
      <c r="L326" s="773"/>
      <c r="M326" s="773" t="s">
        <v>3564</v>
      </c>
      <c r="N326" s="767"/>
      <c r="O326" s="767"/>
      <c r="P326" s="767"/>
      <c r="Q326" s="767"/>
    </row>
    <row r="327" customFormat="1" customHeight="1" spans="1:17">
      <c r="A327" s="918">
        <v>325</v>
      </c>
      <c r="B327" s="919" t="s">
        <v>2673</v>
      </c>
      <c r="C327" s="919"/>
      <c r="D327" s="920" t="s">
        <v>2776</v>
      </c>
      <c r="E327" s="921" t="s">
        <v>2801</v>
      </c>
      <c r="F327" s="922">
        <f>EDU*4</f>
        <v>0</v>
      </c>
      <c r="G327" s="923" t="s">
        <v>3565</v>
      </c>
      <c r="H327" s="3"/>
      <c r="I327" s="766"/>
      <c r="J327" s="773"/>
      <c r="K327" s="773"/>
      <c r="L327" s="773"/>
      <c r="M327" s="773" t="s">
        <v>3566</v>
      </c>
      <c r="N327" s="767"/>
      <c r="O327" s="767"/>
      <c r="P327" s="767"/>
      <c r="Q327" s="767"/>
    </row>
    <row r="328" customFormat="1" customHeight="1" spans="1:17">
      <c r="A328" s="924">
        <v>326</v>
      </c>
      <c r="B328" s="919" t="s">
        <v>2674</v>
      </c>
      <c r="C328" s="919"/>
      <c r="D328" s="920" t="s">
        <v>3251</v>
      </c>
      <c r="E328" s="921" t="s">
        <v>2801</v>
      </c>
      <c r="F328" s="922">
        <f>EDU*4</f>
        <v>0</v>
      </c>
      <c r="G328" s="923" t="s">
        <v>3567</v>
      </c>
      <c r="H328" s="3"/>
      <c r="I328" s="766"/>
      <c r="J328" s="773"/>
      <c r="K328" s="773"/>
      <c r="L328" s="773"/>
      <c r="M328" s="773" t="s">
        <v>3568</v>
      </c>
      <c r="N328" s="767"/>
      <c r="O328" s="767"/>
      <c r="P328" s="767"/>
      <c r="Q328" s="767"/>
    </row>
    <row r="329" customFormat="1" customHeight="1" spans="1:17">
      <c r="A329" s="918">
        <v>327</v>
      </c>
      <c r="B329" s="919" t="s">
        <v>2675</v>
      </c>
      <c r="C329" s="919"/>
      <c r="D329" s="920" t="s">
        <v>2776</v>
      </c>
      <c r="E329" s="921" t="s">
        <v>2801</v>
      </c>
      <c r="F329" s="922">
        <f>EDU*4</f>
        <v>0</v>
      </c>
      <c r="G329" s="923" t="s">
        <v>3569</v>
      </c>
      <c r="H329" s="3"/>
      <c r="I329" s="766"/>
      <c r="J329" s="773"/>
      <c r="K329" s="773"/>
      <c r="L329" s="773"/>
      <c r="M329" s="773" t="s">
        <v>3570</v>
      </c>
      <c r="N329" s="767"/>
      <c r="O329" s="767"/>
      <c r="P329" s="767"/>
      <c r="Q329" s="767"/>
    </row>
    <row r="330" customFormat="1" customHeight="1" spans="1:17">
      <c r="A330" s="918">
        <v>328</v>
      </c>
      <c r="B330" s="919" t="s">
        <v>2676</v>
      </c>
      <c r="C330" s="919"/>
      <c r="D330" s="920" t="s">
        <v>2916</v>
      </c>
      <c r="E330" s="921" t="s">
        <v>2801</v>
      </c>
      <c r="F330" s="922">
        <f>EDU*4</f>
        <v>0</v>
      </c>
      <c r="G330" s="923" t="s">
        <v>3571</v>
      </c>
      <c r="H330" s="3"/>
      <c r="I330" s="766"/>
      <c r="J330" s="773"/>
      <c r="K330" s="773"/>
      <c r="L330" s="773"/>
      <c r="M330" s="773" t="s">
        <v>3572</v>
      </c>
      <c r="N330" s="767"/>
      <c r="O330" s="767"/>
      <c r="P330" s="767"/>
      <c r="Q330" s="767"/>
    </row>
    <row r="331" customFormat="1" customHeight="1" spans="1:17">
      <c r="A331" s="918">
        <v>329</v>
      </c>
      <c r="B331" s="919" t="s">
        <v>2677</v>
      </c>
      <c r="C331" s="919"/>
      <c r="D331" s="920" t="s">
        <v>3456</v>
      </c>
      <c r="E331" s="921" t="s">
        <v>2801</v>
      </c>
      <c r="F331" s="922">
        <f>EDU*4</f>
        <v>0</v>
      </c>
      <c r="G331" s="923" t="s">
        <v>3573</v>
      </c>
      <c r="H331" s="3"/>
      <c r="I331" s="766"/>
      <c r="J331" s="773"/>
      <c r="K331" s="773"/>
      <c r="L331" s="773"/>
      <c r="M331" s="773" t="s">
        <v>3574</v>
      </c>
      <c r="N331" s="767"/>
      <c r="O331" s="767"/>
      <c r="P331" s="767"/>
      <c r="Q331" s="767"/>
    </row>
    <row r="332" customFormat="1" customHeight="1" spans="1:17">
      <c r="A332" s="924">
        <v>330</v>
      </c>
      <c r="B332" s="919" t="s">
        <v>2678</v>
      </c>
      <c r="C332" s="919"/>
      <c r="D332" s="920" t="s">
        <v>3001</v>
      </c>
      <c r="E332" s="921" t="s">
        <v>2801</v>
      </c>
      <c r="F332" s="922">
        <f>EDU*4</f>
        <v>0</v>
      </c>
      <c r="G332" s="923" t="s">
        <v>3575</v>
      </c>
      <c r="H332" s="3"/>
      <c r="I332" s="766"/>
      <c r="J332" s="773"/>
      <c r="K332" s="773"/>
      <c r="L332" s="773"/>
      <c r="M332" s="773" t="s">
        <v>3576</v>
      </c>
      <c r="N332" s="767"/>
      <c r="O332" s="767"/>
      <c r="P332" s="767"/>
      <c r="Q332" s="767"/>
    </row>
    <row r="333" customFormat="1" customHeight="1" spans="1:17">
      <c r="A333" s="918">
        <v>331</v>
      </c>
      <c r="B333" s="919" t="s">
        <v>2679</v>
      </c>
      <c r="C333" s="919"/>
      <c r="D333" s="920" t="s">
        <v>3456</v>
      </c>
      <c r="E333" s="921" t="s">
        <v>2801</v>
      </c>
      <c r="F333" s="922">
        <f>EDU*4</f>
        <v>0</v>
      </c>
      <c r="G333" s="923" t="s">
        <v>3577</v>
      </c>
      <c r="H333" s="3"/>
      <c r="I333" s="766"/>
      <c r="J333" s="773"/>
      <c r="K333" s="773"/>
      <c r="L333" s="773"/>
      <c r="M333" s="773" t="s">
        <v>3578</v>
      </c>
      <c r="N333" s="767"/>
      <c r="O333" s="767"/>
      <c r="P333" s="767"/>
      <c r="Q333" s="767"/>
    </row>
    <row r="334" customFormat="1" customHeight="1" spans="1:17">
      <c r="A334" s="918">
        <v>332</v>
      </c>
      <c r="B334" s="919" t="s">
        <v>2680</v>
      </c>
      <c r="C334" s="919"/>
      <c r="D334" s="920" t="s">
        <v>3459</v>
      </c>
      <c r="E334" s="921" t="s">
        <v>2801</v>
      </c>
      <c r="F334" s="922">
        <f>EDU*4</f>
        <v>0</v>
      </c>
      <c r="G334" s="923" t="s">
        <v>3579</v>
      </c>
      <c r="H334" s="3"/>
      <c r="I334" s="766"/>
      <c r="J334" s="773"/>
      <c r="K334" s="773"/>
      <c r="L334" s="773"/>
      <c r="M334" s="773" t="s">
        <v>3580</v>
      </c>
      <c r="N334" s="767"/>
      <c r="O334" s="767"/>
      <c r="P334" s="767"/>
      <c r="Q334" s="767"/>
    </row>
    <row r="335" customFormat="1" customHeight="1" spans="1:17">
      <c r="A335" s="918">
        <v>333</v>
      </c>
      <c r="B335" s="919" t="s">
        <v>2681</v>
      </c>
      <c r="C335" s="919"/>
      <c r="D335" s="920" t="s">
        <v>3558</v>
      </c>
      <c r="E335" s="921" t="s">
        <v>2801</v>
      </c>
      <c r="F335" s="922">
        <f>EDU*4</f>
        <v>0</v>
      </c>
      <c r="G335" s="923" t="s">
        <v>3581</v>
      </c>
      <c r="H335" s="3"/>
      <c r="I335" s="766"/>
      <c r="J335" s="773"/>
      <c r="K335" s="773"/>
      <c r="L335" s="773"/>
      <c r="M335" s="773" t="s">
        <v>3582</v>
      </c>
      <c r="N335" s="767"/>
      <c r="O335" s="767"/>
      <c r="P335" s="767"/>
      <c r="Q335" s="767"/>
    </row>
    <row r="336" customFormat="1" ht="83.25" spans="1:17">
      <c r="A336" s="924">
        <v>334</v>
      </c>
      <c r="B336" s="919" t="s">
        <v>2682</v>
      </c>
      <c r="C336" s="919"/>
      <c r="D336" s="920" t="s">
        <v>3583</v>
      </c>
      <c r="E336" s="921" t="s">
        <v>3368</v>
      </c>
      <c r="F336" s="922">
        <f>EDU*2+APP*2</f>
        <v>0</v>
      </c>
      <c r="G336" s="923" t="s">
        <v>3584</v>
      </c>
      <c r="H336" s="3"/>
      <c r="I336" s="766"/>
      <c r="J336" s="773"/>
      <c r="K336" s="773"/>
      <c r="L336" s="773"/>
      <c r="M336" s="773" t="s">
        <v>3585</v>
      </c>
      <c r="N336" s="767"/>
      <c r="O336" s="767"/>
      <c r="P336" s="767"/>
      <c r="Q336" s="767"/>
    </row>
    <row r="337" customFormat="1" customHeight="1" spans="1:17">
      <c r="A337" s="918">
        <v>335</v>
      </c>
      <c r="B337" s="919" t="s">
        <v>2683</v>
      </c>
      <c r="C337" s="919"/>
      <c r="D337" s="920" t="s">
        <v>2795</v>
      </c>
      <c r="E337" s="921" t="s">
        <v>3374</v>
      </c>
      <c r="F337" s="922">
        <f>EDU*2+DEX*2</f>
        <v>0</v>
      </c>
      <c r="G337" s="923" t="s">
        <v>3586</v>
      </c>
      <c r="H337" s="3"/>
      <c r="I337" s="766"/>
      <c r="J337" s="773"/>
      <c r="K337" s="773"/>
      <c r="L337" s="773"/>
      <c r="M337" s="773" t="s">
        <v>3587</v>
      </c>
      <c r="N337" s="767"/>
      <c r="O337" s="767"/>
      <c r="P337" s="767"/>
      <c r="Q337" s="767"/>
    </row>
    <row r="338" customFormat="1" customHeight="1" spans="1:17">
      <c r="A338" s="918">
        <v>336</v>
      </c>
      <c r="B338" s="919" t="s">
        <v>2684</v>
      </c>
      <c r="C338" s="919"/>
      <c r="D338" s="920" t="s">
        <v>2846</v>
      </c>
      <c r="E338" s="921" t="s">
        <v>3371</v>
      </c>
      <c r="F338" s="922">
        <f>EDU*2+INT*2</f>
        <v>0</v>
      </c>
      <c r="G338" s="923" t="s">
        <v>3588</v>
      </c>
      <c r="H338" s="3"/>
      <c r="I338" s="766"/>
      <c r="J338" s="773"/>
      <c r="K338" s="773"/>
      <c r="L338" s="773"/>
      <c r="M338" s="773" t="s">
        <v>3589</v>
      </c>
      <c r="N338" s="767"/>
      <c r="O338" s="767"/>
      <c r="P338" s="767"/>
      <c r="Q338" s="767"/>
    </row>
    <row r="339" customFormat="1" customHeight="1" spans="1:17">
      <c r="A339" s="918">
        <v>337</v>
      </c>
      <c r="B339" s="919" t="s">
        <v>2685</v>
      </c>
      <c r="C339" s="919"/>
      <c r="D339" s="920" t="s">
        <v>3590</v>
      </c>
      <c r="E339" s="921" t="s">
        <v>3382</v>
      </c>
      <c r="F339" s="922">
        <f>EDU*2+STR*2</f>
        <v>0</v>
      </c>
      <c r="G339" s="923" t="s">
        <v>3591</v>
      </c>
      <c r="H339" s="3"/>
      <c r="I339" s="766"/>
      <c r="J339" s="773"/>
      <c r="K339" s="773"/>
      <c r="L339" s="773"/>
      <c r="M339" s="773" t="s">
        <v>3592</v>
      </c>
      <c r="N339" s="767"/>
      <c r="O339" s="767"/>
      <c r="P339" s="767"/>
      <c r="Q339" s="767"/>
    </row>
    <row r="340" customFormat="1" customHeight="1" spans="1:17">
      <c r="A340" s="924">
        <v>338</v>
      </c>
      <c r="B340" s="919" t="s">
        <v>2686</v>
      </c>
      <c r="C340" s="919"/>
      <c r="D340" s="920" t="s">
        <v>2846</v>
      </c>
      <c r="E340" s="921" t="s">
        <v>2801</v>
      </c>
      <c r="F340" s="922">
        <f>EDU*4</f>
        <v>0</v>
      </c>
      <c r="G340" s="923" t="s">
        <v>3593</v>
      </c>
      <c r="H340" s="3"/>
      <c r="I340" s="766"/>
      <c r="J340" s="773"/>
      <c r="K340" s="773"/>
      <c r="L340" s="773"/>
      <c r="M340" s="773" t="s">
        <v>3594</v>
      </c>
      <c r="N340" s="767"/>
      <c r="O340" s="767"/>
      <c r="P340" s="767"/>
      <c r="Q340" s="767"/>
    </row>
    <row r="341" customFormat="1" customHeight="1" spans="1:17">
      <c r="A341" s="918">
        <v>339</v>
      </c>
      <c r="B341" s="926" t="s">
        <v>2687</v>
      </c>
      <c r="C341" s="919"/>
      <c r="D341" s="920" t="s">
        <v>3595</v>
      </c>
      <c r="E341" s="921" t="s">
        <v>3368</v>
      </c>
      <c r="F341" s="922">
        <f>EDU*2+APP*2</f>
        <v>0</v>
      </c>
      <c r="G341" s="923" t="s">
        <v>3596</v>
      </c>
      <c r="H341" s="3"/>
      <c r="I341" s="766"/>
      <c r="J341" s="773"/>
      <c r="K341" s="773"/>
      <c r="L341" s="773"/>
      <c r="M341" s="773" t="s">
        <v>3597</v>
      </c>
      <c r="N341" s="767"/>
      <c r="O341" s="767"/>
      <c r="P341" s="767"/>
      <c r="Q341" s="767"/>
    </row>
    <row r="342" customFormat="1" customHeight="1" spans="1:17">
      <c r="A342" s="918">
        <v>340</v>
      </c>
      <c r="B342" s="919" t="s">
        <v>2688</v>
      </c>
      <c r="C342" s="919"/>
      <c r="D342" s="920" t="s">
        <v>3598</v>
      </c>
      <c r="E342" s="921" t="s">
        <v>3379</v>
      </c>
      <c r="F342" s="922">
        <f>EDU*2+POW*2</f>
        <v>0</v>
      </c>
      <c r="G342" s="923" t="s">
        <v>3599</v>
      </c>
      <c r="H342" s="3"/>
      <c r="I342" s="766"/>
      <c r="J342" s="773"/>
      <c r="K342" s="773"/>
      <c r="L342" s="773"/>
      <c r="M342" s="773" t="s">
        <v>3600</v>
      </c>
      <c r="N342" s="767"/>
      <c r="O342" s="767"/>
      <c r="P342" s="767"/>
      <c r="Q342" s="767"/>
    </row>
    <row r="343" customFormat="1" customHeight="1" spans="1:17">
      <c r="A343" s="918">
        <v>341</v>
      </c>
      <c r="B343" s="919" t="s">
        <v>2689</v>
      </c>
      <c r="C343" s="919"/>
      <c r="D343" s="920" t="s">
        <v>2776</v>
      </c>
      <c r="E343" s="921" t="s">
        <v>3371</v>
      </c>
      <c r="F343" s="922">
        <f>EDU*2+INT*2</f>
        <v>0</v>
      </c>
      <c r="G343" s="923" t="s">
        <v>3601</v>
      </c>
      <c r="H343" s="3"/>
      <c r="I343" s="766"/>
      <c r="J343" s="773"/>
      <c r="K343" s="773"/>
      <c r="L343" s="773"/>
      <c r="M343" s="773" t="s">
        <v>3602</v>
      </c>
      <c r="N343" s="767"/>
      <c r="O343" s="767"/>
      <c r="P343" s="767"/>
      <c r="Q343" s="767"/>
    </row>
    <row r="344" customFormat="1" customHeight="1" spans="1:17">
      <c r="A344" s="924">
        <v>342</v>
      </c>
      <c r="B344" s="919" t="s">
        <v>2690</v>
      </c>
      <c r="C344" s="919"/>
      <c r="D344" s="920" t="s">
        <v>2944</v>
      </c>
      <c r="E344" s="921" t="s">
        <v>3374</v>
      </c>
      <c r="F344" s="922">
        <f>EDU*2+DEX*2</f>
        <v>0</v>
      </c>
      <c r="G344" s="923" t="s">
        <v>3603</v>
      </c>
      <c r="H344" s="3"/>
      <c r="I344" s="766"/>
      <c r="J344" s="773"/>
      <c r="K344" s="773"/>
      <c r="L344" s="773"/>
      <c r="M344" s="773" t="s">
        <v>3604</v>
      </c>
      <c r="N344" s="767"/>
      <c r="O344" s="767"/>
      <c r="P344" s="767"/>
      <c r="Q344" s="767"/>
    </row>
    <row r="345" customFormat="1" customHeight="1" spans="1:17">
      <c r="A345" s="918">
        <v>343</v>
      </c>
      <c r="B345" s="919" t="s">
        <v>2691</v>
      </c>
      <c r="C345" s="919"/>
      <c r="D345" s="920" t="s">
        <v>2776</v>
      </c>
      <c r="E345" s="921" t="s">
        <v>3368</v>
      </c>
      <c r="F345" s="922">
        <f>EDU*2+APP*2</f>
        <v>0</v>
      </c>
      <c r="G345" s="923" t="s">
        <v>3605</v>
      </c>
      <c r="H345" s="3"/>
      <c r="I345" s="766"/>
      <c r="J345" s="773"/>
      <c r="K345" s="773"/>
      <c r="L345" s="773"/>
      <c r="M345" s="773" t="s">
        <v>3606</v>
      </c>
      <c r="N345" s="767"/>
      <c r="O345" s="767"/>
      <c r="P345" s="767"/>
      <c r="Q345" s="767"/>
    </row>
    <row r="346" customFormat="1" customHeight="1" spans="1:17">
      <c r="A346" s="918">
        <v>344</v>
      </c>
      <c r="B346" s="919" t="s">
        <v>2692</v>
      </c>
      <c r="C346" s="919"/>
      <c r="D346" s="920" t="s">
        <v>2776</v>
      </c>
      <c r="E346" s="921" t="s">
        <v>3374</v>
      </c>
      <c r="F346" s="922">
        <f>EDU*2+DEX*2</f>
        <v>0</v>
      </c>
      <c r="G346" s="923" t="s">
        <v>3607</v>
      </c>
      <c r="H346" s="3"/>
      <c r="I346" s="766"/>
      <c r="J346" s="773"/>
      <c r="K346" s="773"/>
      <c r="L346" s="773"/>
      <c r="M346" s="773" t="s">
        <v>3608</v>
      </c>
      <c r="N346" s="767"/>
      <c r="O346" s="767"/>
      <c r="P346" s="767"/>
      <c r="Q346" s="767"/>
    </row>
    <row r="347" customFormat="1" customHeight="1" spans="1:17">
      <c r="A347" s="918">
        <v>345</v>
      </c>
      <c r="B347" s="919" t="s">
        <v>2693</v>
      </c>
      <c r="C347" s="919"/>
      <c r="D347" s="920" t="s">
        <v>3456</v>
      </c>
      <c r="E347" s="921" t="s">
        <v>2801</v>
      </c>
      <c r="F347" s="922">
        <f>EDU*4</f>
        <v>0</v>
      </c>
      <c r="G347" s="923" t="s">
        <v>3609</v>
      </c>
      <c r="H347" s="3"/>
      <c r="I347" s="766"/>
      <c r="J347" s="773"/>
      <c r="K347" s="773"/>
      <c r="L347" s="773"/>
      <c r="M347" s="773" t="s">
        <v>3610</v>
      </c>
      <c r="N347" s="767"/>
      <c r="O347" s="767"/>
      <c r="P347" s="767"/>
      <c r="Q347" s="767"/>
    </row>
    <row r="348" customFormat="1" customHeight="1" spans="1:17">
      <c r="A348" s="924">
        <v>346</v>
      </c>
      <c r="B348" s="919" t="s">
        <v>2694</v>
      </c>
      <c r="C348" s="919"/>
      <c r="D348" s="920" t="s">
        <v>2776</v>
      </c>
      <c r="E348" s="921" t="s">
        <v>2801</v>
      </c>
      <c r="F348" s="922">
        <f>EDU*4</f>
        <v>0</v>
      </c>
      <c r="G348" s="923" t="s">
        <v>3611</v>
      </c>
      <c r="H348" s="3"/>
      <c r="I348" s="766"/>
      <c r="J348" s="773"/>
      <c r="K348" s="773"/>
      <c r="L348" s="773"/>
      <c r="M348" s="773" t="s">
        <v>3612</v>
      </c>
      <c r="N348" s="767"/>
      <c r="O348" s="767"/>
      <c r="P348" s="767"/>
      <c r="Q348" s="767"/>
    </row>
    <row r="349" customFormat="1" customHeight="1" spans="1:17">
      <c r="A349" s="918">
        <v>347</v>
      </c>
      <c r="B349" s="919" t="s">
        <v>2695</v>
      </c>
      <c r="C349" s="919"/>
      <c r="D349" s="920" t="s">
        <v>2846</v>
      </c>
      <c r="E349" s="921" t="s">
        <v>3374</v>
      </c>
      <c r="F349" s="922">
        <f>EDU*2+DEX*2</f>
        <v>0</v>
      </c>
      <c r="G349" s="923" t="s">
        <v>3613</v>
      </c>
      <c r="H349" s="3"/>
      <c r="I349" s="766"/>
      <c r="J349" s="773"/>
      <c r="K349" s="773"/>
      <c r="L349" s="773"/>
      <c r="M349" s="773" t="s">
        <v>3614</v>
      </c>
      <c r="N349" s="767"/>
      <c r="O349" s="767"/>
      <c r="P349" s="767"/>
      <c r="Q349" s="767"/>
    </row>
    <row r="350" customFormat="1" customHeight="1" spans="1:17">
      <c r="A350" s="918">
        <v>348</v>
      </c>
      <c r="B350" s="919" t="s">
        <v>2696</v>
      </c>
      <c r="C350" s="919"/>
      <c r="D350" s="920" t="s">
        <v>3590</v>
      </c>
      <c r="E350" s="921" t="s">
        <v>3368</v>
      </c>
      <c r="F350" s="922">
        <f>EDU*2+APP*2</f>
        <v>0</v>
      </c>
      <c r="G350" s="923" t="s">
        <v>3615</v>
      </c>
      <c r="H350" s="3"/>
      <c r="I350" s="766"/>
      <c r="J350" s="773"/>
      <c r="K350" s="773"/>
      <c r="L350" s="773"/>
      <c r="M350" s="773" t="s">
        <v>3616</v>
      </c>
      <c r="N350" s="767"/>
      <c r="O350" s="767"/>
      <c r="P350" s="767"/>
      <c r="Q350" s="767"/>
    </row>
    <row r="351" customFormat="1" customHeight="1" spans="1:17">
      <c r="A351" s="918">
        <v>349</v>
      </c>
      <c r="B351" s="919" t="s">
        <v>2697</v>
      </c>
      <c r="C351" s="919"/>
      <c r="D351" s="920" t="s">
        <v>3051</v>
      </c>
      <c r="E351" s="921" t="s">
        <v>2801</v>
      </c>
      <c r="F351" s="922">
        <f>EDU*4</f>
        <v>0</v>
      </c>
      <c r="G351" s="923" t="s">
        <v>3617</v>
      </c>
      <c r="H351" s="3"/>
      <c r="I351" s="766"/>
      <c r="J351" s="773"/>
      <c r="K351" s="773"/>
      <c r="L351" s="773"/>
      <c r="M351" s="773" t="s">
        <v>3618</v>
      </c>
      <c r="N351" s="767"/>
      <c r="O351" s="767"/>
      <c r="P351" s="767"/>
      <c r="Q351" s="767"/>
    </row>
    <row r="352" customFormat="1" customHeight="1" spans="1:17">
      <c r="A352" s="924">
        <v>350</v>
      </c>
      <c r="B352" s="919" t="s">
        <v>2698</v>
      </c>
      <c r="C352" s="919"/>
      <c r="D352" s="920" t="s">
        <v>3619</v>
      </c>
      <c r="E352" s="921" t="s">
        <v>2801</v>
      </c>
      <c r="F352" s="922">
        <f>EDU*4</f>
        <v>0</v>
      </c>
      <c r="G352" s="923" t="s">
        <v>3620</v>
      </c>
      <c r="H352" s="3"/>
      <c r="I352" s="766"/>
      <c r="J352" s="773"/>
      <c r="K352" s="773"/>
      <c r="L352" s="773"/>
      <c r="M352" s="773" t="s">
        <v>3621</v>
      </c>
      <c r="N352" s="767"/>
      <c r="O352" s="767"/>
      <c r="P352" s="767"/>
      <c r="Q352" s="767"/>
    </row>
    <row r="353" customFormat="1" customHeight="1" spans="1:17">
      <c r="A353" s="918">
        <v>351</v>
      </c>
      <c r="B353" s="919" t="s">
        <v>2699</v>
      </c>
      <c r="C353" s="919"/>
      <c r="D353" s="920" t="s">
        <v>3083</v>
      </c>
      <c r="E353" s="921" t="s">
        <v>2801</v>
      </c>
      <c r="F353" s="922">
        <f>EDU*4</f>
        <v>0</v>
      </c>
      <c r="G353" s="923" t="s">
        <v>3622</v>
      </c>
      <c r="H353" s="3"/>
      <c r="I353" s="766"/>
      <c r="J353" s="773"/>
      <c r="K353" s="773"/>
      <c r="L353" s="773"/>
      <c r="M353" s="773" t="s">
        <v>3623</v>
      </c>
      <c r="N353" s="767"/>
      <c r="O353" s="767"/>
      <c r="P353" s="767"/>
      <c r="Q353" s="767"/>
    </row>
    <row r="354" customFormat="1" customHeight="1" spans="1:17">
      <c r="A354" s="918">
        <v>352</v>
      </c>
      <c r="B354" s="919" t="s">
        <v>2700</v>
      </c>
      <c r="C354" s="919"/>
      <c r="D354" s="920" t="s">
        <v>3624</v>
      </c>
      <c r="E354" s="921" t="s">
        <v>2801</v>
      </c>
      <c r="F354" s="922">
        <f>EDU*4</f>
        <v>0</v>
      </c>
      <c r="G354" s="923" t="s">
        <v>3625</v>
      </c>
      <c r="H354" s="3"/>
      <c r="I354" s="766"/>
      <c r="J354" s="773"/>
      <c r="K354" s="773"/>
      <c r="L354" s="773"/>
      <c r="M354" s="773" t="s">
        <v>3626</v>
      </c>
      <c r="N354" s="767"/>
      <c r="O354" s="767"/>
      <c r="P354" s="767"/>
      <c r="Q354" s="767"/>
    </row>
    <row r="355" customFormat="1" customHeight="1" spans="1:17">
      <c r="A355" s="918">
        <v>353</v>
      </c>
      <c r="B355" s="919" t="s">
        <v>2701</v>
      </c>
      <c r="C355" s="919"/>
      <c r="D355" s="920" t="s">
        <v>3627</v>
      </c>
      <c r="E355" s="921" t="s">
        <v>3368</v>
      </c>
      <c r="F355" s="922">
        <f>EDU*2+APP*2</f>
        <v>0</v>
      </c>
      <c r="G355" s="923" t="s">
        <v>3628</v>
      </c>
      <c r="H355" s="3"/>
      <c r="I355" s="766"/>
      <c r="J355" s="773"/>
      <c r="K355" s="773"/>
      <c r="L355" s="773"/>
      <c r="M355" s="773" t="s">
        <v>3629</v>
      </c>
      <c r="N355" s="767"/>
      <c r="O355" s="767"/>
      <c r="P355" s="767"/>
      <c r="Q355" s="767"/>
    </row>
    <row r="356" customFormat="1" customHeight="1" spans="1:17">
      <c r="A356" s="924">
        <v>354</v>
      </c>
      <c r="B356" s="919" t="s">
        <v>2702</v>
      </c>
      <c r="C356" s="919"/>
      <c r="D356" s="920" t="s">
        <v>3630</v>
      </c>
      <c r="E356" s="921" t="s">
        <v>2801</v>
      </c>
      <c r="F356" s="922">
        <f>EDU*4</f>
        <v>0</v>
      </c>
      <c r="G356" s="923" t="s">
        <v>3631</v>
      </c>
      <c r="H356" s="3"/>
      <c r="I356" s="766"/>
      <c r="J356" s="773"/>
      <c r="K356" s="773"/>
      <c r="L356" s="773"/>
      <c r="M356" s="773" t="s">
        <v>3632</v>
      </c>
      <c r="N356" s="767"/>
      <c r="O356" s="767"/>
      <c r="P356" s="767"/>
      <c r="Q356" s="767"/>
    </row>
    <row r="357" customFormat="1" customHeight="1" spans="1:17">
      <c r="A357" s="918">
        <v>355</v>
      </c>
      <c r="B357" s="919" t="s">
        <v>2703</v>
      </c>
      <c r="C357" s="919"/>
      <c r="D357" s="920" t="s">
        <v>3619</v>
      </c>
      <c r="E357" s="921" t="s">
        <v>2801</v>
      </c>
      <c r="F357" s="922">
        <f>EDU*4</f>
        <v>0</v>
      </c>
      <c r="G357" s="923" t="s">
        <v>3633</v>
      </c>
      <c r="H357" s="3"/>
      <c r="I357" s="766"/>
      <c r="J357" s="773"/>
      <c r="K357" s="773"/>
      <c r="L357" s="773"/>
      <c r="M357" s="773" t="s">
        <v>3634</v>
      </c>
      <c r="N357" s="767"/>
      <c r="O357" s="767"/>
      <c r="P357" s="767"/>
      <c r="Q357" s="767"/>
    </row>
    <row r="358" customFormat="1" customHeight="1" spans="1:17">
      <c r="A358" s="918">
        <v>356</v>
      </c>
      <c r="B358" s="919" t="s">
        <v>2704</v>
      </c>
      <c r="C358" s="919"/>
      <c r="D358" s="920" t="s">
        <v>2846</v>
      </c>
      <c r="E358" s="921" t="s">
        <v>3379</v>
      </c>
      <c r="F358" s="922">
        <f>EDU*2+POW*2</f>
        <v>0</v>
      </c>
      <c r="G358" s="923" t="s">
        <v>3635</v>
      </c>
      <c r="H358" s="3"/>
      <c r="I358" s="766"/>
      <c r="J358" s="773"/>
      <c r="K358" s="773"/>
      <c r="L358" s="773"/>
      <c r="M358" s="773" t="s">
        <v>3636</v>
      </c>
      <c r="N358" s="767"/>
      <c r="O358" s="767"/>
      <c r="P358" s="767"/>
      <c r="Q358" s="767"/>
    </row>
    <row r="359" customFormat="1" customHeight="1" spans="1:17">
      <c r="A359" s="918">
        <v>357</v>
      </c>
      <c r="B359" s="919" t="s">
        <v>2705</v>
      </c>
      <c r="C359" s="919"/>
      <c r="D359" s="920" t="s">
        <v>2776</v>
      </c>
      <c r="E359" s="921" t="s">
        <v>2801</v>
      </c>
      <c r="F359" s="922">
        <f>EDU*4</f>
        <v>0</v>
      </c>
      <c r="G359" s="923" t="s">
        <v>3637</v>
      </c>
      <c r="H359" s="3"/>
      <c r="I359" s="766"/>
      <c r="J359" s="773"/>
      <c r="K359" s="773"/>
      <c r="L359" s="773"/>
      <c r="M359" s="773" t="s">
        <v>3638</v>
      </c>
      <c r="N359" s="767"/>
      <c r="O359" s="767"/>
      <c r="P359" s="767"/>
      <c r="Q359" s="767"/>
    </row>
    <row r="360" customFormat="1" customHeight="1" spans="1:17">
      <c r="A360" s="924">
        <v>358</v>
      </c>
      <c r="B360" s="919" t="s">
        <v>2706</v>
      </c>
      <c r="C360" s="919"/>
      <c r="D360" s="920" t="s">
        <v>3624</v>
      </c>
      <c r="E360" s="921" t="s">
        <v>3368</v>
      </c>
      <c r="F360" s="922">
        <f>EDU*2+APP*2</f>
        <v>0</v>
      </c>
      <c r="G360" s="923" t="s">
        <v>3639</v>
      </c>
      <c r="H360" s="3"/>
      <c r="I360" s="766"/>
      <c r="J360" s="773"/>
      <c r="K360" s="773"/>
      <c r="L360" s="773"/>
      <c r="M360" s="773" t="s">
        <v>3640</v>
      </c>
      <c r="N360" s="767"/>
      <c r="O360" s="767"/>
      <c r="P360" s="767"/>
      <c r="Q360" s="767"/>
    </row>
    <row r="361" customFormat="1" customHeight="1" spans="1:17">
      <c r="A361" s="918">
        <v>359</v>
      </c>
      <c r="B361" s="919" t="s">
        <v>2707</v>
      </c>
      <c r="C361" s="919"/>
      <c r="D361" s="920" t="s">
        <v>2776</v>
      </c>
      <c r="E361" s="921" t="s">
        <v>2801</v>
      </c>
      <c r="F361" s="922">
        <f>EDU*4</f>
        <v>0</v>
      </c>
      <c r="G361" s="923" t="s">
        <v>3641</v>
      </c>
      <c r="H361" s="3"/>
      <c r="I361" s="766"/>
      <c r="J361" s="773"/>
      <c r="K361" s="773"/>
      <c r="L361" s="773"/>
      <c r="M361" s="773" t="s">
        <v>3642</v>
      </c>
      <c r="N361" s="767"/>
      <c r="O361" s="767"/>
      <c r="P361" s="767"/>
      <c r="Q361" s="767"/>
    </row>
    <row r="362" customFormat="1" customHeight="1" spans="1:17">
      <c r="A362" s="918">
        <v>360</v>
      </c>
      <c r="B362" s="919" t="s">
        <v>2708</v>
      </c>
      <c r="C362" s="919"/>
      <c r="D362" s="920" t="s">
        <v>2776</v>
      </c>
      <c r="E362" s="921" t="s">
        <v>3368</v>
      </c>
      <c r="F362" s="922">
        <f>EDU*2+APP*2</f>
        <v>0</v>
      </c>
      <c r="G362" s="923" t="s">
        <v>3643</v>
      </c>
      <c r="H362" s="3"/>
      <c r="I362" s="766"/>
      <c r="J362" s="773"/>
      <c r="K362" s="773"/>
      <c r="L362" s="773"/>
      <c r="M362" s="773" t="s">
        <v>3644</v>
      </c>
      <c r="N362" s="767"/>
      <c r="O362" s="767"/>
      <c r="P362" s="767"/>
      <c r="Q362" s="767"/>
    </row>
    <row r="363" customFormat="1" customHeight="1" spans="1:17">
      <c r="A363" s="918">
        <v>361</v>
      </c>
      <c r="B363" s="919" t="s">
        <v>2709</v>
      </c>
      <c r="C363" s="919"/>
      <c r="D363" s="920" t="s">
        <v>2916</v>
      </c>
      <c r="E363" s="921" t="s">
        <v>3374</v>
      </c>
      <c r="F363" s="922">
        <f>EDU*2+DEX*2</f>
        <v>0</v>
      </c>
      <c r="G363" s="923" t="s">
        <v>3645</v>
      </c>
      <c r="H363" s="3"/>
      <c r="I363" s="766"/>
      <c r="J363" s="773"/>
      <c r="K363" s="773"/>
      <c r="L363" s="773"/>
      <c r="M363" s="773" t="s">
        <v>3646</v>
      </c>
      <c r="N363" s="767"/>
      <c r="O363" s="767"/>
      <c r="P363" s="767"/>
      <c r="Q363" s="767"/>
    </row>
    <row r="364" customFormat="1" customHeight="1" spans="1:17">
      <c r="A364" s="924">
        <v>362</v>
      </c>
      <c r="B364" s="919" t="s">
        <v>2710</v>
      </c>
      <c r="C364" s="919"/>
      <c r="D364" s="920" t="s">
        <v>3647</v>
      </c>
      <c r="E364" s="921" t="s">
        <v>3427</v>
      </c>
      <c r="F364" s="922">
        <f>EDU*2+CON*2</f>
        <v>0</v>
      </c>
      <c r="G364" s="923" t="s">
        <v>3648</v>
      </c>
      <c r="H364" s="3"/>
      <c r="I364" s="766"/>
      <c r="J364" s="773"/>
      <c r="K364" s="773"/>
      <c r="L364" s="773"/>
      <c r="M364" s="773" t="s">
        <v>3649</v>
      </c>
      <c r="N364" s="767"/>
      <c r="O364" s="767"/>
      <c r="P364" s="767"/>
      <c r="Q364" s="767"/>
    </row>
    <row r="365" customFormat="1" customHeight="1" spans="1:17">
      <c r="A365" s="918">
        <v>363</v>
      </c>
      <c r="B365" s="919" t="s">
        <v>2711</v>
      </c>
      <c r="C365" s="919"/>
      <c r="D365" s="920" t="s">
        <v>3387</v>
      </c>
      <c r="E365" s="921" t="s">
        <v>2801</v>
      </c>
      <c r="F365" s="922">
        <f>EDU*4</f>
        <v>0</v>
      </c>
      <c r="G365" s="923" t="s">
        <v>3650</v>
      </c>
      <c r="H365" s="3"/>
      <c r="I365" s="766"/>
      <c r="J365" s="773"/>
      <c r="K365" s="773"/>
      <c r="L365" s="773"/>
      <c r="M365" s="773" t="s">
        <v>3651</v>
      </c>
      <c r="N365" s="767"/>
      <c r="O365" s="767"/>
      <c r="P365" s="767"/>
      <c r="Q365" s="767"/>
    </row>
    <row r="366" customFormat="1" customHeight="1" spans="1:17">
      <c r="A366" s="918">
        <v>364</v>
      </c>
      <c r="B366" s="919" t="s">
        <v>2712</v>
      </c>
      <c r="C366" s="919"/>
      <c r="D366" s="920" t="s">
        <v>2776</v>
      </c>
      <c r="E366" s="921" t="s">
        <v>2801</v>
      </c>
      <c r="F366" s="922">
        <f>EDU*4</f>
        <v>0</v>
      </c>
      <c r="G366" s="923" t="s">
        <v>3652</v>
      </c>
      <c r="H366" s="3"/>
      <c r="I366" s="766"/>
      <c r="J366" s="773"/>
      <c r="K366" s="773"/>
      <c r="L366" s="773"/>
      <c r="M366" s="773" t="s">
        <v>3653</v>
      </c>
      <c r="N366" s="767"/>
      <c r="O366" s="767"/>
      <c r="P366" s="767"/>
      <c r="Q366" s="767"/>
    </row>
    <row r="367" customFormat="1" customHeight="1" spans="1:17">
      <c r="A367" s="918">
        <v>365</v>
      </c>
      <c r="B367" s="919" t="s">
        <v>2713</v>
      </c>
      <c r="C367" s="919"/>
      <c r="D367" s="920" t="s">
        <v>2966</v>
      </c>
      <c r="E367" s="921" t="s">
        <v>2801</v>
      </c>
      <c r="F367" s="922">
        <f>EDU*4</f>
        <v>0</v>
      </c>
      <c r="G367" s="923" t="s">
        <v>3654</v>
      </c>
      <c r="H367" s="3"/>
      <c r="I367" s="766"/>
      <c r="J367" s="773"/>
      <c r="K367" s="773"/>
      <c r="L367" s="773"/>
      <c r="M367" s="773" t="s">
        <v>3655</v>
      </c>
      <c r="N367" s="767"/>
      <c r="O367" s="767"/>
      <c r="P367" s="767"/>
      <c r="Q367" s="767"/>
    </row>
    <row r="368" customFormat="1" customHeight="1" spans="1:17">
      <c r="A368" s="924">
        <v>366</v>
      </c>
      <c r="B368" s="919" t="s">
        <v>2714</v>
      </c>
      <c r="C368" s="919"/>
      <c r="D368" s="920" t="s">
        <v>3083</v>
      </c>
      <c r="E368" s="921" t="s">
        <v>2801</v>
      </c>
      <c r="F368" s="922">
        <f>EDU*4</f>
        <v>0</v>
      </c>
      <c r="G368" s="923" t="s">
        <v>3656</v>
      </c>
      <c r="H368" s="3"/>
      <c r="I368" s="766"/>
      <c r="J368" s="773"/>
      <c r="K368" s="773"/>
      <c r="L368" s="773"/>
      <c r="M368" s="773" t="s">
        <v>3657</v>
      </c>
      <c r="N368" s="767"/>
      <c r="O368" s="767"/>
      <c r="P368" s="767"/>
      <c r="Q368" s="767"/>
    </row>
    <row r="369" customFormat="1" customHeight="1" spans="1:17">
      <c r="A369" s="918">
        <v>367</v>
      </c>
      <c r="B369" s="919" t="s">
        <v>2715</v>
      </c>
      <c r="C369" s="919"/>
      <c r="D369" s="920" t="s">
        <v>3583</v>
      </c>
      <c r="E369" s="921" t="s">
        <v>3427</v>
      </c>
      <c r="F369" s="922">
        <f>EDU*2+CON*2</f>
        <v>0</v>
      </c>
      <c r="G369" s="923" t="s">
        <v>3658</v>
      </c>
      <c r="H369" s="3"/>
      <c r="I369" s="766"/>
      <c r="J369" s="773"/>
      <c r="K369" s="773"/>
      <c r="L369" s="773"/>
      <c r="M369" s="773" t="s">
        <v>3659</v>
      </c>
      <c r="N369" s="767"/>
      <c r="O369" s="767"/>
      <c r="P369" s="767"/>
      <c r="Q369" s="767"/>
    </row>
    <row r="370" customFormat="1" customHeight="1" spans="1:17">
      <c r="A370" s="922"/>
      <c r="B370" s="919"/>
      <c r="C370" s="919"/>
      <c r="D370" s="921"/>
      <c r="E370" s="922"/>
      <c r="F370" s="922"/>
      <c r="G370" s="922"/>
      <c r="H370" s="919"/>
      <c r="I370" s="922"/>
      <c r="J370" s="922"/>
      <c r="K370" s="922"/>
      <c r="L370" s="927"/>
      <c r="M370" s="927"/>
      <c r="N370" s="927"/>
      <c r="O370" s="927"/>
      <c r="P370" s="927"/>
      <c r="Q370" s="928"/>
    </row>
    <row r="371" customFormat="1" customHeight="1" spans="1:17">
      <c r="A371" s="922"/>
      <c r="B371" s="919"/>
      <c r="C371" s="919"/>
      <c r="D371" s="921"/>
      <c r="E371" s="922"/>
      <c r="F371" s="922"/>
      <c r="G371" s="922"/>
      <c r="H371" s="919"/>
      <c r="I371" s="922"/>
      <c r="J371" s="922"/>
      <c r="K371" s="922"/>
      <c r="L371" s="927"/>
      <c r="M371" s="927"/>
      <c r="N371" s="927"/>
      <c r="O371" s="927"/>
      <c r="P371" s="927"/>
      <c r="Q371" s="928"/>
    </row>
    <row r="372" customFormat="1" customHeight="1" spans="1:17">
      <c r="A372" s="922"/>
      <c r="B372" s="919"/>
      <c r="C372" s="919"/>
      <c r="D372" s="921"/>
      <c r="E372" s="922"/>
      <c r="F372" s="922"/>
      <c r="G372" s="922"/>
      <c r="H372" s="919"/>
      <c r="I372" s="922"/>
      <c r="J372" s="922"/>
      <c r="K372" s="922"/>
      <c r="L372" s="927"/>
      <c r="M372" s="927"/>
      <c r="N372" s="927"/>
      <c r="O372" s="927"/>
      <c r="P372" s="927"/>
      <c r="Q372" s="928"/>
    </row>
  </sheetData>
  <sheetProtection selectLockedCells="1"/>
  <mergeCells count="385">
    <mergeCell ref="B1:C1"/>
    <mergeCell ref="K1:L1"/>
    <mergeCell ref="M1:N1"/>
    <mergeCell ref="B2:G2"/>
    <mergeCell ref="I2:J2"/>
    <mergeCell ref="I3:J3"/>
    <mergeCell ref="K3:L3"/>
    <mergeCell ref="B4:C4"/>
    <mergeCell ref="I4:J4"/>
    <mergeCell ref="K4:L4"/>
    <mergeCell ref="B5:C5"/>
    <mergeCell ref="I5:J5"/>
    <mergeCell ref="K5:L5"/>
    <mergeCell ref="B6:C6"/>
    <mergeCell ref="I6:J6"/>
    <mergeCell ref="K6:L6"/>
    <mergeCell ref="B7:C7"/>
    <mergeCell ref="I7:J7"/>
    <mergeCell ref="K7:L7"/>
    <mergeCell ref="B8:C8"/>
    <mergeCell ref="I8:J8"/>
    <mergeCell ref="K8:L8"/>
    <mergeCell ref="B9:C9"/>
    <mergeCell ref="I9:J9"/>
    <mergeCell ref="K9:L9"/>
    <mergeCell ref="B10:C10"/>
    <mergeCell ref="I10:J10"/>
    <mergeCell ref="K10:L10"/>
    <mergeCell ref="B11:C11"/>
    <mergeCell ref="K11:L11"/>
    <mergeCell ref="B12:C12"/>
    <mergeCell ref="K12:L12"/>
    <mergeCell ref="B13:C13"/>
    <mergeCell ref="H13:J13"/>
    <mergeCell ref="K13:L13"/>
    <mergeCell ref="B14:C14"/>
    <mergeCell ref="K14:L14"/>
    <mergeCell ref="B15:C15"/>
    <mergeCell ref="K15:L15"/>
    <mergeCell ref="B16:C16"/>
    <mergeCell ref="K16:L16"/>
    <mergeCell ref="B17:C17"/>
    <mergeCell ref="K17:L17"/>
    <mergeCell ref="B18:C18"/>
    <mergeCell ref="K18:L18"/>
    <mergeCell ref="B19:C19"/>
    <mergeCell ref="K19:L19"/>
    <mergeCell ref="B20:C20"/>
    <mergeCell ref="K20:L20"/>
    <mergeCell ref="B21:C21"/>
    <mergeCell ref="K21:L21"/>
    <mergeCell ref="B22:C22"/>
    <mergeCell ref="K22:L22"/>
    <mergeCell ref="B23:C23"/>
    <mergeCell ref="K23:L23"/>
    <mergeCell ref="B24:C24"/>
    <mergeCell ref="H24:J24"/>
    <mergeCell ref="B25:C25"/>
    <mergeCell ref="H25:J25"/>
    <mergeCell ref="K25:L25"/>
    <mergeCell ref="B26:C26"/>
    <mergeCell ref="K26:L26"/>
    <mergeCell ref="B27:C27"/>
    <mergeCell ref="K27:L27"/>
    <mergeCell ref="B28:C28"/>
    <mergeCell ref="K28:L28"/>
    <mergeCell ref="B29:C29"/>
    <mergeCell ref="K29:L29"/>
    <mergeCell ref="B30:C30"/>
    <mergeCell ref="K30:L30"/>
    <mergeCell ref="B31:C31"/>
    <mergeCell ref="K31:L31"/>
    <mergeCell ref="B32:C32"/>
    <mergeCell ref="K32:L32"/>
    <mergeCell ref="B33:C33"/>
    <mergeCell ref="K33:L33"/>
    <mergeCell ref="B34:C34"/>
    <mergeCell ref="K34:L34"/>
    <mergeCell ref="B35:C35"/>
    <mergeCell ref="K35:L35"/>
    <mergeCell ref="B36:C36"/>
    <mergeCell ref="K36:L36"/>
    <mergeCell ref="B37:C37"/>
    <mergeCell ref="K37:L37"/>
    <mergeCell ref="B38:C38"/>
    <mergeCell ref="K38:L38"/>
    <mergeCell ref="B39:C39"/>
    <mergeCell ref="K39:L39"/>
    <mergeCell ref="B40:C40"/>
    <mergeCell ref="K40:L40"/>
    <mergeCell ref="B41:C41"/>
    <mergeCell ref="K41:L41"/>
    <mergeCell ref="B42:C42"/>
    <mergeCell ref="K42:L42"/>
    <mergeCell ref="B43:C43"/>
    <mergeCell ref="K43:L43"/>
    <mergeCell ref="B44:C44"/>
    <mergeCell ref="K44:L44"/>
    <mergeCell ref="B45:C45"/>
    <mergeCell ref="K45:L45"/>
    <mergeCell ref="B46:C46"/>
    <mergeCell ref="K46:L46"/>
    <mergeCell ref="B47:C47"/>
    <mergeCell ref="K47:L47"/>
    <mergeCell ref="B48:C48"/>
    <mergeCell ref="K48:L48"/>
    <mergeCell ref="B49:C49"/>
    <mergeCell ref="K49:L49"/>
    <mergeCell ref="B50:C50"/>
    <mergeCell ref="K50:L50"/>
    <mergeCell ref="B51:C51"/>
    <mergeCell ref="K51:L51"/>
    <mergeCell ref="B52:C52"/>
    <mergeCell ref="K52:L52"/>
    <mergeCell ref="B53:C53"/>
    <mergeCell ref="K53:L53"/>
    <mergeCell ref="B54:C54"/>
    <mergeCell ref="K54:L54"/>
    <mergeCell ref="B55:C55"/>
    <mergeCell ref="K55:L55"/>
    <mergeCell ref="B56:C56"/>
    <mergeCell ref="K56:L56"/>
    <mergeCell ref="B57:C57"/>
    <mergeCell ref="K57:L57"/>
    <mergeCell ref="B58:C58"/>
    <mergeCell ref="K58:L58"/>
    <mergeCell ref="B59:C59"/>
    <mergeCell ref="K59:L59"/>
    <mergeCell ref="B60:C60"/>
    <mergeCell ref="K60:L60"/>
    <mergeCell ref="B61:C61"/>
    <mergeCell ref="K61:L61"/>
    <mergeCell ref="B62:C62"/>
    <mergeCell ref="K62:L62"/>
    <mergeCell ref="B63:C63"/>
    <mergeCell ref="K63:L63"/>
    <mergeCell ref="B64:C64"/>
    <mergeCell ref="K64:L64"/>
    <mergeCell ref="B65:C65"/>
    <mergeCell ref="K65:L65"/>
    <mergeCell ref="B66:C66"/>
    <mergeCell ref="K66:L66"/>
    <mergeCell ref="B67:C67"/>
    <mergeCell ref="K67:L67"/>
    <mergeCell ref="B68:C68"/>
    <mergeCell ref="K68:L68"/>
    <mergeCell ref="B69:C69"/>
    <mergeCell ref="K69:L69"/>
    <mergeCell ref="B70:C70"/>
    <mergeCell ref="K70:L70"/>
    <mergeCell ref="B71:C71"/>
    <mergeCell ref="K71:L71"/>
    <mergeCell ref="B72:C72"/>
    <mergeCell ref="K72:L72"/>
    <mergeCell ref="B73:C73"/>
    <mergeCell ref="K73:L73"/>
    <mergeCell ref="B74:C74"/>
    <mergeCell ref="K74:L74"/>
    <mergeCell ref="B75:C75"/>
    <mergeCell ref="K75:L75"/>
    <mergeCell ref="B76:C76"/>
    <mergeCell ref="K76:L76"/>
    <mergeCell ref="B77:C77"/>
    <mergeCell ref="K77:L77"/>
    <mergeCell ref="B78:C78"/>
    <mergeCell ref="K78:L78"/>
    <mergeCell ref="B79:C79"/>
    <mergeCell ref="K79:L79"/>
    <mergeCell ref="B80:C80"/>
    <mergeCell ref="K80:L80"/>
    <mergeCell ref="B81:C81"/>
    <mergeCell ref="K81:L81"/>
    <mergeCell ref="B82:C82"/>
    <mergeCell ref="K82:L82"/>
    <mergeCell ref="B83:C83"/>
    <mergeCell ref="K83:L83"/>
    <mergeCell ref="B84:C84"/>
    <mergeCell ref="K84:L84"/>
    <mergeCell ref="B85:C85"/>
    <mergeCell ref="K85:L85"/>
    <mergeCell ref="B86:C86"/>
    <mergeCell ref="K86:L86"/>
    <mergeCell ref="B87:C87"/>
    <mergeCell ref="K87:L87"/>
    <mergeCell ref="B88:C88"/>
    <mergeCell ref="K88:L88"/>
    <mergeCell ref="B89:C89"/>
    <mergeCell ref="K89:L89"/>
    <mergeCell ref="B90:C90"/>
    <mergeCell ref="K90:L90"/>
    <mergeCell ref="B91:C91"/>
    <mergeCell ref="K91:L91"/>
    <mergeCell ref="B92:C92"/>
    <mergeCell ref="K92:L92"/>
    <mergeCell ref="B93:C93"/>
    <mergeCell ref="K93:L93"/>
    <mergeCell ref="B94:C94"/>
    <mergeCell ref="K94:L94"/>
    <mergeCell ref="B95:C95"/>
    <mergeCell ref="K95:L95"/>
    <mergeCell ref="B96:C96"/>
    <mergeCell ref="K96:L96"/>
    <mergeCell ref="B97:C97"/>
    <mergeCell ref="K97:L97"/>
    <mergeCell ref="B98:C98"/>
    <mergeCell ref="K98:L98"/>
    <mergeCell ref="B99:C99"/>
    <mergeCell ref="K99:L99"/>
    <mergeCell ref="B100:C100"/>
    <mergeCell ref="K100:L100"/>
    <mergeCell ref="B101:C101"/>
    <mergeCell ref="K101:L101"/>
    <mergeCell ref="B102:C102"/>
    <mergeCell ref="K102:L102"/>
    <mergeCell ref="B103:C103"/>
    <mergeCell ref="K103:L103"/>
    <mergeCell ref="B104:C104"/>
    <mergeCell ref="K104:L104"/>
    <mergeCell ref="B105:C105"/>
    <mergeCell ref="K105:L105"/>
    <mergeCell ref="B106:C106"/>
    <mergeCell ref="K106:L106"/>
    <mergeCell ref="B107:C107"/>
    <mergeCell ref="K107:L107"/>
    <mergeCell ref="B108:C108"/>
    <mergeCell ref="K108:L108"/>
    <mergeCell ref="B109:C109"/>
    <mergeCell ref="K109:L109"/>
    <mergeCell ref="B110:C110"/>
    <mergeCell ref="K110:L110"/>
    <mergeCell ref="B111:C111"/>
    <mergeCell ref="K111:L111"/>
    <mergeCell ref="B112:C112"/>
    <mergeCell ref="K112:L112"/>
    <mergeCell ref="B113:C113"/>
    <mergeCell ref="K113:L113"/>
    <mergeCell ref="B114:C114"/>
    <mergeCell ref="K114:L114"/>
    <mergeCell ref="B115:C115"/>
    <mergeCell ref="K115:L115"/>
    <mergeCell ref="B116:C116"/>
    <mergeCell ref="K116:L116"/>
    <mergeCell ref="B117:C117"/>
    <mergeCell ref="K117:L117"/>
    <mergeCell ref="B118:C118"/>
    <mergeCell ref="B119:C119"/>
    <mergeCell ref="B120:C120"/>
    <mergeCell ref="B121:C121"/>
    <mergeCell ref="B122:C122"/>
    <mergeCell ref="B123:C123"/>
    <mergeCell ref="B124:C124"/>
    <mergeCell ref="H124:I124"/>
    <mergeCell ref="B125:C125"/>
    <mergeCell ref="H125:I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O157:P157"/>
    <mergeCell ref="B158:C158"/>
    <mergeCell ref="O158:P158"/>
    <mergeCell ref="B159:C159"/>
    <mergeCell ref="O159:P159"/>
    <mergeCell ref="B160:C160"/>
    <mergeCell ref="O160:P160"/>
    <mergeCell ref="B161:C161"/>
    <mergeCell ref="O161:P161"/>
    <mergeCell ref="B162:C162"/>
    <mergeCell ref="O162:P162"/>
    <mergeCell ref="B163:C163"/>
    <mergeCell ref="O163:P163"/>
    <mergeCell ref="B164:C164"/>
    <mergeCell ref="O164:P164"/>
    <mergeCell ref="B165:C165"/>
    <mergeCell ref="H165:I165"/>
    <mergeCell ref="O165:P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H178:I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H213:I213"/>
    <mergeCell ref="B214:C214"/>
    <mergeCell ref="H214:I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H2:H10"/>
    <mergeCell ref="O171:Q172"/>
    <mergeCell ref="O169:Q170"/>
    <mergeCell ref="O176:Q179"/>
    <mergeCell ref="O166:Q168"/>
    <mergeCell ref="O223:Q224"/>
    <mergeCell ref="H172:I177"/>
    <mergeCell ref="H159:I164"/>
    <mergeCell ref="H118:I123"/>
    <mergeCell ref="H207:I212"/>
    <mergeCell ref="H180:I183"/>
  </mergeCells>
  <conditionalFormatting sqref="I11:J11">
    <cfRule type="expression" dxfId="13" priority="15">
      <formula>"人物卡!$F$5=1"</formula>
    </cfRule>
  </conditionalFormatting>
  <conditionalFormatting sqref="I15">
    <cfRule type="expression" dxfId="13" priority="13">
      <formula>"人物卡!$F$5=1"</formula>
    </cfRule>
  </conditionalFormatting>
  <conditionalFormatting sqref="J15">
    <cfRule type="expression" dxfId="13" priority="11">
      <formula>"人物卡!$F$5=1"</formula>
    </cfRule>
  </conditionalFormatting>
  <conditionalFormatting sqref="J16">
    <cfRule type="expression" dxfId="13" priority="10">
      <formula>"人物卡!$F$5=1"</formula>
    </cfRule>
  </conditionalFormatting>
  <conditionalFormatting sqref="J17">
    <cfRule type="expression" dxfId="13" priority="9">
      <formula>"人物卡!$F$5=1"</formula>
    </cfRule>
  </conditionalFormatting>
  <conditionalFormatting sqref="J18">
    <cfRule type="expression" dxfId="13" priority="8">
      <formula>"人物卡!$F$5=1"</formula>
    </cfRule>
  </conditionalFormatting>
  <conditionalFormatting sqref="J19">
    <cfRule type="expression" dxfId="13" priority="7">
      <formula>"人物卡!$F$5=1"</formula>
    </cfRule>
  </conditionalFormatting>
  <conditionalFormatting sqref="J20">
    <cfRule type="expression" dxfId="13" priority="6">
      <formula>"人物卡!$F$5=1"</formula>
    </cfRule>
  </conditionalFormatting>
  <conditionalFormatting sqref="H21">
    <cfRule type="expression" dxfId="13" priority="14">
      <formula>"人物卡!$F$5=1"</formula>
    </cfRule>
  </conditionalFormatting>
  <conditionalFormatting sqref="J21">
    <cfRule type="expression" dxfId="13" priority="12">
      <formula>"人物卡!$F$5=1"</formula>
    </cfRule>
  </conditionalFormatting>
  <conditionalFormatting sqref="J22">
    <cfRule type="expression" dxfId="13" priority="5">
      <formula>"人物卡!$F$5=1"</formula>
    </cfRule>
  </conditionalFormatting>
  <conditionalFormatting sqref="H23">
    <cfRule type="expression" dxfId="13" priority="4">
      <formula>"人物卡!$F$5=1"</formula>
    </cfRule>
  </conditionalFormatting>
  <conditionalFormatting sqref="I23">
    <cfRule type="expression" dxfId="13" priority="3">
      <formula>"人物卡!$F$5=1"</formula>
    </cfRule>
  </conditionalFormatting>
  <conditionalFormatting sqref="J23">
    <cfRule type="expression" dxfId="13" priority="2">
      <formula>"人物卡!$F$5=1"</formula>
    </cfRule>
  </conditionalFormatting>
  <conditionalFormatting sqref="B233:B369">
    <cfRule type="duplicateValues" dxfId="12" priority="1"/>
  </conditionalFormatting>
  <conditionalFormatting sqref="I2:J10">
    <cfRule type="expression" dxfId="13" priority="17">
      <formula>"人物卡!$F$5=1"</formula>
    </cfRule>
  </conditionalFormatting>
  <conditionalFormatting sqref="H22 H13 H15:H20 I16:I22">
    <cfRule type="expression" dxfId="13" priority="16">
      <formula>"人物卡!$F$5=1"</formula>
    </cfRule>
  </conditionalFormatting>
  <dataValidations count="124">
    <dataValidation allowBlank="1" showInputMessage="1" showErrorMessage="1" promptTitle="Accounting (05%)" prompt="使调查员理解会计工作的流程。通过检查账簿，调查员可以了解过去的资金的得与失，以及这些资金流通渠道。也能发现做假账的员工，对资金的偷偷挪用，对行贿或者敲诈的款项支付，以及经济状况是否比表面陈述的更好或者更差。" sqref="M2"/>
    <dataValidation allowBlank="1" showInputMessage="1" promptTitle="介绍" prompt="会计师可能在企业工作或作为自由会计师，为个体经营者和企业客户担任顾问。他们是优秀的研究者，既勤奋又关注细节，能够通过仔细分析个人和企业交易记录、财务报表和其他记录支援其他调查员。" sqref="B4"/>
    <dataValidation allowBlank="1" showInputMessage="1" promptTitle="介绍" prompt="杂技演员可能是参加各级比赛（甚至奥运会）的业余运动员，也可能是专业的演员，在马戏团、嘉年华、歌舞团之类的地方作为娱乐业从业者工作。" sqref="B5"/>
    <dataValidation allowBlank="1" showInputMessage="1" promptTitle="介绍" prompt="在1920年代，虽然全国都有大型剧院，美国的戏剧中心仍然是纽约城。英国的情况与之相近，戏剧的中心在伦敦，其他的剧团则在各郡作巡回演出。巡回剧团乘火车旅行，演出内容既包括新编剧目，也包括莎士比亚和其他人的传统剧目。有些剧团也会花时间去国外采风，通常是去加拿大夏威夷澳大利亚和欧洲大陆。" sqref="B6:C6"/>
    <dataValidation allowBlank="1" showInputMessage="1" promptTitle="介绍" prompt="许多演员有相当深厚的文化素养，认为自己才是“正统”的，倾向于轻视电影业的商业活动。直到 20 世纪后期电影业的地位提高，电影演员的薪酬增加，这种情况才发生改变。电影业和电影明星一直是世界人民关注的焦点。许多明星一夜成名，在媒体的聚光灯下过着光鲜亮丽的生活。" sqref="B7:C7"/>
    <dataValidation allowBlank="1" showInputMessage="1" promptTitle="介绍" prompt="世界上有许多著名的侦探机构，其中最著名的是平克顿和伯恩斯调查局（后来合并成一家公司）。这样的公司一般有两类工作人员：安保人员和调查人员。企业或个人雇用安保人员来保护自己的资产和人员免受盗贼刺客和绑匪的威胁。这些安保人员角色使用巡警的职业模板。调查人员则是便衣侦探，负责为公司客户解决各种异常事件阻止谋杀事件寻找失踪的人员等等。" sqref="B8:C8"/>
    <dataValidation allowBlank="1" showInputMessage="1" promptTitle="介绍" prompt="在1920年代，“精神病医生”这个词专用来称呼治疗精神失常的医生（也就是早期的精神科医生）。精神分析在当时的美国鲜为人知，而且它的基本内容都是性生活和如厕训练之类令大众不齿的东西。精神病学，一种正规的从行为主义发展来的医学理论则要普及得多。精神病医生精神科医生和神经科医生还经常爆发激烈的论战。" sqref="B9:C9"/>
    <dataValidation allowBlank="1" showInputMessage="1" promptTitle="介绍" prompt="动物训练师可能在电影工作室巡回马戏团马厩工作或自由工作。不管是训练导盲犬狮子钻火圈，他们工作时基本要独自一人长时间近距离地照看这些动物。动物训练师可以像对人一样对动物使用「心理学」技能。&#10;译注：原文这八项技能没有动物驯养，KP可以依自己喜好用动物驯养取代其中一项。这里在人物卡中和本职技能一样给予了星标标注" sqref="B10:C10"/>
    <dataValidation allowBlank="1" showInputMessage="1" promptTitle="介绍" prompt="文物学家也许是调查员可以从事的最具有洛夫克拉夫特风格的职业：那些历久弥新的的卓越作品湮没在古代传说中的神奇力量，总能使他们乐在其中。独立的收入使文物学家能够研究古旧晦涩的文物，或者根据自己的兴趣爱好集中探寻特别的种类。他们通常有着欣赏的眼光敏锐的头脑，和讽刺无知自大贪婪者的愚蠢时尖酸刻薄的幽默。" sqref="B11:C11"/>
    <dataValidation allowBlank="1" showInputMessage="1" promptTitle="介绍" prompt="古董商通常自己开店，从自己所在的地方转卖物品，或继续扩展业务范围，通过倒卖物品到城市商店赚取利润。" sqref="B12:C12"/>
    <dataValidation allowBlank="1" showInputMessage="1" promptTitle="介绍" prompt="考古学家研究探索历史的痕迹。主要来说，是对人类历史相关的物质资料进行各种鉴识检查分析。这项工作包含辛苦细致的研究，更不必提情愿亲自下斗铲土的决心。在1920年代，成功的考古学家会被当成著名冒险家与探险家，名利双收。有人运用科学方法考古，不过更多的人对付老祖宗的秘密时喜好暴力破解的办法，甚至祭出炸药，这种碉堡了的办法现代人可是很难看得惯的。" sqref="B13:C13"/>
    <dataValidation allowBlank="1" showInputMessage="1" promptTitle="介绍" prompt="建筑师掌握设计和营造建筑的知识，不论是个人房屋的改造还是造价数百万美元的地标工程。建筑师与项目经理紧密合作，负责监督施工全程。建筑师必须了解当地的规划法律，健康和安全法规，和基础的公众安全原则。他们既可以在大公司工作，也可以自由工作，这在很大程度上取决于信誉。在1920年代，许多人尝试在自家或小办公室单干。" sqref="B14:C14"/>
    <dataValidation allowBlank="1" showInputMessage="1" promptTitle="介绍" prompt="艺术家在这里可以是画家，雕塑家等等。他们有时沉浸于自己虚幻的想象当中，有时又沐浴在激发热情和理解的灵感之下。不论是否天资优秀，艺术家的内心必须足够强大，这样才能战胜生涯起步时的障碍和挑剔的眼光，并且在自己小有名气以后继续努力。有些艺术家对物质生活是否丰富并不在乎，而有些则有着强烈的创业倾向。" sqref="B15:C15"/>
    <dataValidation allowBlank="1" showInputMessage="1" promptTitle="介绍" prompt="尽管少数富有的人会选择私人疗养院，大多精神病患者最终会被安置到州县设置的定点医院。这些地方除了医生护士以外，还会有一支看护队伍。选聘看护的时候，力量和体格往往比医学知识更被看重。" sqref="B16:C16"/>
    <dataValidation allowBlank="1" showInputMessage="1" promptTitle="介绍" prompt="运动员可能效力于职业的棒球足球板球或者篮球队伍。这支队伍也许是大联盟队伍，有着稳定工资，参加的比赛万人瞩目；或者是众多小联盟队伍之一，尤其是在1920年代的棒球界。这些队伍往往寄于大联盟队伍篱下，各方面都受其管理，工资更是刚够运动员糊口又不至于让他们跳槽的水平。成功的运动员在自己的专业领域也会拥有相当的声誉。" sqref="B17:C17"/>
    <dataValidation allowBlank="1" showInputMessage="1" promptTitle="介绍" prompt="作家不同于记者，他们用文字定义和探讨人们的社会生活，尤其是人们的情感变化。他们的劳动通常孤立而又自我中心：虽然以前写作是个能稳拿工资的行当，但如今只靠写作发大财的人屈指可数。作家的工作习惯相差极大。通常作家们会花费数月乃至数年的时间调查取材，为新书的创作做准备；然后闭门谢客，投入紧张的创作。" sqref="B18:C18"/>
    <dataValidation allowBlank="1" showInputMessage="1" promptTitle="介绍" prompt="酒保虽然不一定是酒吧的掌柜，却一定是所有客人的朋友。对客人们的好声气，一部分来说是出于他们的职业或者业务，而更多的来说则是达到目的的一种手段。1920年代，由于禁酒令的存在，酒保变成了非法的职业；但是遍地开花的黑酒吧又不能没有酒保，结果就是酒保仍然不愁找不到活干。" sqref="B19:C19"/>
    <dataValidation allowBlank="1" showInputMessage="1" promptTitle="介绍" prompt="猎人是优秀的追踪者和狩猎者，通常靠为富裕的客户捕猎为生。绝大多数猎人会对地球上某一个部分的情况烂熟于心，比如加拿大森林非洲草原等等。有些人可能从事盗猎活动，例如为私人收藏家捕捉珍稀动物，或者贩卖受保护的动物和违反道德的动物制品，如兽皮象牙之类." sqref="B20:C20"/>
    <dataValidation allowBlank="1" showInputMessage="1" promptTitle="介绍" prompt="书商可能拥有自己的店面或者利基（小众）邮购服务，也可能辗转全国甚至海外专门经销书籍。许多人拥有富有的，能提供利润丰厚又稀罕的工作的固定客户。" sqref="B21:C21"/>
    <dataValidation allowBlank="1" showInputMessage="1" promptTitle="介绍" prompt="赏金猎人捉拿罪犯并将他们交给正义去审判。最常见的情况是受保释人的委托去缉捕逃狱者。赏金猎人们为了自己的猎物可以不择手段，几乎不会考虑其他人的正当权益之类细枝末节的东西。非法闯入威胁肢体暴力，都是赏金猎人屡试不爽的秘技。现在这些秘技还包括了电话窃听黑客操作和其他的秘密监控。" sqref="B22:C22"/>
    <dataValidation allowBlank="1" showInputMessage="1" promptTitle="介绍" prompt="拳击手和摔跤手各分为职业和业余两种。职业拳击手和职业摔角手的活动由外部利益支持的赞助人安排，并有合同约束。他们还要进行全日制的工作和训练。业余拳击的竞赛种类非常丰富，同时它也是那些想成为职业拳手的人的训练场。不过也有业余和准职业的选手靠参加黑市拳击赛谋生，举办这些比赛的通常是本地的黑社会或者是从中渔利的庄家。" sqref="B23:C23"/>
    <dataValidation allowBlank="1" showInputMessage="1" promptTitle="介绍" prompt="服务业人员。管家通常为一个大家庭打理家事。传统上，他负责的范围包括厨房仆人中位置最高。一般男管家还要负责管理其他的男仆（女管家类似）。更多的职责则听候主人差遣。男仆和女仆则为主人提供贴身服务，包括管理主人的服装准备浴室和担任私人助理。助理的工作则包括安排旅行日程财等。" sqref="B24:C24"/>
    <dataValidation allowBlank="1" showInputMessage="1" promptTitle="介绍" prompt="神职人员通常担任一个教区的牧师，或是经过分配外出传教，尤其是去国外（见传教士）。不同的教会工作的侧重点和组织结构各不相同，如天主教会的牧师可能上升到主教大主教和红衣主教，而一个卫理公会的牧师则会升职到教区主管和主教。有些教职人员在教堂接受医生律师学者的专业培训。这样的调查员应该选择最符合自己工作的职业模板。" sqref="B25:C25"/>
    <dataValidation type="list" allowBlank="1" showInputMessage="1" showErrorMessage="1" sqref="H25:I25">
      <formula1>附表!$AB$10:$AB$12</formula1>
    </dataValidation>
    <dataValidation allowBlank="1" showInputMessage="1" promptTitle="介绍" prompt="（现代）计算机程序员通常是设计编写测试调试和维护计算机程序源代码的职业。他们精通从形式逻辑到系统平台（程序运行环境）的各种知识，可能是自由工作者，也可能供职于软件开发部门。计算机技术人员负责计算机系统和网络的开发和维护工作，经常与其他人员（如项目经理）合作来保证系统的完整稳定和正常提供所需功能。" sqref="B26:C26"/>
    <dataValidation allowBlank="1" showInputMessage="1" promptTitle="介绍" prompt="计算机黑客则利用计算机和计算机网络为手段，进行干扰或破坏以达成政治目的（有时被称为“政治黑客”）或获取非法利益。达成目标的手段主要是非法入侵计算机和其他用户帐户，目的则可能包括篡改网页垃圾邮件炸弹。" sqref="B27:C27"/>
    <dataValidation allowBlank="1" showInputMessage="1" promptTitle="介绍" prompt="牛仔在西部的牧区和牧场工作。有些人拥有自己的牧场，更多的则是在各处打工为生。想赚大钱的牛仔会去冒着丢胳膊少腿乃至送命的危险参加牛仔巡回赛，通过旅行获取名誉。在1920年代，一些牛仔能在好莱坞找到西部片替身演员和群众演员的工作，例如怀特•厄普就曾为西部电影担任顾问。在现代，有些牧场也对想要体验一把牛仔生活的游客开放。" sqref="B28:C28"/>
    <dataValidation allowBlank="1" showInputMessage="1" promptTitle="介绍" prompt="工匠也可能被人叫做师傅或大师，是擅长对各种材料进行手工加工的人。通常都是才能出众的人，有的凭借自己的艺术作品出名，有的则会服务于自己的社区。" sqref="B29:C29"/>
    <dataValidation allowBlank="1" showInputMessage="1" promptTitle="介绍" prompt="杀手是地下世界的冷血夺命者。这是一项严谨的活计，他们从外地受雇杀人，接近目标，果断下手，又迅速离开。杀手通常很难融入社会，因为很多杀手行为总是很刻板，其他人很容易以为他们不近人情。但是另一方面，他们也会结婚生子，在其他方面和普通人没有什么不同。" sqref="B30:C30"/>
    <dataValidation allowBlank="1" showInputMessage="1" promptTitle="介绍" prompt="有些则组成分工明确，会详细调查并制定计划的犯罪组织。" sqref="B31:C31"/>
    <dataValidation allowBlank="1" showInputMessage="1" promptTitle="介绍" prompt="罪犯可能为别人工作，后者通常是“匪帮”或罪犯家族。自由犯罪者则往往被称为抢劫犯打手罪组织豢养，不过团伙上层出事的时候，倒霉的往往是他们这些喽啰。对于他们来说，嘴紧和忠心属于职业道德。" sqref="B32:C32"/>
    <dataValidation allowBlank="1" showInputMessage="1" promptTitle="介绍" prompt="罪犯的体格和相貌形形色色，有些是纯粹碰运气伺机行事，比如扒手." sqref="B33:C33"/>
    <dataValidation allowBlank="1" showErrorMessage="1" sqref="N33"/>
    <dataValidation allowBlank="1" showInputMessage="1" promptTitle="介绍" prompt="欺诈师通常都是油嘴滑舌的人物。他们或单独或集体出没在富裕的人家和社区周边，诈取他们来之不易的钱财。许多骗局复杂精妙，诈骗团伙会倾巢出动乃至租用建筑；有些则不需要这么麻烦，只要一个骗子几分钟就能搞定。" sqref="B34:C34"/>
    <dataValidation allowBlank="1" showInputMessage="1" promptTitle="介绍" prompt="也可能单打独斗，如果成功的报酬值得去费力冒险，才会和别人搭伙。" sqref="B35:C35"/>
    <dataValidation allowBlank="1" showInputMessage="1" promptTitle="介绍" prompt="女飞贼是名为专业大盗的女人。大部分都是独立行动，也有对自己的男伴言听计从的时候。不过这也不一定，实际上情况可能完全相反，她完全可以在干了某一票以后就卷走所有现金和皮草溜之大吉。" sqref="B36:C36"/>
    <dataValidation allowBlank="1" showInputMessage="1" promptTitle="介绍" prompt="赃物贩子，顾名思义是买卖偷抢来的财产，通常是收购赃物并转手卖给其他罪犯或（无意中）守法的顾客。主要来说，他们是小偷和买家的中间人，有时也会从交易中收取提成；不过更常见的还是以极低的价格直接收购赃物。" sqref="B37:C37"/>
    <dataValidation allowBlank="1" showInputMessage="1" promptTitle="介绍" prompt="赝造者是地下世界的艺术家，专门从事伪造官方文件契约转让书，并提供伪造的签名。初学者只能做做小贼的假身份证，而顶级的赝造者连印假币的铸模都能做。" sqref="B38:C38"/>
    <dataValidation allowBlank="1" showInputMessage="1" promptTitle="介绍" prompt="走私一直是一个有利可图的高风险行当。走私者往往有一个合法的表面职业，比如船长飞行员或商人，以掩盖他们非法运输的行为。" sqref="B39:C39"/>
    <dataValidation allowBlank="1" showInputMessage="1" promptTitle="介绍" prompt="街头混混一般都是些小年轻，弄不好还在寻觅加入真正黑帮的契机。不过他们的本事也就限于偷车，盗窃商店货物，抢钱或者夜盗。" sqref="B40:C40"/>
    <dataValidation allowBlank="1" showInputMessage="1" promptTitle="介绍" prompt="美国的新兴宗教层出不穷。直到现在，也还有从新英格兰超验主义到“天父的儿女”等等许多种类。教团首领有的创立了严格的教条并且对信徒推行，另一些则仅仅是垂涎于信徒的金钱和权势。在1920年代，各种诱惑性的新兴宗教团体纷纷涌现。有些采取基督教的形式，有些则混杂了东方的神秘主义和神秘学的仪式。" sqref="B41:C41"/>
    <dataValidation allowBlank="1" showInputMessage="1" promptTitle="介绍" prompt="除魅师的工作是说服（或者强迫）一个人放弃自己的信仰或是对宗教团体他们一般受雇于深陷教团之类组织的人的亲属，任务就是解救对方（通常靠绑架），并通过心理学手段使他们割断与原来教团的联系（“控制”）。也有不那么激烈的除魅师，他们的工作对象则是那些自愿离开教团的人，为他们完全地退出教团进行有效的指导。" sqref="B42:C42"/>
    <dataValidation allowBlank="1" showInputMessage="1" promptTitle="介绍" prompt="设计师的工作包括许多方面，从时装到家具或是其他任何东西。他们自由工作，为设计工作室和企业设计产品流程法律游戏图像等等。调查员特定的设计方向也会影响他们对专业技能的选择，如果需要的话要进行调整。" sqref="B43:C43"/>
    <dataValidation allowBlank="1" showInputMessage="1" promptTitle="介绍" prompt="业余艺术爱好者靠经济自立遗产继承信托基金或者其他各种来源保障自己的生活开支，没有必要自己工作。如果经济条件足够好，他们甚至可以雇佣专业的经济顾问来打理自己的产业。他们可能有很高的学历，但不一定是真才实学；优越的经济条件使得他们性情古怪，口无遮拦。在1920年代，这些人可能会被时人称为“摩登女郎”或者“公子哥儿”。" sqref="B44:C44"/>
    <dataValidation allowBlank="1" showInputMessage="1" promptTitle="介绍" prompt="潜水员可能在军队执法机构或海绵采集海上救援环境保护甚至水下寻宝的民间机构工作。" sqref="B45:C45"/>
    <dataValidation allowBlank="1" showInputMessage="1" promptTitle="介绍" prompt="医生这里可能是指全科医生外科医生其他专科医生或者独立医学研究员。除去个人的目标以外，救死扶伤获得财富和荣誉提升公众的理性意识和科学素养也常常是医生的理想。农村和小城镇的卫生院是全科医生的舞台，而大城市的各大医院则是高手如云，集聚了众多专攻病理学毒理学整形外科脑外科等领域的专家。有些医生也可能担任全职或兼职的法医，进行尸检。" sqref="B46:C46"/>
    <dataValidation allowBlank="1" showInputMessage="1" promptTitle="介绍" prompt="相对于那些因贫困而苦恼的人，流浪者选择四处漂泊的生活，可能是出于社会哲学经济的原因，或只是渴望摆脱社会的约束。流浪汉需要工作，有时几天或几个月，但他们应对问题时往往选择流动和孤立，而不是舒适和亲近。在美国，这种情况尤其常见，只要旅行本身没有什么危险，就会有人选择漂泊为生。" sqref="B47:C47"/>
    <dataValidation allowBlank="1" showInputMessage="1" promptTitle="介绍" prompt="人司机则是直接受雇于个人或企业，或者是专门提供连人带车的私人司机业务的中介机构。" sqref="B48:C48"/>
    <dataValidation allowBlank="1" showInputMessage="1" promptTitle="介绍" prompt="专职司机可能为企业个人工作，也可能拥有自己的出租车或货车。" sqref="B49:C49"/>
    <dataValidation allowBlank="1" showInputMessage="1" promptTitle="介绍" prompt="出租车司机可能属于大大小小的出租车公司，也可能靠自己的车和证件运营（在美国，需要出租车牌照）。出租车公司负责为出租车司机登记车辆并分配调度，方便司机自由揽客。出租车上必须统一安装计价器，并由出租车协会进行定期检查。通常司机还要通过警方的背景调查，获得特殊的驾驶许可证。" sqref="B50:C50"/>
    <dataValidation allowBlank="1" showInputMessage="1" promptTitle="介绍" prompt="编辑的工作包括审核记者的稿件，撰写报刊社论，应对各种突发事件到了截稿时间要催稿，编辑工作只好偶尔为之啦。大型报社的编辑数量众多，包括比起新闻编辑更多参与业务运营的主编。其他编辑专门负责时尚体育或者其他板块。许多小报可能就只有一个编辑，他甚至有可能就是报社的业主或者唯一的全职员工。" sqref="B51:C51"/>
    <dataValidation allowBlank="1" showInputMessage="1" promptTitle="介绍" prompt="以民选方式选举出来的政府官员享有与他们的职位相符的声望。小城市的市长和城镇的镇长之类，他们的影响力基本出不了城镇的范围，而且这样的职务基本上是兼职的，报酬也很少。大城市的市长，工资就相当可观了，而且还能把自己的城市管理得像小王国一样，影响力和权力比所在州的州长还要大。州议会的众参两院议员是相当有面子的职位。" sqref="B52:C52"/>
    <dataValidation allowBlank="1" showInputMessage="1" promptTitle="介绍" prompt="工程师精通机械和电气设备，可能在民间或军工企业工作，也可能是个发明家。他们擅长应用科学、数学知识和丰富的创造思维，解决各种技术问题。" sqref="B53:C53"/>
    <dataValidation allowBlank="1" showInputMessage="1" promptTitle="介绍" prompt="艺人包括小丑歌手舞蹈演员喜剧演员杂耍艺人魔术师，各种以在人前表演谋生的人。他们乐于向更多的人表现自己的能力，并期待观众回报的掌声。在1920年代，这一职业并不受人尊重。不过1920 年代好莱坞明星的高薪彻底改变了很多人的想法，现在这个职业背景已经通常被视作是优势了。" sqref="B54:C54"/>
    <dataValidation allowBlank="1" showInputMessage="1" promptTitle="介绍" prompt="在20世纪早期，这世界还有许多地区尚未有人涉足，而探索这些地方正是探险家的工作。这种令人兴奋不已的生活方式，其经济来源则是科学界的赞助私人的捐赠博物馆的委托和报纸杂志图书电影的版权等等。黑非洲的大部分仍然不为人知，同样的地方还包括了南美的马托格罗索高原，澳大利亚的大沙沙漠，撒哈拉和阿拉伯沙漠，和亚洲的茫茫戈壁。尽管南北极点已经被探险家征服了。" sqref="B55:C55"/>
    <dataValidation allowBlank="1" showInputMessage="1" promptTitle="介绍" prompt="农民可能自己拥有土地，自己从事农牧业，也可能是受雇在农场工作。农业劳动繁重而枯燥，特别适合那些喜欢户外体力劳动的人。1920年代是美国城镇人口超过农村人口的首个十年。从这时起一直到现在，自耕农民都在受到规模化农业企业和剧烈波动的农产品市场的双重冲击。" sqref="B56:C56"/>
    <dataValidation allowBlank="1" showInputMessage="1" promptTitle="介绍" prompt="联邦执法机构和特工种类各异。有些身着制服，比如美国司法部的人员；另外一些则穿便服，工作内容也类似警探，比如联邦调查局的人员。" sqref="B57:C57"/>
    <dataValidation allowBlank="1" showInputMessage="1" promptTitle="介绍" prompt="消防员是公职人员，通常为所管辖的社区服务。他们夜以继日地工作，或者连续几天的倒班工作，吃住包括娱乐活动都要局限在消防局里。消防员的管理结构类似军队，职位包括中尉上尉和局长等等。" sqref="B58:C58"/>
    <dataValidation allowBlank="1" showInputMessage="1" promptTitle="介绍" prompt="驻外记者是新闻界的精英人才。他们拿着固定工资，靠报销单环游全世界。在1920年代，驻外记者通常供职于大型报社广播电台或者国家级通讯社。当代的驻外记者也可能自由撰稿或者为电视台网络通讯社和国际新闻通讯社工作。这个职业的工作内容五花八门，经常能激动人心。不过自然灾害政治动荡和战争也会成为驻外记者报道的主要内容，工作也不总是一帆风顺。" sqref="B59:C59"/>
    <dataValidation allowBlank="1" showInputMessage="1" showErrorMessage="1" promptTitle="Beast Training(05%)" prompt="用于命令、训练驯服动物进行简单任务的技能。这技能最常用在狗身上，但也不排除鸟、猫、猴子，或是其他（由Keeper 判定）。" sqref="N59"/>
    <dataValidation allowBlank="1" showInputMessage="1" promptTitle="介绍" prompt="法医是一个高度专门化的职业，大多数法医为市县或州执法机构工作。工作内容包括尸体解剖，推定死因，并为公诉人提供建议。法医也常常会在刑事审判中出庭提供证言。" sqref="B60:C60"/>
    <dataValidation type="list" allowBlank="1" showInputMessage="1" showErrorMessage="1" promptTitle="Diving (01%)" prompt="使用者接受过在深海游泳的使用以及维持潜水设备的训练，水下导航，合适的下潜配重，以及应对紧急情况的方法。" sqref="N60">
      <formula1>#REF!</formula1>
    </dataValidation>
    <dataValidation allowBlank="1" showInputMessage="1" promptTitle="介绍" prompt="赌徒是罪犯世界里最花哨的一群人。他们衣着光鲜，不论朴实还是华丽都魅力四射。不论是靠赛马、纸牌游戏还是其他赌博方式，他们总是要凭自己的运气过活。老练的赌徒会频繁地光顾犯罪组织开设的地下赌场。低级的赌徒则出入于狭窄的小巷，在骰子房耍弄灌铅的骰子，或者是挤坐在阴暗的台球室里。" sqref="B61:C61"/>
    <dataValidation type="list" allowBlank="1" showInputMessage="1" showErrorMessage="1" promptTitle="Demolitions (01%)" prompt="调查员可以使用此技能安全的设置/拆除爆破装置。给予足够的时间和资源，调查员可以装设炸药来摧毁一幢建筑，清除一个被堵住的隧道，以及赋予炸药不同用处。" sqref="N61">
      <formula1>#REF!</formula1>
    </dataValidation>
    <dataValidation allowBlank="1" showInputMessage="1" promptTitle="介绍" prompt="黑帮可能是整个城市、一部分城市的大佬，老板总管业务，负责交易，并要就各种各样的问题给马仔们拿主意。更重要的是，老板可以各种高人一等，只要能找到马仔或者小弟去干的事，他基本是不肯污了自己的手去做的。黑社会在1920年代上升为突出的社会问题。现在的黑帮老大也需要大量的小弟来负责保卫、推广、在街道里推行自己的业务。" sqref="B62:C62"/>
    <dataValidation allowBlank="1" showInputMessage="1" promptTitle="介绍" prompt="也可能只是给这些大佬打工的马仔。马仔们通常有自己的保护范围，比如监管非法运输和收取保护费等等。虽然大部分黑帮是按来源的民族划分——如爱尔兰裔、意大利裔、非洲裔和犹太裔，黑帮的成员仍然可能是任何民族。除去贩私酒和贩毒以外，卖淫、保护、赌博、腐败等等都是这些犯罪组织的业务范围。" sqref="B63:C63"/>
    <dataValidation allowBlank="1" showInputMessage="1" promptTitle="介绍" prompt="绅士淑女指的是有良好的教养品行、举止彬彬有礼的人。通常用来称呼上流社会（通过继承或津贴）拥有相当财富的人。&#10;在上世纪20年代，这样的人至少要有一个仆人（管家、男仆、女仆、私人司机），还要有城市或乡村的宅第。家庭的富有并重要，因为家庭的社会地位往往比财产更被上流社会所看重。" sqref="B64:C64"/>
    <dataValidation allowBlank="1" showInputMessage="1" promptTitle="介绍" prompt="游民只有少数的人愿意去当，虽然失业的人、醉倒在阴沟里的醉鬼到处都是。和流浪者只会在必需时才工作不同，游民的工作本身就是流浪。他们不断地坐火车旅行，从一个城市辗转到另一个城市，他们是身无分文的诗人、漂泊者，铁路上的探索者、冒险者和盗贼。但是铁路上的生活一样充满危险。且不说穷困潦倒、无家可归，还要面对来自警察、周围居民和铁路员工的敌意。" sqref="B65:C65"/>
    <dataValidation allowBlank="1" showInputMessage="1" promptTitle="介绍" prompt="勤杂护工在医院的工作包括倒垃圾、打扫房间、运送病人，还有一些其他乱七八糟的工作。总之对他们的要求不比对看门人多多少。" sqref="B66:C66"/>
    <dataValidation allowBlank="1" showInputMessage="1" promptTitle="介绍" prompt="记者用文字对当天的新闻事件进行报导与评论，一天之内就要完成一个作家一周的工作量。他们通常为报纸、杂志、广播电台、电视台或者新闻网站撰稿。优秀的调查记者在报道事件的同时，即使面对丑恶，也能保持自身的清廉正直。恶心的记者则被现实所压倒，最终丧失自己的节操，肆意操纵文字歪曲真相。" sqref="B67:C67"/>
    <dataValidation allowBlank="1" showInputMessage="1" promptTitle="介绍" prompt="通讯记者则是新闻传媒行业大军中的一员。大部分记者从事实地工作，包括走访见证人、查看记录、收集叙述。有些记者被安排专门追踪警界、体育界或商界的热点新闻，其他人则是负责社会事件乃至园艺俱乐部之类的事情。通讯记者都会携带记者证，不过记者证除了各通讯社用来识别自己的雇员以外没有太大的作用。" sqref="B68:C68"/>
    <dataValidation allowBlank="1" showInputMessage="1" promptTitle="介绍" prompt="法官是主持审判全过程的人，可能单独工作或是和同事组成合议庭。一般是推选或任命制，工作年限也分定期和终身。有的人是初出茅庐就当了法官，而其余的绝大多数，不论是在联邦最高法院还是遥远西部小镇的法官，其实至少都是经过注册的律师。" sqref="B69:C69"/>
    <dataValidation allowBlank="1" showInputMessage="1" promptTitle="介绍" prompt="实验室助理在科研环境中工作，在首席科学家的监督下进行实验和行政工作。研究内容可能依首席科学家的研究学科而变化。但基本都包括取样、测试、记录和分析数据、调整和进行实验、制备标本和样品、管理实验室的日常工作，和保护工作人员的健康与安全。" sqref="B70:C70"/>
    <dataValidation allowBlank="1" showInputMessage="1" promptTitle="介绍" prompt="律师或法律顾问精通他们所在地区的法律，擅长把抽象的法学理论知识联系起来，为客户解决法律方面的疑难，担任辩护代理、法律顾问的工作，为客户提供解决办法。可能受托处理个人案件、接受法院指定，也可能专门为某个富裕客户或公司服务。在美国，“律师”一词一般只指辩护律师。在英国，“律师”一词则包括高级律师、初级律师还有一些执法机构。" sqref="B74:C74"/>
    <dataValidation allowBlank="1" showInputMessage="1" promptTitle="介绍" prompt="图书馆管理员在公共机构和图书馆工作，负责管理图书目录和书库，并处理图书借阅等。在现代，图书馆管理员还要负责管理视听资料、电子书库。一些大公司可能聘用图书馆管理员管理书库，偶尔还会有富有的图书藏家招收他们管理自己的私人藏书。" sqref="B75:C75"/>
    <dataValidation allowBlank="1" showInputMessage="1" promptTitle="介绍" prompt="技师包括所有需要专业训练和作为学徒或实习生工作经验的职业，例如木工、石工、管道工、电工、设备安装工人、机修工人等等这些需要技术资质的职业。通常这些工人有自己的工会组织，会和承包人和雇主争取自己的权益。" sqref="B76:C76"/>
    <dataValidation allowBlank="1" showInputMessage="1" promptTitle="介绍" prompt="军官有严格的等级，许多等级还需要高等教育学历。各国武装部队都建立了人才培养系统，其中包括大学教育。在美国，许多大学开设军校生训练项目，可以让学员同时接受文化教育和军事训练。毕业的学员可以授以陆军或海军少尉军衔，并分派到各驻地。他们通常会为国家服役四年，之后可以退役复员。许多人有专门的任命，作为医生、律师和工程师工作。" sqref="B77:C77"/>
    <dataValidation allowBlank="1" showInputMessage="1" promptTitle="介绍" prompt="传教士云游到世界的各个角落，传播神的旨意，在文明的地方拯救“不幸的原始人”和“迷途的灵魂”。他们可能属于天主教、新教、伊斯兰教或者其他信仰系统，比如后期圣徒教会（摩门教）在欧美就有专门的传道所。有的传教士只凭自己的意志独立行动，有的则可能有教会以外的组织支持。基督教、伊斯兰教的传教者，佛教、印度教的法师，在全世界各个时代都能遇到。" sqref="B78:C78"/>
    <dataValidation allowBlank="1" showInputMessage="1" promptTitle="介绍" prompt="登山家一般都是利用业余时间和假期的运动员，只有少数攀登著名高山的人才会去寻找财力和设备的赞助。19世纪登山运动开始兴起，到了1920年代，所有美洲和阿尔卑斯地区的主要山峰都被一一征服。经过与西藏人的冗长谈判之后，外国登山队终于获准进入喜马拉雅高峰地区。到了现代，登山可以是休闲运动或职业选择。如果是后者，则工作内容包括教练、向导、运动员或救生员等。" sqref="B79:C79"/>
    <dataValidation allowBlank="1" showInputMessage="1" promptTitle="介绍" prompt="博物馆管理员可能负责大学或其他公共机构的大型设施，也可能负责小一些的博物馆，往往对本地的地质或者其他的内容颇有研究。" sqref="B80:C80"/>
    <dataValidation allowBlank="1" showInputMessage="1" promptTitle="介绍" prompt="音乐家可能加入乐团、乐队或者独奏，演奏的乐器则可以是任何你能想象的种类。音乐家想出人头地十分困难，签约发布唱片就更难了。所以绝大多数音乐家都贫穷又无人关注，只靠街头卖艺勉强维持生计。少数幸运儿可以找到固定工作，比如在酒吧、宾馆或者市交响乐团弹钢琴。对更少的人来说，在正确的时间出现在正确的地点，再加上一点点天赋，就能获得巨大的成功和可观的财富。" sqref="B81:C81"/>
    <dataValidation allowBlank="1" showInputMessage="1" promptTitle="介绍" prompt="护士是专业的医疗助理，通常在医院和疗养院之类的地方工作，或者和全科医生一起合作。一般来说，护士会协助健康人或病人进行保健或康复活动（或者临终关怀），虽然其他人若是有足够的力量、意志或者知识，完全不需要护士帮助的康复也是可能的。" sqref="B82:C82"/>
    <dataValidation allowBlank="1" showInputMessage="1" promptTitle="介绍" prompt="神秘学家是钻研深奥秘密和神秘魔法的人。他们对超自然能力深信不疑，并竭尽所能靠他们的能力去了解这些东西。许多人对不同神秘哲学和魔法理论的知识面都相当广泛，有些甚至相信自己专注研究三十年真的成为了魔法师。需要指出的是，神秘学家熟知的基本上是“表面的魔法”——克苏鲁神话魔法的秘密对他们仍然是未知的，或者不过是古书上描述那些诱人的线索而已。" sqref="B83:C83"/>
    <dataValidation allowBlank="1" showInputMessage="1" promptTitle="介绍" prompt="旅行家爱好户外，他们一年中大部分时间都呆在户外，并且一出门就是相当长的时间；通常有相当的捕鱼和狩猎技术，能在最恶劣的环境之中幸存下来。擅长的技术可能包括登山、捕鱼、滑雪、皮划艇、攀登和露营。旅行家可能在国家公园或素质拓展中心做野外向导和护林员，也可能是有其他经济来源能让他们不用工作就能以这种方式生活，也说不定只有在需要的时候才会回到文明社会。" sqref="B84:C84"/>
    <dataValidation allowBlank="1" showInputMessage="1" promptTitle="介绍" prompt="超心理学家从不打算欣赏超常现象。相反，他们试图去观察，记录并研究这些实例。被叫做“捉鬼人”的他们利用技术手段来获取某人或某地点的超自然活动的证据，当然比起收集到实在的证据，更多的时候他们是在揭穿假冒和误认的超常现象。选择研究这个的人往往对不可视的神秘力量抱有相当的同情态度，并希望其他的科学家也能满意地点头肯定。" sqref="B85:C85"/>
    <dataValidation allowBlank="1" showInputMessage="1" promptTitle="介绍" prompt="药剂师的管理一直以来都比医生更严格。所有的药剂师都要在各州注册，注册的条件则是高中毕业并至少在药学院学习三年。他们可能在医院或者药房工作，也可能自己开药房。" sqref="B86:C86"/>
    <dataValidation allowBlank="1" showInputMessage="1" promptTitle="介绍" prompt="摄影师大部分是自由工作者，可能制作广告电影或者在照相馆做肖像拍摄。其他一些摄像师则在报纸、电视和电影产业工作。摄影作为一种艺术形式已经产生相当长的时间了，精英的摄影师可以从艺术、新闻报道、野生动物保护等多种角度出发创作他们的作品。不管是哪种立意，他们都能获得名誉和报酬。" sqref="B87:C87"/>
    <dataValidation allowBlank="1" showInputMessage="1" promptTitle="介绍" prompt="摄影记者本质上就是拿照相机，为拍摄的照片写配文的记者。在1920年代，新闻短片走上历史舞台。笨重的35mm摄像装备走遍全球各地，搜寻有价值的新闻轶事、体育赛事和泳装选美比赛。新闻片制作人员一般分为三类：一类是画面中的记者，另两个人则负责摄像和灯光等等。新闻中的声音则是在新闻稿完成以后在录音棚中录入完成的。" sqref="B88:C88"/>
    <dataValidation allowBlank="1" showInputMessage="1" promptTitle="介绍" prompt="飞行员可以在美国邮政这样的企业工作，也可以在大大小小的民航公司做飞行人员。美国1926年之前没有对飞行员的职业要求,1926年航空商业法案通过之后才要求有执照。这个时代的多数飞行员从事嘉年华表演、特技飞行表演、乘飞机游玩或是小机场的空中的士等服务。也有飞行员在部队服现役。许多特技飞行员是在服役期间学会的驾驶飞机，有时仍然会被军队委派任务。" sqref="B89:C89"/>
    <dataValidation allowBlank="1" showInputMessage="1" promptTitle="介绍" prompt="特技飞行员在嘉年华工作或者为大胆的消费者进行休闲飞行服务。参加有组织的飞行表演赛，不论是固定路线还是越野赛，往往都可以增加自己的知名度。在1920年代，好莱坞常常使用特技飞行员，飞机制造商也会录用一些飞行员为新机作测试。许多特技飞行员是在一次大战中掌握的飞行技术，所以许多人仍然在陆海空军或海岸警卫队服役；年轻的飞行员则基本上是在和平时期接受的训练或是自学成才。" sqref="B90:C90"/>
    <dataValidation allowBlank="1" showInputMessage="1" promptTitle="介绍" prompt="警探可能指挥他的下属进行详尽的调查，但是很难有机会集中精力对付单独一个事件，在美国他们很可能要同时处理数十乃至上百的案件。警探工作最关键的部分是通过梳理证词、重建现场情况，摒弃伪证，从而收集足够逮捕嫌疑人的证据，进而促成成功的刑事审判。警探和检察官的职责是分开的，这样可以保证证据在审判之前被独立地对待。" sqref="B91:C91"/>
    <dataValidation allowBlank="1" showInputMessage="1" promptTitle="介绍" prompt="巡警则属于市、城镇、县治安部门或州、地区的警察机关。他们工作时可能步行、驾驶巡逻车，或者干脆坐办公室。" sqref="B92:C92"/>
    <dataValidation allowBlank="1" showInputMessage="1" promptTitle="介绍" prompt="私家侦探通常在警察不出手的地方活跃，包括收集证据为客户准备民事诉讼，追查跑路的配偶或生意伙伴，或者代理刑事案件的私人辩护。他们和任何专业人员一样，私家侦探从不顾及自己的私人情感，只要付钱，不管是有罪还是无罪的一方的委托他们都乐得接受。私家侦探过去可能在警察队伍里工作，利用以前的业务关系为现在工作谋求优势；然而事实并非总是如此。" sqref="B93:C93"/>
    <dataValidation allowBlank="1" showInputMessage="1" promptTitle="介绍" prompt="教授是受聘于高等院校的学者。大公司也可能聘请他们以开展学术研究与产品开发。独立的学者也靠开办业余课程作为经济来源。最重要的一点，这一职业代表了 PhD（博士）的荣誉称号，意味着可以在世界各地的大学任终身教职。教授的专长是教学和专业研究，往往在自己的专业领域内有着可圈可点的学术成就。" sqref="B94:C94"/>
    <dataValidation allowBlank="1" showInputMessage="1" promptTitle="介绍" prompt="淘金客一直是美国西部的特色，即便在加利福尼亚淘金热和内华达康姆斯塔克发现金银矿的日子早已经过去的现在。他们无休止地在山间漫游，寻找能使自己一夜暴富的矿脉。而且现在发现石油和发现金子一样给力。" sqref="B95:C95"/>
    <dataValidation allowBlank="1" showInputMessage="1" promptTitle="介绍" prompt="性工作者根据场合、背景和教养，从超级值钱的应召小姐到牛郎再到站街女都有可能。往往入这一行都是权宜之计，许多人梦想有朝一日能够脱身。少数人能够自己接客，不过绝大多数人基本都是被只认钱不认人的老鸨和皮条客逼迫着工作。" sqref="B96:C96"/>
    <dataValidation allowBlank="1" showInputMessage="1" promptTitle="介绍" prompt="精神病学家是在现代专门从事精神失常诊断和治疗的医生。精神病学家掌握着精神药理学的治疗方法，使用精神类药物的资质，还能整理脑电图并对其进行计算机分析。到1930年代，任何一个医生都可以以精神病学家的身份进入美国医学协会名录中了。" sqref="B97:C97"/>
    <dataValidation allowBlank="1" showInputMessage="1" promptTitle="介绍" prompt="心理学家虽然也经常被叫做心理治疗师和心理咨询师，不过这些工作都只是心理学的分支。临床心理学家可能实际接触病人，并且运用各种可能的心理治疗方法。注意心理学家和专业的精神病学家的区别，后者本质上还是医生。在1920年代，对人类行为的研究还是一个新兴的领域，主要的理论还是弗洛伊德心理学。" sqref="B98:C98"/>
    <dataValidation allowBlank="1" showInputMessage="1" promptTitle="介绍" prompt="学术界的研究课题不计其数，尤其是在天文学、物理学和其他理论领域。私人或企业也雇用了成千上万的研究员，重点在化学、制药和工程领域。石油公司则会聘用专业的地质学家，不一而足。研究员大部分的时间都在室内工作和写作，不过有的则会经常外出考察。考察研究员通常经验丰富，思想独立又足智多谋，可能受雇于私人或者为大学进行学术研究。" sqref="B99:C99"/>
    <dataValidation allowBlank="1" showInputMessage="1" promptTitle="介绍" prompt="新入伍的海员像陆军的同行一样，开始时需要接受基本的训练。这之后他们获得军衔，并被分配到各镇守府。虽然很多海员担任像水手长副手和司炉工（管理引擎）这样的传统角色，但是也有很多经过专门训练的机械师、无线电操作员、通风管理员之类。在美国，海员通常要服四年的现役和后两年的后备役，即在国家发布动员令时有应召服役的义务。" sqref="B100:C100"/>
    <dataValidation allowBlank="1" showInputMessage="1" promptTitle="介绍" prompt="民用船海员可能在渔船、客船，或运输原油或商品的运输船上工作。在美国，客船活跃在东西海岸和五大湖，运送渔民和游客。目前佛罗里达州在墨西哥湾和大西洋海岸拥有最多数量的客船。在禁酒令期间，许多客船船长发现把急切想喝酒的顾客运到3海里外，外国船只允许卖酒的地方是一桩赚钱的买卖。当然走私酒也报酬丰厚，但是危险就高多了。" sqref="B101:C101"/>
    <dataValidation allowBlank="1" showInputMessage="1" promptTitle="介绍" prompt="推销员是商务工作的必需一环，他们的工作就是推广和销售公司的产品或服务。大部分推销员的时间要用来旅行、开会、和客户应酬。有些则主要坐办公室用电话联系潜在客户，还有的会在各社区巡回，挨家挨户上门推销。1920年代是企业家的年代，旅行推销成了一种日常生活方式。有些推销员在固定的地区工作，有些则可以自由漫游，寻找任何地方可能出现的商机。" sqref="B102:C102"/>
    <dataValidation allowBlank="1" showInputMessage="1" promptTitle="介绍" prompt="科学家是在追求知识的过程中挖掘真理的人。如果想要利用科学知识制造有用的物品，需要的是工程师；而如果想要扩展“可能”这个概念的范围，那就是科学家的工作了。科学家们通常在企业和大学工作，以进行他们的研究。虽然主攻一个科学领域，但是真正称职的科学家一般也能达到通晓其他数个科学领域的水平。他们对自己的母语也能使用自如，学历也相当高，甚至拥有博士学位。" sqref="B103:C103"/>
    <dataValidation allowBlank="1" showInputMessage="1" promptTitle="介绍" prompt="秘书的范围是从高薪的私人管理助理到普通的打字员。这份工作的重点在于以自己各种沟通协调能力，支持主管和经理人员。因为身处企业流程的中心，许多秘书比老板对企业的内部运作和经营还要熟悉。在1920年代，秘书工作主要是通信工作，例如听写打印信件，整理文档系统，并为老板安排会议时间。有的情况下，秘书还会负责老板的生活，比如安排假期、为老板和家人置办礼物，还有保护老板的安全。" sqref="B104:C104"/>
    <dataValidation allowBlank="1" showInputMessage="1" promptTitle="介绍" prompt="店老板经营小店、市场摊位或者是小饭馆。这种店往往都是小本自营，不过也有为其他东家照顾生意的。不少店是家族式管理，工作人员大部分都有亲属关系，其他的雇员即便有也很少。在1920年代，还有不少的老板娘开起了自己的理发店和帽店。" sqref="B105:C105"/>
    <dataValidation allowBlank="1" showInputMessage="1" promptTitle="介绍" prompt="所有应征人员首先要在“训练营（新兵连）”接受基本训练，在训练营中新兵将学习如何行军、射击和敬礼。结束训练营的训练后，大部分的新兵会分配到步兵营，虽然也有分配到炮兵营和坦克营的。少部分会接受非战斗的训练，例如通风系统、机械装备、文职甚至军官接待。海军陆战队名义上属于海军，但是和陆军士兵在背景、训练方式和技能方面都很相近。" sqref="B106:C106"/>
    <dataValidation allowBlank="1" showInputMessage="1" promptTitle="介绍" prompt="间谍为国家和组织的情报部门卖命。他们能以从大使到厨房清洁工的任何职业身份作为掩饰，刺探他们所需的情报。有些间谍数年如一日的持续着卧底工作，另一些穿个马甲就换一个身份。在本国委任的间谍通常会去往外国工作。间谍除了情报收集和反情报收集的主要工作，也会被委派其他任务，例如招募新间谍和国家批准的暗杀等。" sqref="B107:C107"/>
    <dataValidation allowBlank="1" showInputMessage="1" promptTitle="介绍" prompt="学生可能在大学或学院学习，实习生则是正在接受宝贵的入职培训，获得最低报酬的公司员工。" sqref="B108:C108"/>
    <dataValidation allowBlank="1" showInputMessage="1" promptTitle="介绍" prompt="替身演员在电影和电视剧工业中活跃，专门模拟坠楼、车祸等灾难场景。他们通常会接受格斗技巧和舞台格斗的训练。任何的替身特技表演都是有风险的。在现代，替身演员基本都是工会的成员，想要加入工会，他们必须有证明自己能力的证书。而且，所有的特技场景还要有特技总监负责指导动作。但是在1920年代，行业规范没有成型，所以事故率和死亡率居高不下。" sqref="B109:C109"/>
    <dataValidation allowBlank="1" showInputMessage="1" promptTitle="介绍" prompt="至少，从家族忠诚来说，部落文化无处不在。在部落中，亲属关系和传统习俗的首要地位是不言而喻的。一个部落通常来说是一个相对较小的群体。相比起法律和个人权利，部落更加依据个人荣耀而裁定行为。崇拜，复仇，嘉奖，以及荣耀——所有的一切都是部落成员个人所有的，而如果领袖或是仇敌被视为有荣耀的人，那么他们个人也必然在某种程度上十分有名。" sqref="B110:C110"/>
    <dataValidation allowBlank="1" showInputMessage="1" promptTitle="介绍" prompt="殡葬师又叫殡葬业者或葬礼主持人，是负责运行丧葬仪式的职业。工作也包含土葬和火化等内容。在葬礼上，殡葬师要进行防腐、裹衣、入殓、遗体美容等等工作。殡葬师的执照由各州发放。他们可能自己拥有殡仪馆，或者在别人的殡仪馆工作" sqref="B111:C111"/>
    <dataValidation allowBlank="1" showInputMessage="1" promptTitle="介绍" prompt="工会活动家是组织者、领导者，有时也是空想者或者别有用心的抗议者，通常是工人的伙伴、老板的对头。各行各业都有工会，不论是码头工人、建筑工人、矿工还是演员。在20世纪早期，工会活动家所在的工会面临着诸多危险。大企业想要毁掉它，政治家在支持它和谴责它之间摇摆不定，社会主义者和共产主义者试图影响它，还有犯罪组织试图夺取它。" sqref="B112:C112"/>
    <dataValidation allowBlank="1" showInputMessage="1" promptTitle="介绍" prompt="服务生在酒店、酒吧或者其他餐饮业场所服务顾客。通常薪酬很低，不过通过对顾客良好服务，可以得到他们给的小费。在禁酒令时期，售酒场所的服务员是非法职业。不过犯罪组织把控的地下酒吧中仍然存在许多工作机会。" sqref="B113:C113"/>
    <dataValidation allowBlank="1" showInputMessage="1" promptTitle="介绍" prompt="白领工人可能是从最低等级的白领职员到中层或高层的管理人员。所属单位则可能从小型中型的本地企业直到大型的国家级甚至跨国公司。职员被扣工资是家常便饭，工作也往往单调乏味。不过如果在工作中展现出了天分，那也会被看上，将来会得到提拔。中高层管理人员的工资比较高，当然责任也比较重，要负责管理公司的日常事务。" sqref="B114:C114"/>
    <dataValidation allowBlank="1" showInputMessage="1" promptTitle="介绍" prompt="职员被扣工资是家常便饭，工作也往往单调乏味。不过如果在工作中展现出了天分，那也会被看上，将来会得到提拔。中高层管理人员的工资比较高，当然责任也比较重，要负责管理公司的日常事务。虽然未婚的白领并不少见，但很多管理人员还是很顾家，家里一般会有配偶和孩子——家庭通常是他们的期望。" sqref="B115:C115"/>
    <dataValidation allowBlank="1" showInputMessage="1" promptTitle="介绍" prompt="热情而有动力、鄙视安逸的生活，狂热者们为人类更好的生活或者为人类中最精华部分的利益而躁动不安。一些狂热者通过暴力推进他们的信仰，但是并不能说采取和平方式的就比他们好说话，他们每个人都梦想着为自己的理想辩护。" sqref="B116:C116"/>
    <dataValidation allowBlank="1" showInputMessage="1" promptTitle="介绍" prompt="饲养员负责动物的喂养和看护，场地管理员和服务员管理其他杂务。通常饲养员会专门照看某一种动物，可以对动物使用「医学」技能。" sqref="B117:C117"/>
    <dataValidation allowBlank="1" showInputMessage="1" showErrorMessage="1" sqref="H15:H23 I9:J11"/>
    <dataValidation type="list" allowBlank="1" showInputMessage="1" showErrorMessage="1" sqref="I15:I23">
      <formula1>"×,√"</formula1>
    </dataValidation>
    <dataValidation allowBlank="1" showErrorMessage="1" errorTitle="提示" error="请输入大于等于1的整数&#10;且不需要输入乘号或其他符号" sqref="J15:J23"/>
    <dataValidation type="list" allowBlank="1" showInputMessage="1" showErrorMessage="1" sqref="N6:N7 N21:N22 N24:N25 N49:N50">
      <formula1>#REF!</formula1>
    </dataValidation>
    <dataValidation allowBlank="1" showInputMessage="1" showErrorMessage="1" promptTitle="语言水平" prompt="05%：正确辨认语言的种类&#10;10%：可以沟通简单的概念&#10;30%：可以了解事务上的需求&#10;50%：可以流利使用语言&#10;75%：可以像是当地人一样使用语言&#10;辨认现代语言： Know掷骰&#10;辨认灭绝人类语言：考古学或历史掷骰&#10;辨认外星语言：克苏鲁神话或神秘学掷骰" sqref="N30:N32"/>
    <dataValidation type="list" allowBlank="1" showInputMessage="1" showErrorMessage="1" sqref="I3:J8">
      <formula1>附表!$X$25:$X$92</formula1>
    </dataValidation>
    <dataValidation allowBlank="1" showInputMessage="1" showErrorMessage="1" promptTitle="介绍" prompt="工人这一大类职业包括工厂工人、纺织工人、码头工人、养路工人、矿工、建筑工人等等。工人分为两种类型：熟练工和非熟练工。普通的工人虽然技术不熟练，但是仍然长于使用电动工具、起重机和其他工厂设备。" sqref="B71:C73"/>
  </dataValidations>
  <pageMargins left="0.75" right="0.75" top="1" bottom="1" header="0.509027777777778" footer="0.509027777777778"/>
  <headerFooter/>
  <ignoredErrors>
    <ignoredError sqref="A218:F219 H221:Q222 A249:G249 H226:Q227 A221:F222 A245:F245 A233:F241 A247:F248 A220:Q220 I233:L369 N233:Q369 A259:G369 A257:G257 A223:Q225 A258:F258 A250:F256 A228:Q232 A242:G242 A243:F243 A226:F227 A244:G244 H218:Q219 A1:Q176 A178:Q217 A177:L177 A246:G246 N177:Q177" formula="1" emptyCellReference="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D154"/>
  <sheetViews>
    <sheetView showGridLines="0" showRowColHeaders="0" zoomScale="66" zoomScaleNormal="66" workbookViewId="0">
      <selection activeCell="AE29" sqref="AE29"/>
    </sheetView>
  </sheetViews>
  <sheetFormatPr defaultColWidth="9" defaultRowHeight="16.5"/>
  <cols>
    <col min="1" max="1" width="16.7818181818182" style="572" customWidth="1"/>
    <col min="2" max="12" width="8.44545454545455" style="572" customWidth="1"/>
    <col min="13" max="13" width="9" style="572" customWidth="1"/>
    <col min="14" max="14" width="8.44545454545455" style="572" customWidth="1"/>
    <col min="15" max="16384" width="8.44545454545455" style="572"/>
  </cols>
  <sheetData>
    <row r="2" s="571" customFormat="1" ht="17.55" customHeight="1" spans="1:26">
      <c r="A2" s="573" t="s">
        <v>3660</v>
      </c>
      <c r="B2" s="574" t="s">
        <v>3661</v>
      </c>
      <c r="C2" s="575"/>
      <c r="D2" s="575"/>
      <c r="E2" s="575"/>
      <c r="F2" s="575"/>
      <c r="G2" s="575"/>
      <c r="H2" s="575"/>
      <c r="I2" s="575"/>
      <c r="J2" s="575"/>
      <c r="K2" s="575"/>
      <c r="L2" s="600"/>
      <c r="M2" s="601" t="s">
        <v>3662</v>
      </c>
      <c r="N2" s="602" t="s">
        <v>3663</v>
      </c>
      <c r="O2" s="603"/>
      <c r="P2" s="603"/>
      <c r="Q2" s="603"/>
      <c r="R2" s="603"/>
      <c r="S2" s="603"/>
      <c r="T2" s="603"/>
      <c r="U2" s="603"/>
      <c r="V2" s="603"/>
      <c r="W2" s="603"/>
      <c r="X2" s="603"/>
      <c r="Y2" s="603"/>
      <c r="Z2" s="638"/>
    </row>
    <row r="3" spans="1:26">
      <c r="A3" s="576"/>
      <c r="B3" s="577" t="s">
        <v>54</v>
      </c>
      <c r="C3" s="578"/>
      <c r="D3" s="578"/>
      <c r="E3" s="578" t="s">
        <v>3664</v>
      </c>
      <c r="F3" s="578"/>
      <c r="G3" s="578" t="s">
        <v>695</v>
      </c>
      <c r="H3" s="578"/>
      <c r="I3" s="578" t="s">
        <v>3665</v>
      </c>
      <c r="J3" s="578"/>
      <c r="K3" s="578"/>
      <c r="L3" s="604"/>
      <c r="M3" s="601"/>
      <c r="N3" s="605" t="s">
        <v>199</v>
      </c>
      <c r="O3" s="606" t="s">
        <v>3666</v>
      </c>
      <c r="P3" s="606"/>
      <c r="Q3" s="606"/>
      <c r="R3" s="606"/>
      <c r="S3" s="606"/>
      <c r="T3" s="606"/>
      <c r="U3" s="606"/>
      <c r="V3" s="606"/>
      <c r="W3" s="606"/>
      <c r="X3" s="606"/>
      <c r="Y3" s="606"/>
      <c r="Z3" s="639"/>
    </row>
    <row r="4" spans="1:56">
      <c r="A4" s="576"/>
      <c r="B4" s="579" t="s">
        <v>59</v>
      </c>
      <c r="C4" s="580"/>
      <c r="D4" s="580"/>
      <c r="E4" s="581">
        <f>IF($B4=附表!B213,"",VLOOKUP(B4,附表!B95:K666,2,FALSE))</f>
        <v>0.05</v>
      </c>
      <c r="F4" s="581"/>
      <c r="G4" s="582" t="str">
        <f>IF($B4=附表!B213,"",VLOOKUP($B4,附表!B95:K666,3,FALSE))</f>
        <v>——</v>
      </c>
      <c r="H4" s="582"/>
      <c r="I4" s="607" t="str">
        <f>IF($B4=附表!B213,"",VLOOKUP($B4,附表!B95:K666,4,FALSE))</f>
        <v>如果有人想要隐瞒什么，那么难度等级将会取决于进行隐藏的人的会计技能。</v>
      </c>
      <c r="J4" s="607"/>
      <c r="K4" s="608"/>
      <c r="L4" s="609"/>
      <c r="M4" s="601"/>
      <c r="N4" s="610" t="s">
        <v>382</v>
      </c>
      <c r="O4" s="611" t="s">
        <v>3667</v>
      </c>
      <c r="P4" s="611"/>
      <c r="Q4" s="611"/>
      <c r="R4" s="611"/>
      <c r="S4" s="611"/>
      <c r="T4" s="611"/>
      <c r="U4" s="611"/>
      <c r="V4" s="611"/>
      <c r="W4" s="611"/>
      <c r="X4" s="611"/>
      <c r="Y4" s="611"/>
      <c r="Z4" s="640"/>
      <c r="AP4" s="589"/>
      <c r="AQ4" s="589"/>
      <c r="AR4" s="589"/>
      <c r="AS4" s="589"/>
      <c r="AT4" s="589"/>
      <c r="AU4" s="589"/>
      <c r="AV4" s="589"/>
      <c r="AW4" s="589"/>
      <c r="AX4" s="589"/>
      <c r="AY4" s="589"/>
      <c r="AZ4" s="589"/>
      <c r="BA4" s="589"/>
      <c r="BB4" s="589"/>
      <c r="BC4" s="589"/>
      <c r="BD4" s="589"/>
    </row>
    <row r="5" spans="1:56">
      <c r="A5" s="576"/>
      <c r="B5" s="583"/>
      <c r="C5" s="584"/>
      <c r="D5" s="584"/>
      <c r="E5" s="581"/>
      <c r="F5" s="581"/>
      <c r="G5" s="582"/>
      <c r="H5" s="582"/>
      <c r="I5" s="607"/>
      <c r="J5" s="607"/>
      <c r="K5" s="612"/>
      <c r="L5" s="613"/>
      <c r="M5" s="601"/>
      <c r="N5" s="614"/>
      <c r="O5" s="615"/>
      <c r="P5" s="615"/>
      <c r="Q5" s="615"/>
      <c r="R5" s="615"/>
      <c r="S5" s="615"/>
      <c r="T5" s="615"/>
      <c r="U5" s="615"/>
      <c r="V5" s="615"/>
      <c r="W5" s="615"/>
      <c r="X5" s="615"/>
      <c r="Y5" s="615"/>
      <c r="Z5" s="641"/>
      <c r="AP5" s="589"/>
      <c r="AQ5" s="589"/>
      <c r="AR5" s="589"/>
      <c r="AS5" s="589"/>
      <c r="AT5" s="589"/>
      <c r="AU5" s="589"/>
      <c r="AV5" s="589"/>
      <c r="AW5" s="589"/>
      <c r="AX5" s="589"/>
      <c r="AY5" s="589"/>
      <c r="AZ5" s="589"/>
      <c r="BA5" s="589"/>
      <c r="BB5" s="589"/>
      <c r="BC5" s="589"/>
      <c r="BD5" s="589"/>
    </row>
    <row r="6" spans="1:56">
      <c r="A6" s="576"/>
      <c r="B6" s="583"/>
      <c r="C6" s="584"/>
      <c r="D6" s="584"/>
      <c r="E6" s="581"/>
      <c r="F6" s="581"/>
      <c r="G6" s="582"/>
      <c r="H6" s="582"/>
      <c r="I6" s="607"/>
      <c r="J6" s="607"/>
      <c r="K6" s="612"/>
      <c r="L6" s="613"/>
      <c r="M6" s="601"/>
      <c r="N6" s="616" t="s">
        <v>3668</v>
      </c>
      <c r="O6" s="617" t="s">
        <v>3669</v>
      </c>
      <c r="P6" s="617"/>
      <c r="Q6" s="617"/>
      <c r="R6" s="617"/>
      <c r="S6" s="617"/>
      <c r="T6" s="617"/>
      <c r="U6" s="617"/>
      <c r="V6" s="617"/>
      <c r="W6" s="617"/>
      <c r="X6" s="617"/>
      <c r="Y6" s="617"/>
      <c r="Z6" s="642"/>
      <c r="AP6" s="589"/>
      <c r="AQ6" s="589"/>
      <c r="AR6" s="589"/>
      <c r="AS6" s="589"/>
      <c r="AT6" s="589"/>
      <c r="AU6" s="589"/>
      <c r="AV6" s="589"/>
      <c r="AW6" s="589"/>
      <c r="AX6" s="589"/>
      <c r="AY6" s="589"/>
      <c r="AZ6" s="589"/>
      <c r="BA6" s="589"/>
      <c r="BB6" s="589"/>
      <c r="BC6" s="589"/>
      <c r="BD6" s="589"/>
    </row>
    <row r="7" spans="1:56">
      <c r="A7" s="576"/>
      <c r="B7" s="583"/>
      <c r="C7" s="584"/>
      <c r="D7" s="584"/>
      <c r="E7" s="581"/>
      <c r="F7" s="581"/>
      <c r="G7" s="582"/>
      <c r="H7" s="582"/>
      <c r="I7" s="607"/>
      <c r="J7" s="607"/>
      <c r="K7" s="612"/>
      <c r="L7" s="613"/>
      <c r="M7" s="601"/>
      <c r="N7" s="618"/>
      <c r="O7" s="619"/>
      <c r="P7" s="619"/>
      <c r="Q7" s="619"/>
      <c r="R7" s="619"/>
      <c r="S7" s="619"/>
      <c r="T7" s="619"/>
      <c r="U7" s="619"/>
      <c r="V7" s="619"/>
      <c r="W7" s="619"/>
      <c r="X7" s="619"/>
      <c r="Y7" s="619"/>
      <c r="Z7" s="642"/>
      <c r="AP7" s="589"/>
      <c r="AQ7" s="589"/>
      <c r="AR7" s="589"/>
      <c r="AS7" s="589"/>
      <c r="AT7" s="589"/>
      <c r="AU7" s="589"/>
      <c r="AV7" s="589"/>
      <c r="AW7" s="589"/>
      <c r="AX7" s="589"/>
      <c r="AY7" s="589"/>
      <c r="AZ7" s="589"/>
      <c r="BA7" s="589"/>
      <c r="BB7" s="589"/>
      <c r="BC7" s="589"/>
      <c r="BD7" s="589"/>
    </row>
    <row r="8" spans="1:56">
      <c r="A8" s="576"/>
      <c r="B8" s="583"/>
      <c r="C8" s="584"/>
      <c r="D8" s="584"/>
      <c r="E8" s="581"/>
      <c r="F8" s="581"/>
      <c r="G8" s="582"/>
      <c r="H8" s="582"/>
      <c r="I8" s="607"/>
      <c r="J8" s="607"/>
      <c r="K8" s="612"/>
      <c r="L8" s="613"/>
      <c r="M8" s="601"/>
      <c r="N8" s="616" t="s">
        <v>3152</v>
      </c>
      <c r="O8" s="617" t="s">
        <v>3670</v>
      </c>
      <c r="P8" s="617"/>
      <c r="Q8" s="617"/>
      <c r="R8" s="617"/>
      <c r="S8" s="617"/>
      <c r="T8" s="617"/>
      <c r="U8" s="617"/>
      <c r="V8" s="617"/>
      <c r="W8" s="617"/>
      <c r="X8" s="617"/>
      <c r="Y8" s="617"/>
      <c r="Z8" s="642"/>
      <c r="AP8" s="589"/>
      <c r="AQ8" s="589"/>
      <c r="AR8" s="589"/>
      <c r="AS8" s="589"/>
      <c r="AT8" s="589"/>
      <c r="AU8" s="589"/>
      <c r="AV8" s="589"/>
      <c r="AW8" s="589"/>
      <c r="AX8" s="589"/>
      <c r="AY8" s="589"/>
      <c r="AZ8" s="589"/>
      <c r="BA8" s="589"/>
      <c r="BB8" s="589"/>
      <c r="BC8" s="589"/>
      <c r="BD8" s="589"/>
    </row>
    <row r="9" spans="1:56">
      <c r="A9" s="576"/>
      <c r="B9" s="583"/>
      <c r="C9" s="584"/>
      <c r="D9" s="584"/>
      <c r="E9" s="581"/>
      <c r="F9" s="581"/>
      <c r="G9" s="582"/>
      <c r="H9" s="582"/>
      <c r="I9" s="607"/>
      <c r="J9" s="607"/>
      <c r="K9" s="612"/>
      <c r="L9" s="613"/>
      <c r="M9" s="601"/>
      <c r="N9" s="616"/>
      <c r="O9" s="620"/>
      <c r="P9" s="620"/>
      <c r="Q9" s="620"/>
      <c r="R9" s="620"/>
      <c r="S9" s="620"/>
      <c r="T9" s="620"/>
      <c r="U9" s="620"/>
      <c r="V9" s="620"/>
      <c r="W9" s="620"/>
      <c r="X9" s="620"/>
      <c r="Y9" s="620"/>
      <c r="Z9" s="643"/>
      <c r="AP9" s="589"/>
      <c r="AQ9" s="589"/>
      <c r="AR9" s="589"/>
      <c r="AS9" s="589"/>
      <c r="AT9" s="589"/>
      <c r="AU9" s="589"/>
      <c r="AV9" s="589"/>
      <c r="AW9" s="589"/>
      <c r="AX9" s="589"/>
      <c r="AY9" s="589"/>
      <c r="AZ9" s="589"/>
      <c r="BA9" s="589"/>
      <c r="BB9" s="589"/>
      <c r="BC9" s="589"/>
      <c r="BD9" s="589"/>
    </row>
    <row r="10" spans="1:56">
      <c r="A10" s="576"/>
      <c r="B10" s="577" t="s">
        <v>700</v>
      </c>
      <c r="C10" s="578"/>
      <c r="D10" s="585"/>
      <c r="E10" s="578"/>
      <c r="F10" s="578"/>
      <c r="G10" s="578"/>
      <c r="H10" s="578"/>
      <c r="I10" s="578" t="s">
        <v>698</v>
      </c>
      <c r="J10" s="578"/>
      <c r="K10" s="621" t="s">
        <v>699</v>
      </c>
      <c r="L10" s="604"/>
      <c r="M10" s="601"/>
      <c r="N10" s="614" t="s">
        <v>3671</v>
      </c>
      <c r="O10" s="617" t="s">
        <v>3672</v>
      </c>
      <c r="P10" s="617"/>
      <c r="Q10" s="617"/>
      <c r="R10" s="617"/>
      <c r="S10" s="617"/>
      <c r="T10" s="617"/>
      <c r="U10" s="617"/>
      <c r="V10" s="617"/>
      <c r="W10" s="617"/>
      <c r="X10" s="617"/>
      <c r="Y10" s="617"/>
      <c r="Z10" s="642"/>
      <c r="AP10" s="589"/>
      <c r="AQ10" s="589"/>
      <c r="AR10" s="589"/>
      <c r="AS10" s="589"/>
      <c r="AT10" s="589"/>
      <c r="AU10" s="589"/>
      <c r="AV10" s="589"/>
      <c r="AW10" s="589"/>
      <c r="AX10" s="589"/>
      <c r="AY10" s="589"/>
      <c r="AZ10" s="589"/>
      <c r="BA10" s="589"/>
      <c r="BB10" s="589"/>
      <c r="BC10" s="589"/>
      <c r="BD10" s="589"/>
    </row>
    <row r="11" spans="1:56">
      <c r="A11" s="576"/>
      <c r="B11" s="586" t="str">
        <f>IF($B4=附表!B213,"",VLOOKUP($B4,附表!B95:K666,8,FALSE))</f>
        <v>· 花费更多的时间来阅览文档
· 拜访银行或者企业来确认自己的发现
· 复核里面的账目和数据</v>
      </c>
      <c r="C11" s="587"/>
      <c r="D11" s="588"/>
      <c r="E11" s="587"/>
      <c r="F11" s="587"/>
      <c r="G11" s="587"/>
      <c r="H11" s="587"/>
      <c r="I11" s="622" t="str">
        <f>IF($B4=附表!B213,"",VLOOKUP($B4,附表!B95:K666,6,FALSE))</f>
        <v>详尽以及良好整理的会计账簿。</v>
      </c>
      <c r="J11" s="622"/>
      <c r="K11" s="623" t="str">
        <f>IF($B4=附表!B213,"",VLOOKUP($B4,附表!B95:K666,7,FALSE))</f>
        <v>无序或者残缺的会计账簿。</v>
      </c>
      <c r="L11" s="624"/>
      <c r="M11" s="601"/>
      <c r="N11" s="618"/>
      <c r="O11" s="619"/>
      <c r="P11" s="619"/>
      <c r="Q11" s="619"/>
      <c r="R11" s="619"/>
      <c r="S11" s="619"/>
      <c r="T11" s="619"/>
      <c r="U11" s="619"/>
      <c r="V11" s="619"/>
      <c r="W11" s="619"/>
      <c r="X11" s="619"/>
      <c r="Y11" s="619"/>
      <c r="Z11" s="642"/>
      <c r="AP11" s="589"/>
      <c r="AQ11" s="589"/>
      <c r="AR11" s="589"/>
      <c r="AS11" s="589"/>
      <c r="AT11" s="589"/>
      <c r="AU11" s="589"/>
      <c r="AV11" s="589"/>
      <c r="AW11" s="589"/>
      <c r="AX11" s="589"/>
      <c r="AY11" s="589"/>
      <c r="AZ11" s="589"/>
      <c r="BA11" s="589"/>
      <c r="BB11" s="589"/>
      <c r="BC11" s="589"/>
      <c r="BD11" s="589"/>
    </row>
    <row r="12" ht="15.75" customHeight="1" spans="1:56">
      <c r="A12" s="576"/>
      <c r="B12" s="586"/>
      <c r="C12" s="587"/>
      <c r="D12" s="588"/>
      <c r="E12" s="587"/>
      <c r="F12" s="587"/>
      <c r="G12" s="587"/>
      <c r="H12" s="587"/>
      <c r="I12" s="622"/>
      <c r="J12" s="622"/>
      <c r="K12" s="623"/>
      <c r="L12" s="624"/>
      <c r="M12" s="601"/>
      <c r="N12" s="616" t="s">
        <v>3673</v>
      </c>
      <c r="O12" s="617" t="s">
        <v>3674</v>
      </c>
      <c r="P12" s="617"/>
      <c r="Q12" s="617"/>
      <c r="R12" s="617"/>
      <c r="S12" s="617"/>
      <c r="T12" s="617"/>
      <c r="U12" s="617"/>
      <c r="V12" s="617"/>
      <c r="W12" s="617"/>
      <c r="X12" s="617"/>
      <c r="Y12" s="617"/>
      <c r="Z12" s="642"/>
      <c r="AP12" s="589"/>
      <c r="AQ12" s="589"/>
      <c r="AR12" s="589"/>
      <c r="AS12" s="589"/>
      <c r="AT12" s="589"/>
      <c r="AU12" s="589"/>
      <c r="AV12" s="589"/>
      <c r="AW12" s="589"/>
      <c r="AX12" s="589"/>
      <c r="AY12" s="589"/>
      <c r="AZ12" s="589"/>
      <c r="BA12" s="589"/>
      <c r="BB12" s="589"/>
      <c r="BC12" s="589"/>
      <c r="BD12" s="589"/>
    </row>
    <row r="13" spans="1:56">
      <c r="A13" s="576"/>
      <c r="B13" s="586"/>
      <c r="C13" s="587"/>
      <c r="D13" s="588"/>
      <c r="E13" s="587"/>
      <c r="F13" s="587"/>
      <c r="G13" s="587"/>
      <c r="H13" s="587"/>
      <c r="I13" s="622"/>
      <c r="J13" s="622"/>
      <c r="K13" s="623"/>
      <c r="L13" s="624"/>
      <c r="M13" s="601"/>
      <c r="N13" s="625"/>
      <c r="Z13" s="644"/>
      <c r="AP13" s="589"/>
      <c r="AQ13" s="589"/>
      <c r="AR13" s="589"/>
      <c r="AS13" s="589"/>
      <c r="AT13" s="589"/>
      <c r="AU13" s="589"/>
      <c r="AV13" s="589"/>
      <c r="AW13" s="589"/>
      <c r="AX13" s="589"/>
      <c r="AY13" s="589"/>
      <c r="AZ13" s="589"/>
      <c r="BA13" s="589"/>
      <c r="BB13" s="589"/>
      <c r="BC13" s="589"/>
      <c r="BD13" s="589"/>
    </row>
    <row r="14" spans="1:56">
      <c r="A14" s="576"/>
      <c r="B14" s="586"/>
      <c r="C14" s="587"/>
      <c r="D14" s="588"/>
      <c r="E14" s="587"/>
      <c r="F14" s="587"/>
      <c r="G14" s="587"/>
      <c r="H14" s="587"/>
      <c r="I14" s="622"/>
      <c r="J14" s="622"/>
      <c r="K14" s="623"/>
      <c r="L14" s="624"/>
      <c r="M14" s="601"/>
      <c r="N14" s="618" t="s">
        <v>3675</v>
      </c>
      <c r="O14" s="617" t="s">
        <v>3676</v>
      </c>
      <c r="P14" s="617"/>
      <c r="Q14" s="617"/>
      <c r="R14" s="617"/>
      <c r="S14" s="617"/>
      <c r="T14" s="617"/>
      <c r="U14" s="617"/>
      <c r="V14" s="617"/>
      <c r="W14" s="617"/>
      <c r="X14" s="617"/>
      <c r="Y14" s="617"/>
      <c r="Z14" s="642"/>
      <c r="AP14" s="589"/>
      <c r="AQ14" s="589"/>
      <c r="AR14" s="589"/>
      <c r="AS14" s="589"/>
      <c r="AT14" s="589"/>
      <c r="AU14" s="589"/>
      <c r="AV14" s="589"/>
      <c r="AW14" s="589"/>
      <c r="AX14" s="589"/>
      <c r="AY14" s="589"/>
      <c r="AZ14" s="589"/>
      <c r="BA14" s="589"/>
      <c r="BB14" s="589"/>
      <c r="BC14" s="589"/>
      <c r="BD14" s="589"/>
    </row>
    <row r="15" spans="1:56">
      <c r="A15" s="576"/>
      <c r="B15" s="586"/>
      <c r="C15" s="587"/>
      <c r="D15" s="588"/>
      <c r="E15" s="587"/>
      <c r="F15" s="587"/>
      <c r="G15" s="587"/>
      <c r="H15" s="587"/>
      <c r="I15" s="622"/>
      <c r="J15" s="622"/>
      <c r="K15" s="623"/>
      <c r="L15" s="624"/>
      <c r="M15" s="601"/>
      <c r="N15" s="618"/>
      <c r="O15" s="617"/>
      <c r="P15" s="617"/>
      <c r="Q15" s="617"/>
      <c r="R15" s="617"/>
      <c r="S15" s="617"/>
      <c r="T15" s="617"/>
      <c r="U15" s="617"/>
      <c r="V15" s="617"/>
      <c r="W15" s="617"/>
      <c r="X15" s="617"/>
      <c r="Y15" s="617"/>
      <c r="Z15" s="642"/>
      <c r="AP15" s="589"/>
      <c r="AQ15" s="589"/>
      <c r="AR15" s="589"/>
      <c r="AS15" s="589"/>
      <c r="AT15" s="589"/>
      <c r="AU15" s="589"/>
      <c r="AV15" s="589"/>
      <c r="AW15" s="589"/>
      <c r="AX15" s="589"/>
      <c r="AY15" s="589"/>
      <c r="AZ15" s="589"/>
      <c r="BA15" s="589"/>
      <c r="BB15" s="589"/>
      <c r="BC15" s="589"/>
      <c r="BD15" s="589"/>
    </row>
    <row r="16" spans="1:56">
      <c r="A16" s="576"/>
      <c r="B16" s="586"/>
      <c r="C16" s="587"/>
      <c r="D16" s="588"/>
      <c r="E16" s="587"/>
      <c r="F16" s="587"/>
      <c r="G16" s="587"/>
      <c r="H16" s="587"/>
      <c r="I16" s="622"/>
      <c r="J16" s="622"/>
      <c r="K16" s="623"/>
      <c r="L16" s="624"/>
      <c r="M16" s="601"/>
      <c r="N16" s="625"/>
      <c r="Z16" s="644"/>
      <c r="AP16" s="589"/>
      <c r="AQ16" s="589"/>
      <c r="AR16" s="589"/>
      <c r="AS16" s="589"/>
      <c r="AT16" s="589"/>
      <c r="AU16" s="589"/>
      <c r="AV16" s="589"/>
      <c r="AW16" s="589"/>
      <c r="AX16" s="589"/>
      <c r="AY16" s="589"/>
      <c r="AZ16" s="589"/>
      <c r="BA16" s="589"/>
      <c r="BB16" s="589"/>
      <c r="BC16" s="589"/>
      <c r="BD16" s="589"/>
    </row>
    <row r="17" spans="1:56">
      <c r="A17" s="576"/>
      <c r="B17" s="586"/>
      <c r="C17" s="587"/>
      <c r="D17" s="588"/>
      <c r="E17" s="587"/>
      <c r="F17" s="587"/>
      <c r="G17" s="587"/>
      <c r="H17" s="587"/>
      <c r="I17" s="622"/>
      <c r="J17" s="622"/>
      <c r="K17" s="623"/>
      <c r="L17" s="624"/>
      <c r="M17" s="601"/>
      <c r="N17" s="618" t="s">
        <v>3677</v>
      </c>
      <c r="O17" s="617" t="s">
        <v>3678</v>
      </c>
      <c r="P17" s="617"/>
      <c r="Q17" s="617"/>
      <c r="R17" s="617"/>
      <c r="S17" s="617"/>
      <c r="T17" s="617"/>
      <c r="U17" s="617"/>
      <c r="V17" s="617"/>
      <c r="W17" s="617"/>
      <c r="X17" s="617"/>
      <c r="Y17" s="617"/>
      <c r="Z17" s="642"/>
      <c r="AP17" s="589"/>
      <c r="AQ17" s="589"/>
      <c r="AR17" s="589"/>
      <c r="AS17" s="589"/>
      <c r="AT17" s="589"/>
      <c r="AU17" s="589"/>
      <c r="AV17" s="589"/>
      <c r="AW17" s="589"/>
      <c r="AX17" s="589"/>
      <c r="AY17" s="589"/>
      <c r="AZ17" s="589"/>
      <c r="BA17" s="589"/>
      <c r="BB17" s="589"/>
      <c r="BC17" s="589"/>
      <c r="BD17" s="589"/>
    </row>
    <row r="18" spans="1:56">
      <c r="A18" s="576"/>
      <c r="B18" s="586"/>
      <c r="C18" s="587"/>
      <c r="D18" s="588"/>
      <c r="E18" s="587"/>
      <c r="F18" s="587"/>
      <c r="G18" s="587"/>
      <c r="H18" s="587"/>
      <c r="I18" s="622"/>
      <c r="J18" s="622"/>
      <c r="K18" s="623"/>
      <c r="L18" s="624"/>
      <c r="M18" s="601"/>
      <c r="N18" s="618"/>
      <c r="O18" s="617"/>
      <c r="P18" s="617"/>
      <c r="Q18" s="617"/>
      <c r="R18" s="617"/>
      <c r="S18" s="617"/>
      <c r="T18" s="617"/>
      <c r="U18" s="617"/>
      <c r="V18" s="617"/>
      <c r="W18" s="617"/>
      <c r="X18" s="617"/>
      <c r="Y18" s="617"/>
      <c r="Z18" s="642"/>
      <c r="AP18" s="589"/>
      <c r="AQ18" s="589"/>
      <c r="AR18" s="589"/>
      <c r="AS18" s="589"/>
      <c r="AT18" s="589"/>
      <c r="AU18" s="589"/>
      <c r="AV18" s="589"/>
      <c r="AW18" s="589"/>
      <c r="AX18" s="589"/>
      <c r="AY18" s="589"/>
      <c r="AZ18" s="589"/>
      <c r="BA18" s="589"/>
      <c r="BB18" s="589"/>
      <c r="BC18" s="589"/>
      <c r="BD18" s="589"/>
    </row>
    <row r="19" spans="1:56">
      <c r="A19" s="576"/>
      <c r="B19" s="586"/>
      <c r="C19" s="587"/>
      <c r="D19" s="588"/>
      <c r="E19" s="587"/>
      <c r="F19" s="587"/>
      <c r="G19" s="587"/>
      <c r="H19" s="587"/>
      <c r="I19" s="622"/>
      <c r="J19" s="622"/>
      <c r="K19" s="623"/>
      <c r="L19" s="624"/>
      <c r="M19" s="601"/>
      <c r="N19" s="616"/>
      <c r="O19" s="620"/>
      <c r="P19" s="620"/>
      <c r="Q19" s="620"/>
      <c r="R19" s="620"/>
      <c r="S19" s="620"/>
      <c r="T19" s="620"/>
      <c r="U19" s="620"/>
      <c r="V19" s="620"/>
      <c r="W19" s="620"/>
      <c r="X19" s="620"/>
      <c r="Y19" s="620"/>
      <c r="Z19" s="643"/>
      <c r="AP19" s="589"/>
      <c r="AQ19" s="589"/>
      <c r="AR19" s="589"/>
      <c r="AS19" s="589"/>
      <c r="AT19" s="589"/>
      <c r="AU19" s="589"/>
      <c r="AV19" s="589"/>
      <c r="AW19" s="589"/>
      <c r="AX19" s="589"/>
      <c r="AY19" s="589"/>
      <c r="AZ19" s="589"/>
      <c r="BA19" s="589"/>
      <c r="BB19" s="589"/>
      <c r="BC19" s="589"/>
      <c r="BD19" s="589"/>
    </row>
    <row r="20" spans="1:56">
      <c r="A20" s="576"/>
      <c r="B20" s="586"/>
      <c r="C20" s="587"/>
      <c r="D20" s="588"/>
      <c r="E20" s="587"/>
      <c r="F20" s="587"/>
      <c r="G20" s="587"/>
      <c r="H20" s="587"/>
      <c r="I20" s="622"/>
      <c r="J20" s="622"/>
      <c r="K20" s="623"/>
      <c r="L20" s="624"/>
      <c r="M20" s="601"/>
      <c r="N20" s="618" t="s">
        <v>3679</v>
      </c>
      <c r="O20" s="626" t="s">
        <v>3680</v>
      </c>
      <c r="P20" s="627"/>
      <c r="Q20" s="627"/>
      <c r="R20" s="627"/>
      <c r="S20" s="627"/>
      <c r="T20" s="627"/>
      <c r="U20" s="627"/>
      <c r="V20" s="627"/>
      <c r="W20" s="627"/>
      <c r="X20" s="627"/>
      <c r="Y20" s="627"/>
      <c r="Z20" s="645"/>
      <c r="AP20" s="589"/>
      <c r="AQ20" s="589"/>
      <c r="AR20" s="589"/>
      <c r="AS20" s="589"/>
      <c r="AT20" s="589"/>
      <c r="AU20" s="589"/>
      <c r="AV20" s="589"/>
      <c r="AW20" s="589"/>
      <c r="AX20" s="589"/>
      <c r="AY20" s="589"/>
      <c r="AZ20" s="589"/>
      <c r="BA20" s="589"/>
      <c r="BB20" s="589"/>
      <c r="BC20" s="589"/>
      <c r="BD20" s="589"/>
    </row>
    <row r="21" spans="1:56">
      <c r="A21" s="576"/>
      <c r="B21" s="586"/>
      <c r="C21" s="587"/>
      <c r="D21" s="588"/>
      <c r="E21" s="587"/>
      <c r="F21" s="587"/>
      <c r="G21" s="587"/>
      <c r="H21" s="587"/>
      <c r="I21" s="622"/>
      <c r="J21" s="622"/>
      <c r="K21" s="623"/>
      <c r="L21" s="624"/>
      <c r="M21" s="601"/>
      <c r="N21" s="618"/>
      <c r="O21" s="627"/>
      <c r="P21" s="627"/>
      <c r="Q21" s="627"/>
      <c r="R21" s="627"/>
      <c r="S21" s="627"/>
      <c r="T21" s="627"/>
      <c r="U21" s="627"/>
      <c r="V21" s="627"/>
      <c r="W21" s="627"/>
      <c r="X21" s="627"/>
      <c r="Y21" s="627"/>
      <c r="Z21" s="645"/>
      <c r="AP21" s="589"/>
      <c r="AQ21" s="589"/>
      <c r="AR21" s="589"/>
      <c r="AS21" s="589"/>
      <c r="AT21" s="589"/>
      <c r="AU21" s="589"/>
      <c r="AV21" s="589"/>
      <c r="AW21" s="589"/>
      <c r="AX21" s="589"/>
      <c r="AY21" s="589"/>
      <c r="AZ21" s="589"/>
      <c r="BA21" s="589"/>
      <c r="BB21" s="589"/>
      <c r="BC21" s="589"/>
      <c r="BD21" s="589"/>
    </row>
    <row r="22" spans="1:56">
      <c r="A22" s="576"/>
      <c r="B22" s="586"/>
      <c r="C22" s="587"/>
      <c r="D22" s="588"/>
      <c r="E22" s="587"/>
      <c r="F22" s="587"/>
      <c r="G22" s="587"/>
      <c r="H22" s="587"/>
      <c r="I22" s="622"/>
      <c r="J22" s="622"/>
      <c r="K22" s="623"/>
      <c r="L22" s="624"/>
      <c r="M22" s="601"/>
      <c r="N22" s="618"/>
      <c r="O22" s="619"/>
      <c r="P22" s="619"/>
      <c r="Q22" s="619"/>
      <c r="R22" s="619"/>
      <c r="S22" s="619"/>
      <c r="T22" s="619"/>
      <c r="U22" s="619"/>
      <c r="V22" s="619"/>
      <c r="W22" s="619"/>
      <c r="X22" s="619"/>
      <c r="Y22" s="619"/>
      <c r="Z22" s="642"/>
      <c r="AP22" s="589"/>
      <c r="AQ22" s="589"/>
      <c r="AR22" s="589"/>
      <c r="AS22" s="589"/>
      <c r="AT22" s="589"/>
      <c r="AU22" s="589"/>
      <c r="AV22" s="589"/>
      <c r="AW22" s="589"/>
      <c r="AX22" s="589"/>
      <c r="AY22" s="589"/>
      <c r="AZ22" s="589"/>
      <c r="BA22" s="589"/>
      <c r="BB22" s="589"/>
      <c r="BC22" s="589"/>
      <c r="BD22" s="589"/>
    </row>
    <row r="23" spans="1:56">
      <c r="A23" s="576"/>
      <c r="B23" s="586"/>
      <c r="C23" s="587"/>
      <c r="D23" s="588"/>
      <c r="E23" s="587"/>
      <c r="F23" s="587"/>
      <c r="G23" s="587"/>
      <c r="H23" s="587"/>
      <c r="I23" s="622"/>
      <c r="J23" s="622"/>
      <c r="K23" s="623"/>
      <c r="L23" s="624"/>
      <c r="M23" s="601"/>
      <c r="N23" s="616" t="s">
        <v>3681</v>
      </c>
      <c r="O23" s="617" t="s">
        <v>3682</v>
      </c>
      <c r="P23" s="617"/>
      <c r="Q23" s="617"/>
      <c r="R23" s="617"/>
      <c r="S23" s="617"/>
      <c r="T23" s="617"/>
      <c r="U23" s="617"/>
      <c r="V23" s="617"/>
      <c r="W23" s="617"/>
      <c r="X23" s="617"/>
      <c r="Y23" s="617"/>
      <c r="Z23" s="642"/>
      <c r="AP23" s="589"/>
      <c r="AQ23" s="589"/>
      <c r="AR23" s="589"/>
      <c r="AS23" s="589"/>
      <c r="AT23" s="589"/>
      <c r="AU23" s="589"/>
      <c r="AV23" s="589"/>
      <c r="AW23" s="589"/>
      <c r="AX23" s="589"/>
      <c r="AY23" s="589"/>
      <c r="AZ23" s="589"/>
      <c r="BA23" s="589"/>
      <c r="BB23" s="589"/>
      <c r="BC23" s="589"/>
      <c r="BD23" s="589"/>
    </row>
    <row r="24" spans="1:56">
      <c r="A24" s="589"/>
      <c r="B24" s="577" t="s">
        <v>701</v>
      </c>
      <c r="C24" s="578"/>
      <c r="D24" s="585"/>
      <c r="E24" s="578"/>
      <c r="F24" s="578"/>
      <c r="G24" s="578"/>
      <c r="H24" s="578" t="s">
        <v>702</v>
      </c>
      <c r="I24" s="578"/>
      <c r="J24" s="578"/>
      <c r="K24" s="621"/>
      <c r="L24" s="604"/>
      <c r="M24" s="601"/>
      <c r="N24" s="618"/>
      <c r="O24" s="617"/>
      <c r="P24" s="617"/>
      <c r="Q24" s="617"/>
      <c r="R24" s="617"/>
      <c r="S24" s="617"/>
      <c r="T24" s="617"/>
      <c r="U24" s="617"/>
      <c r="V24" s="617"/>
      <c r="W24" s="617"/>
      <c r="X24" s="617"/>
      <c r="Y24" s="617"/>
      <c r="Z24" s="642"/>
      <c r="AP24" s="589"/>
      <c r="AQ24" s="589"/>
      <c r="AR24" s="589"/>
      <c r="AS24" s="589"/>
      <c r="AT24" s="589"/>
      <c r="AU24" s="589"/>
      <c r="AV24" s="589"/>
      <c r="AW24" s="589"/>
      <c r="AX24" s="589"/>
      <c r="AY24" s="589"/>
      <c r="AZ24" s="589"/>
      <c r="BA24" s="589"/>
      <c r="BB24" s="589"/>
      <c r="BC24" s="589"/>
      <c r="BD24" s="589"/>
    </row>
    <row r="25" spans="1:56">
      <c r="A25" s="589"/>
      <c r="B25" s="586" t="str">
        <f>IF($B4=附表!B213,"",VLOOKUP($B4,附表!B95:K666,9,FALSE))</f>
        <v>· 调查员与其他人之间的讨论让敌对势力对调查员的意图起了警觉
· 账簿最重要的一部分被摧毁或者丢失了（可能调查员因为疲劳将咖啡洒出在了上面）。</v>
      </c>
      <c r="C25" s="587"/>
      <c r="D25" s="588"/>
      <c r="E25" s="587"/>
      <c r="F25" s="587"/>
      <c r="G25" s="587"/>
      <c r="H25" s="590" t="str">
        <f>IF($B4=附表!B213,"",VLOOKUP($B4,附表!B95:K666,10,FALSE))</f>
        <v>他可能会被发现他把部分的账簿吃下了肚。</v>
      </c>
      <c r="I25" s="590"/>
      <c r="J25" s="590"/>
      <c r="K25" s="628"/>
      <c r="L25" s="629"/>
      <c r="M25" s="630"/>
      <c r="N25" s="618" t="s">
        <v>3683</v>
      </c>
      <c r="O25" s="617" t="s">
        <v>3684</v>
      </c>
      <c r="P25" s="617"/>
      <c r="Q25" s="617"/>
      <c r="R25" s="617"/>
      <c r="S25" s="617"/>
      <c r="T25" s="617"/>
      <c r="U25" s="617"/>
      <c r="V25" s="617"/>
      <c r="W25" s="617"/>
      <c r="X25" s="617"/>
      <c r="Y25" s="617"/>
      <c r="Z25" s="642"/>
      <c r="AP25" s="589"/>
      <c r="AQ25" s="589"/>
      <c r="AR25" s="589"/>
      <c r="AS25" s="589"/>
      <c r="AT25" s="589"/>
      <c r="AU25" s="589"/>
      <c r="AV25" s="589"/>
      <c r="AW25" s="589"/>
      <c r="AX25" s="589"/>
      <c r="AY25" s="589"/>
      <c r="AZ25" s="589"/>
      <c r="BA25" s="589"/>
      <c r="BB25" s="589"/>
      <c r="BC25" s="589"/>
      <c r="BD25" s="589"/>
    </row>
    <row r="26" spans="1:56">
      <c r="A26" s="589"/>
      <c r="B26" s="586"/>
      <c r="C26" s="587"/>
      <c r="D26" s="587"/>
      <c r="E26" s="587"/>
      <c r="F26" s="587"/>
      <c r="G26" s="587"/>
      <c r="H26" s="590"/>
      <c r="I26" s="590"/>
      <c r="J26" s="590"/>
      <c r="K26" s="590"/>
      <c r="L26" s="629"/>
      <c r="M26" s="630"/>
      <c r="N26" s="618"/>
      <c r="O26" s="617"/>
      <c r="P26" s="617"/>
      <c r="Q26" s="617"/>
      <c r="R26" s="617"/>
      <c r="S26" s="617"/>
      <c r="T26" s="617"/>
      <c r="U26" s="617"/>
      <c r="V26" s="617"/>
      <c r="W26" s="617"/>
      <c r="X26" s="617"/>
      <c r="Y26" s="617"/>
      <c r="Z26" s="642"/>
      <c r="AP26" s="589"/>
      <c r="AQ26" s="589"/>
      <c r="AR26" s="589"/>
      <c r="AS26" s="589"/>
      <c r="AT26" s="589"/>
      <c r="AU26" s="589"/>
      <c r="AV26" s="589"/>
      <c r="AW26" s="589"/>
      <c r="AX26" s="589"/>
      <c r="AY26" s="589"/>
      <c r="AZ26" s="589"/>
      <c r="BA26" s="589"/>
      <c r="BB26" s="589"/>
      <c r="BC26" s="589"/>
      <c r="BD26" s="589"/>
    </row>
    <row r="27" spans="1:56">
      <c r="A27" s="589"/>
      <c r="B27" s="586"/>
      <c r="C27" s="587"/>
      <c r="D27" s="587"/>
      <c r="E27" s="587"/>
      <c r="F27" s="587"/>
      <c r="G27" s="587"/>
      <c r="H27" s="590"/>
      <c r="I27" s="590"/>
      <c r="J27" s="590"/>
      <c r="K27" s="590"/>
      <c r="L27" s="629"/>
      <c r="M27" s="630"/>
      <c r="N27" s="618"/>
      <c r="O27" s="619"/>
      <c r="P27" s="619"/>
      <c r="Q27" s="619"/>
      <c r="R27" s="619"/>
      <c r="S27" s="619"/>
      <c r="T27" s="619"/>
      <c r="U27" s="619"/>
      <c r="V27" s="619"/>
      <c r="W27" s="619"/>
      <c r="X27" s="619"/>
      <c r="Y27" s="619"/>
      <c r="Z27" s="642"/>
      <c r="AP27" s="589"/>
      <c r="AQ27" s="589"/>
      <c r="AR27" s="589"/>
      <c r="AS27" s="589"/>
      <c r="AT27" s="589"/>
      <c r="AU27" s="589"/>
      <c r="AV27" s="589"/>
      <c r="AW27" s="589"/>
      <c r="AX27" s="589"/>
      <c r="AY27" s="589"/>
      <c r="AZ27" s="589"/>
      <c r="BA27" s="589"/>
      <c r="BB27" s="589"/>
      <c r="BC27" s="589"/>
      <c r="BD27" s="589"/>
    </row>
    <row r="28" spans="1:56">
      <c r="A28" s="589"/>
      <c r="B28" s="586"/>
      <c r="C28" s="587"/>
      <c r="D28" s="587"/>
      <c r="E28" s="587"/>
      <c r="F28" s="587"/>
      <c r="G28" s="587"/>
      <c r="H28" s="590"/>
      <c r="I28" s="590"/>
      <c r="J28" s="590"/>
      <c r="K28" s="590"/>
      <c r="L28" s="629"/>
      <c r="M28" s="630"/>
      <c r="N28" s="616" t="s">
        <v>3685</v>
      </c>
      <c r="O28" s="617" t="s">
        <v>3686</v>
      </c>
      <c r="P28" s="617"/>
      <c r="Q28" s="617"/>
      <c r="R28" s="617"/>
      <c r="S28" s="617"/>
      <c r="T28" s="617"/>
      <c r="U28" s="617"/>
      <c r="V28" s="617"/>
      <c r="W28" s="617"/>
      <c r="X28" s="617"/>
      <c r="Y28" s="617"/>
      <c r="Z28" s="642"/>
      <c r="AP28" s="589"/>
      <c r="AQ28" s="589"/>
      <c r="AR28" s="589"/>
      <c r="AS28" s="589"/>
      <c r="AT28" s="589"/>
      <c r="AU28" s="589"/>
      <c r="AV28" s="589"/>
      <c r="AW28" s="589"/>
      <c r="AX28" s="589"/>
      <c r="AY28" s="589"/>
      <c r="AZ28" s="589"/>
      <c r="BA28" s="589"/>
      <c r="BB28" s="589"/>
      <c r="BC28" s="589"/>
      <c r="BD28" s="589"/>
    </row>
    <row r="29" spans="1:56">
      <c r="A29" s="589"/>
      <c r="B29" s="586"/>
      <c r="C29" s="587"/>
      <c r="D29" s="587"/>
      <c r="E29" s="587"/>
      <c r="F29" s="587"/>
      <c r="G29" s="587"/>
      <c r="H29" s="590"/>
      <c r="I29" s="590"/>
      <c r="J29" s="590"/>
      <c r="K29" s="590"/>
      <c r="L29" s="629"/>
      <c r="M29" s="630"/>
      <c r="N29" s="618"/>
      <c r="O29" s="617"/>
      <c r="P29" s="617"/>
      <c r="Q29" s="617"/>
      <c r="R29" s="617"/>
      <c r="S29" s="617"/>
      <c r="T29" s="617"/>
      <c r="U29" s="617"/>
      <c r="V29" s="617"/>
      <c r="W29" s="617"/>
      <c r="X29" s="617"/>
      <c r="Y29" s="617"/>
      <c r="Z29" s="642"/>
      <c r="AP29" s="589"/>
      <c r="AQ29" s="589"/>
      <c r="AR29" s="589"/>
      <c r="AS29" s="589"/>
      <c r="AT29" s="589"/>
      <c r="AU29" s="589"/>
      <c r="AV29" s="589"/>
      <c r="AW29" s="589"/>
      <c r="AX29" s="589"/>
      <c r="AY29" s="589"/>
      <c r="AZ29" s="589"/>
      <c r="BA29" s="589"/>
      <c r="BB29" s="589"/>
      <c r="BC29" s="589"/>
      <c r="BD29" s="589"/>
    </row>
    <row r="30" spans="1:56">
      <c r="A30" s="589"/>
      <c r="B30" s="586"/>
      <c r="C30" s="587"/>
      <c r="D30" s="587"/>
      <c r="E30" s="587"/>
      <c r="F30" s="587"/>
      <c r="G30" s="587"/>
      <c r="H30" s="590"/>
      <c r="I30" s="590"/>
      <c r="J30" s="590"/>
      <c r="K30" s="590"/>
      <c r="L30" s="629"/>
      <c r="M30" s="630"/>
      <c r="N30" s="616" t="s">
        <v>3687</v>
      </c>
      <c r="O30" s="617" t="s">
        <v>3688</v>
      </c>
      <c r="P30" s="617"/>
      <c r="Q30" s="617"/>
      <c r="R30" s="617"/>
      <c r="S30" s="617"/>
      <c r="T30" s="617"/>
      <c r="U30" s="617"/>
      <c r="V30" s="617"/>
      <c r="W30" s="617"/>
      <c r="X30" s="617"/>
      <c r="Y30" s="617"/>
      <c r="Z30" s="642"/>
      <c r="AP30" s="589"/>
      <c r="AQ30" s="589"/>
      <c r="AR30" s="589"/>
      <c r="AS30" s="589"/>
      <c r="AT30" s="589"/>
      <c r="AU30" s="589"/>
      <c r="AV30" s="589"/>
      <c r="AW30" s="589"/>
      <c r="AX30" s="589"/>
      <c r="AY30" s="589"/>
      <c r="AZ30" s="589"/>
      <c r="BA30" s="589"/>
      <c r="BB30" s="589"/>
      <c r="BC30" s="589"/>
      <c r="BD30" s="589"/>
    </row>
    <row r="31" spans="1:56">
      <c r="A31" s="589"/>
      <c r="B31" s="586"/>
      <c r="C31" s="587"/>
      <c r="D31" s="587"/>
      <c r="E31" s="587"/>
      <c r="F31" s="587"/>
      <c r="G31" s="587"/>
      <c r="H31" s="590"/>
      <c r="I31" s="590"/>
      <c r="J31" s="590"/>
      <c r="K31" s="590"/>
      <c r="L31" s="629"/>
      <c r="M31" s="630"/>
      <c r="N31" s="616"/>
      <c r="O31" s="617"/>
      <c r="P31" s="617"/>
      <c r="Q31" s="617"/>
      <c r="R31" s="617"/>
      <c r="S31" s="617"/>
      <c r="T31" s="617"/>
      <c r="U31" s="617"/>
      <c r="V31" s="617"/>
      <c r="W31" s="617"/>
      <c r="X31" s="617"/>
      <c r="Y31" s="617"/>
      <c r="Z31" s="642"/>
      <c r="AP31" s="589"/>
      <c r="AQ31" s="589"/>
      <c r="AR31" s="589"/>
      <c r="AS31" s="589"/>
      <c r="AT31" s="589"/>
      <c r="AU31" s="589"/>
      <c r="AV31" s="589"/>
      <c r="AW31" s="589"/>
      <c r="AX31" s="589"/>
      <c r="AY31" s="589"/>
      <c r="AZ31" s="589"/>
      <c r="BA31" s="589"/>
      <c r="BB31" s="589"/>
      <c r="BC31" s="589"/>
      <c r="BD31" s="589"/>
    </row>
    <row r="32" spans="1:56">
      <c r="A32" s="589"/>
      <c r="B32" s="586"/>
      <c r="C32" s="587"/>
      <c r="D32" s="587"/>
      <c r="E32" s="587"/>
      <c r="F32" s="587"/>
      <c r="G32" s="587"/>
      <c r="H32" s="590"/>
      <c r="I32" s="590"/>
      <c r="J32" s="590"/>
      <c r="K32" s="590"/>
      <c r="L32" s="629"/>
      <c r="M32" s="630"/>
      <c r="N32" s="616" t="s">
        <v>3689</v>
      </c>
      <c r="O32" s="617" t="s">
        <v>3690</v>
      </c>
      <c r="P32" s="617"/>
      <c r="Q32" s="617"/>
      <c r="R32" s="617"/>
      <c r="S32" s="617"/>
      <c r="T32" s="617"/>
      <c r="U32" s="617"/>
      <c r="V32" s="617"/>
      <c r="W32" s="617"/>
      <c r="X32" s="617"/>
      <c r="Y32" s="617"/>
      <c r="Z32" s="642"/>
      <c r="AP32" s="589"/>
      <c r="AQ32" s="589"/>
      <c r="AR32" s="589"/>
      <c r="AS32" s="589"/>
      <c r="AT32" s="589"/>
      <c r="AU32" s="589"/>
      <c r="AV32" s="589"/>
      <c r="AW32" s="589"/>
      <c r="AX32" s="589"/>
      <c r="AY32" s="589"/>
      <c r="AZ32" s="589"/>
      <c r="BA32" s="589"/>
      <c r="BB32" s="589"/>
      <c r="BC32" s="589"/>
      <c r="BD32" s="589"/>
    </row>
    <row r="33" spans="1:56">
      <c r="A33" s="589"/>
      <c r="B33" s="586"/>
      <c r="C33" s="587"/>
      <c r="D33" s="587"/>
      <c r="E33" s="587"/>
      <c r="F33" s="587"/>
      <c r="G33" s="587"/>
      <c r="H33" s="590"/>
      <c r="I33" s="590"/>
      <c r="J33" s="590"/>
      <c r="K33" s="590"/>
      <c r="L33" s="629"/>
      <c r="M33" s="630"/>
      <c r="N33" s="616"/>
      <c r="O33" s="620"/>
      <c r="P33" s="620"/>
      <c r="Q33" s="620"/>
      <c r="R33" s="620"/>
      <c r="S33" s="620"/>
      <c r="T33" s="620"/>
      <c r="U33" s="620"/>
      <c r="V33" s="620"/>
      <c r="W33" s="620"/>
      <c r="X33" s="620"/>
      <c r="Y33" s="620"/>
      <c r="Z33" s="643"/>
      <c r="AP33" s="589"/>
      <c r="AQ33" s="589"/>
      <c r="AR33" s="589"/>
      <c r="AS33" s="589"/>
      <c r="AT33" s="589"/>
      <c r="AU33" s="589"/>
      <c r="AV33" s="589"/>
      <c r="AW33" s="589"/>
      <c r="AX33" s="589"/>
      <c r="AY33" s="589"/>
      <c r="AZ33" s="589"/>
      <c r="BA33" s="589"/>
      <c r="BB33" s="589"/>
      <c r="BC33" s="589"/>
      <c r="BD33" s="589"/>
    </row>
    <row r="34" ht="33" spans="1:56">
      <c r="A34" s="589"/>
      <c r="B34" s="586"/>
      <c r="C34" s="587"/>
      <c r="D34" s="587"/>
      <c r="E34" s="587"/>
      <c r="F34" s="587"/>
      <c r="G34" s="587"/>
      <c r="H34" s="590"/>
      <c r="I34" s="590"/>
      <c r="J34" s="590"/>
      <c r="K34" s="590"/>
      <c r="L34" s="629"/>
      <c r="M34" s="630"/>
      <c r="N34" s="616" t="s">
        <v>3691</v>
      </c>
      <c r="O34" s="617" t="s">
        <v>3692</v>
      </c>
      <c r="P34" s="617"/>
      <c r="Q34" s="617"/>
      <c r="R34" s="617"/>
      <c r="S34" s="617"/>
      <c r="T34" s="617"/>
      <c r="U34" s="617"/>
      <c r="V34" s="617"/>
      <c r="W34" s="617"/>
      <c r="X34" s="617"/>
      <c r="Y34" s="617"/>
      <c r="Z34" s="642"/>
      <c r="AP34" s="589"/>
      <c r="AQ34" s="589"/>
      <c r="AR34" s="589"/>
      <c r="AS34" s="589"/>
      <c r="AT34" s="589"/>
      <c r="AU34" s="589"/>
      <c r="AV34" s="589"/>
      <c r="AW34" s="589"/>
      <c r="AX34" s="589"/>
      <c r="AY34" s="589"/>
      <c r="AZ34" s="589"/>
      <c r="BA34" s="589"/>
      <c r="BB34" s="589"/>
      <c r="BC34" s="589"/>
      <c r="BD34" s="589"/>
    </row>
    <row r="35" spans="1:56">
      <c r="A35" s="589"/>
      <c r="B35" s="586"/>
      <c r="C35" s="587"/>
      <c r="D35" s="587"/>
      <c r="E35" s="587"/>
      <c r="F35" s="587"/>
      <c r="G35" s="587"/>
      <c r="H35" s="590"/>
      <c r="I35" s="590"/>
      <c r="J35" s="590"/>
      <c r="K35" s="590"/>
      <c r="L35" s="629"/>
      <c r="M35" s="630"/>
      <c r="N35" s="618"/>
      <c r="O35" s="617"/>
      <c r="P35" s="617"/>
      <c r="Q35" s="617"/>
      <c r="R35" s="617"/>
      <c r="S35" s="617"/>
      <c r="T35" s="617"/>
      <c r="U35" s="617"/>
      <c r="V35" s="617"/>
      <c r="W35" s="617"/>
      <c r="X35" s="617"/>
      <c r="Y35" s="617"/>
      <c r="Z35" s="642"/>
      <c r="AP35" s="589"/>
      <c r="AQ35" s="589"/>
      <c r="AR35" s="589"/>
      <c r="AS35" s="589"/>
      <c r="AT35" s="589"/>
      <c r="AU35" s="589"/>
      <c r="AV35" s="589"/>
      <c r="AW35" s="589"/>
      <c r="AX35" s="589"/>
      <c r="AY35" s="589"/>
      <c r="AZ35" s="589"/>
      <c r="BA35" s="589"/>
      <c r="BB35" s="589"/>
      <c r="BC35" s="589"/>
      <c r="BD35" s="589"/>
    </row>
    <row r="36" spans="1:56">
      <c r="A36" s="589"/>
      <c r="B36" s="586"/>
      <c r="C36" s="587"/>
      <c r="D36" s="587"/>
      <c r="E36" s="587"/>
      <c r="F36" s="587"/>
      <c r="G36" s="587"/>
      <c r="H36" s="590"/>
      <c r="I36" s="590"/>
      <c r="J36" s="590"/>
      <c r="K36" s="590"/>
      <c r="L36" s="629"/>
      <c r="M36" s="630"/>
      <c r="N36" s="618" t="s">
        <v>3693</v>
      </c>
      <c r="O36" s="617" t="s">
        <v>3694</v>
      </c>
      <c r="P36" s="617"/>
      <c r="Q36" s="617"/>
      <c r="R36" s="617"/>
      <c r="S36" s="617"/>
      <c r="T36" s="617"/>
      <c r="U36" s="617"/>
      <c r="V36" s="617"/>
      <c r="W36" s="617"/>
      <c r="X36" s="617"/>
      <c r="Y36" s="617"/>
      <c r="Z36" s="642"/>
      <c r="AP36" s="589"/>
      <c r="AQ36" s="589"/>
      <c r="AR36" s="589"/>
      <c r="AS36" s="589"/>
      <c r="AT36" s="589"/>
      <c r="AU36" s="589"/>
      <c r="AV36" s="589"/>
      <c r="AW36" s="589"/>
      <c r="AX36" s="589"/>
      <c r="AY36" s="589"/>
      <c r="AZ36" s="589"/>
      <c r="BA36" s="589"/>
      <c r="BB36" s="589"/>
      <c r="BC36" s="589"/>
      <c r="BD36" s="589"/>
    </row>
    <row r="37" spans="1:56">
      <c r="A37" s="589"/>
      <c r="B37" s="586"/>
      <c r="C37" s="587"/>
      <c r="D37" s="587"/>
      <c r="E37" s="587"/>
      <c r="F37" s="587"/>
      <c r="G37" s="587"/>
      <c r="H37" s="590"/>
      <c r="I37" s="590"/>
      <c r="J37" s="590"/>
      <c r="K37" s="590"/>
      <c r="L37" s="629"/>
      <c r="M37" s="630"/>
      <c r="N37" s="618"/>
      <c r="O37" s="617"/>
      <c r="P37" s="617"/>
      <c r="Q37" s="617"/>
      <c r="R37" s="617"/>
      <c r="S37" s="617"/>
      <c r="T37" s="617"/>
      <c r="U37" s="617"/>
      <c r="V37" s="617"/>
      <c r="W37" s="617"/>
      <c r="X37" s="617"/>
      <c r="Y37" s="617"/>
      <c r="Z37" s="642"/>
      <c r="AP37" s="589"/>
      <c r="AQ37" s="589"/>
      <c r="AR37" s="589"/>
      <c r="AS37" s="589"/>
      <c r="AT37" s="589"/>
      <c r="AU37" s="589"/>
      <c r="AV37" s="589"/>
      <c r="AW37" s="589"/>
      <c r="AX37" s="589"/>
      <c r="AY37" s="589"/>
      <c r="AZ37" s="589"/>
      <c r="BA37" s="589"/>
      <c r="BB37" s="589"/>
      <c r="BC37" s="589"/>
      <c r="BD37" s="589"/>
    </row>
    <row r="38" spans="1:56">
      <c r="A38" s="589"/>
      <c r="B38" s="586"/>
      <c r="C38" s="587"/>
      <c r="D38" s="587"/>
      <c r="E38" s="587"/>
      <c r="F38" s="587"/>
      <c r="G38" s="587"/>
      <c r="H38" s="590"/>
      <c r="I38" s="590"/>
      <c r="J38" s="590"/>
      <c r="K38" s="590"/>
      <c r="L38" s="629"/>
      <c r="M38" s="630"/>
      <c r="N38" s="618"/>
      <c r="O38" s="617"/>
      <c r="P38" s="617"/>
      <c r="Q38" s="617"/>
      <c r="R38" s="617"/>
      <c r="S38" s="617"/>
      <c r="T38" s="617"/>
      <c r="U38" s="617"/>
      <c r="V38" s="617"/>
      <c r="W38" s="617"/>
      <c r="X38" s="617"/>
      <c r="Y38" s="617"/>
      <c r="Z38" s="642"/>
      <c r="AP38" s="589"/>
      <c r="AQ38" s="589"/>
      <c r="AR38" s="589"/>
      <c r="AS38" s="589"/>
      <c r="AT38" s="589"/>
      <c r="AU38" s="589"/>
      <c r="AV38" s="589"/>
      <c r="AW38" s="589"/>
      <c r="AX38" s="589"/>
      <c r="AY38" s="589"/>
      <c r="AZ38" s="589"/>
      <c r="BA38" s="589"/>
      <c r="BB38" s="589"/>
      <c r="BC38" s="589"/>
      <c r="BD38" s="589"/>
    </row>
    <row r="39" spans="1:56">
      <c r="A39" s="589"/>
      <c r="B39" s="577" t="s">
        <v>3695</v>
      </c>
      <c r="C39" s="578"/>
      <c r="D39" s="578"/>
      <c r="E39" s="578"/>
      <c r="F39" s="578"/>
      <c r="G39" s="578"/>
      <c r="H39" s="578"/>
      <c r="I39" s="578"/>
      <c r="J39" s="578"/>
      <c r="K39" s="578"/>
      <c r="L39" s="604"/>
      <c r="M39" s="630"/>
      <c r="N39" s="618" t="s">
        <v>3696</v>
      </c>
      <c r="O39" s="617" t="s">
        <v>3697</v>
      </c>
      <c r="P39" s="631"/>
      <c r="Q39" s="631"/>
      <c r="R39" s="631"/>
      <c r="S39" s="631"/>
      <c r="T39" s="631"/>
      <c r="U39" s="631"/>
      <c r="V39" s="631"/>
      <c r="W39" s="631"/>
      <c r="X39" s="631"/>
      <c r="Y39" s="631"/>
      <c r="Z39" s="641"/>
      <c r="AP39" s="589"/>
      <c r="AQ39" s="589"/>
      <c r="AR39" s="589"/>
      <c r="AS39" s="589"/>
      <c r="AT39" s="589"/>
      <c r="AU39" s="589"/>
      <c r="AV39" s="589"/>
      <c r="AW39" s="589"/>
      <c r="AX39" s="589"/>
      <c r="AY39" s="589"/>
      <c r="AZ39" s="589"/>
      <c r="BA39" s="589"/>
      <c r="BB39" s="589"/>
      <c r="BC39" s="589"/>
      <c r="BD39" s="589"/>
    </row>
    <row r="40" spans="1:56">
      <c r="A40" s="589"/>
      <c r="B40" s="591" t="str">
        <f>IF($B4=附表!B213,"",VLOOKUP($B4,附表!B95:K666,5,FALSE))</f>
        <v>· 使你理解会计工作的流程以及一个企业或者个人的金融职务。
· 通过检查账簿，你可以发现做假账的员工，对资金的偷偷挪用，对行贿或者敲诈的款项支付，以及经济状况是否比表面陈述的更好或者更差。
· 通过仔细检查旧账户，你可以了解过去的资金的得与失（谷物，奴隶贸易，威士忌酒的运营等）以及这些资金是付给了谁以及为了什么款项而支付。</v>
      </c>
      <c r="C40" s="592"/>
      <c r="D40" s="592"/>
      <c r="E40" s="592"/>
      <c r="F40" s="592"/>
      <c r="G40" s="592"/>
      <c r="H40" s="592"/>
      <c r="I40" s="592"/>
      <c r="J40" s="592"/>
      <c r="K40" s="592"/>
      <c r="L40" s="632"/>
      <c r="M40" s="630"/>
      <c r="N40" s="618"/>
      <c r="O40" s="631"/>
      <c r="P40" s="631"/>
      <c r="Q40" s="631"/>
      <c r="R40" s="631"/>
      <c r="S40" s="631"/>
      <c r="T40" s="631"/>
      <c r="U40" s="631"/>
      <c r="V40" s="631"/>
      <c r="W40" s="631"/>
      <c r="X40" s="631"/>
      <c r="Y40" s="631"/>
      <c r="Z40" s="641"/>
      <c r="AP40" s="589"/>
      <c r="AQ40" s="589"/>
      <c r="AR40" s="589"/>
      <c r="AS40" s="589"/>
      <c r="AT40" s="589"/>
      <c r="AU40" s="589"/>
      <c r="AV40" s="589"/>
      <c r="AW40" s="589"/>
      <c r="AX40" s="589"/>
      <c r="AY40" s="589"/>
      <c r="AZ40" s="589"/>
      <c r="BA40" s="589"/>
      <c r="BB40" s="589"/>
      <c r="BC40" s="589"/>
      <c r="BD40" s="589"/>
    </row>
    <row r="41" spans="1:56">
      <c r="A41" s="589"/>
      <c r="B41" s="593"/>
      <c r="C41" s="594"/>
      <c r="D41" s="594"/>
      <c r="E41" s="594"/>
      <c r="F41" s="594"/>
      <c r="G41" s="594"/>
      <c r="H41" s="594"/>
      <c r="I41" s="594"/>
      <c r="J41" s="594"/>
      <c r="K41" s="594"/>
      <c r="L41" s="633"/>
      <c r="M41" s="630"/>
      <c r="N41" s="618"/>
      <c r="O41" s="617"/>
      <c r="P41" s="617"/>
      <c r="Q41" s="617"/>
      <c r="R41" s="617"/>
      <c r="S41" s="617"/>
      <c r="T41" s="617"/>
      <c r="U41" s="617"/>
      <c r="V41" s="617"/>
      <c r="W41" s="617"/>
      <c r="X41" s="617"/>
      <c r="Y41" s="617"/>
      <c r="Z41" s="642"/>
      <c r="AP41" s="589"/>
      <c r="AQ41" s="589"/>
      <c r="AR41" s="589"/>
      <c r="AS41" s="589"/>
      <c r="AT41" s="589"/>
      <c r="AU41" s="589"/>
      <c r="AV41" s="589"/>
      <c r="AW41" s="589"/>
      <c r="AX41" s="589"/>
      <c r="AY41" s="589"/>
      <c r="AZ41" s="589"/>
      <c r="BA41" s="589"/>
      <c r="BB41" s="589"/>
      <c r="BC41" s="589"/>
      <c r="BD41" s="589"/>
    </row>
    <row r="42" spans="1:56">
      <c r="A42" s="589"/>
      <c r="B42" s="593"/>
      <c r="C42" s="594"/>
      <c r="D42" s="594"/>
      <c r="E42" s="594"/>
      <c r="F42" s="594"/>
      <c r="G42" s="594"/>
      <c r="H42" s="594"/>
      <c r="I42" s="594"/>
      <c r="J42" s="594"/>
      <c r="K42" s="594"/>
      <c r="L42" s="633"/>
      <c r="M42" s="630"/>
      <c r="N42" s="618"/>
      <c r="O42" s="617"/>
      <c r="P42" s="617"/>
      <c r="Q42" s="617"/>
      <c r="R42" s="617"/>
      <c r="S42" s="617"/>
      <c r="T42" s="617"/>
      <c r="U42" s="617"/>
      <c r="V42" s="617"/>
      <c r="W42" s="617"/>
      <c r="X42" s="617"/>
      <c r="Y42" s="617"/>
      <c r="Z42" s="642"/>
      <c r="AP42" s="589"/>
      <c r="AQ42" s="589"/>
      <c r="AR42" s="589"/>
      <c r="AS42" s="589"/>
      <c r="AT42" s="589"/>
      <c r="AU42" s="589"/>
      <c r="AV42" s="589"/>
      <c r="AW42" s="589"/>
      <c r="AX42" s="589"/>
      <c r="AY42" s="589"/>
      <c r="AZ42" s="589"/>
      <c r="BA42" s="589"/>
      <c r="BB42" s="589"/>
      <c r="BC42" s="589"/>
      <c r="BD42" s="589"/>
    </row>
    <row r="43" ht="16.95" customHeight="1" spans="1:56">
      <c r="A43" s="589"/>
      <c r="B43" s="593"/>
      <c r="C43" s="594"/>
      <c r="D43" s="594"/>
      <c r="E43" s="594"/>
      <c r="F43" s="594"/>
      <c r="G43" s="594"/>
      <c r="H43" s="594"/>
      <c r="I43" s="594"/>
      <c r="J43" s="594"/>
      <c r="K43" s="594"/>
      <c r="L43" s="633"/>
      <c r="M43" s="630"/>
      <c r="N43" s="634" t="s">
        <v>3698</v>
      </c>
      <c r="O43" s="635" t="s">
        <v>3699</v>
      </c>
      <c r="P43" s="635"/>
      <c r="Q43" s="635"/>
      <c r="R43" s="635"/>
      <c r="S43" s="635"/>
      <c r="T43" s="635"/>
      <c r="U43" s="635"/>
      <c r="V43" s="635"/>
      <c r="W43" s="635"/>
      <c r="X43" s="635"/>
      <c r="Y43" s="635"/>
      <c r="Z43" s="646"/>
      <c r="AP43" s="589"/>
      <c r="AQ43" s="589"/>
      <c r="AR43" s="589"/>
      <c r="AS43" s="589"/>
      <c r="AT43" s="589"/>
      <c r="AU43" s="589"/>
      <c r="AV43" s="589"/>
      <c r="AW43" s="589"/>
      <c r="AX43" s="589"/>
      <c r="AY43" s="589"/>
      <c r="AZ43" s="589"/>
      <c r="BA43" s="589"/>
      <c r="BB43" s="589"/>
      <c r="BC43" s="589"/>
      <c r="BD43" s="589"/>
    </row>
    <row r="44" ht="16.95" customHeight="1" spans="1:56">
      <c r="A44" s="589"/>
      <c r="B44" s="593"/>
      <c r="C44" s="594"/>
      <c r="D44" s="594"/>
      <c r="E44" s="594"/>
      <c r="F44" s="594"/>
      <c r="G44" s="594"/>
      <c r="H44" s="594"/>
      <c r="I44" s="594"/>
      <c r="J44" s="594"/>
      <c r="K44" s="594"/>
      <c r="L44" s="633"/>
      <c r="M44" s="589"/>
      <c r="AP44" s="589"/>
      <c r="AQ44" s="589"/>
      <c r="AR44" s="589"/>
      <c r="AS44" s="589"/>
      <c r="AT44" s="589"/>
      <c r="AU44" s="589"/>
      <c r="AV44" s="589"/>
      <c r="AW44" s="589"/>
      <c r="AX44" s="589"/>
      <c r="AY44" s="589"/>
      <c r="AZ44" s="589"/>
      <c r="BA44" s="589"/>
      <c r="BB44" s="589"/>
      <c r="BC44" s="589"/>
      <c r="BD44" s="589"/>
    </row>
    <row r="45" spans="2:56">
      <c r="B45" s="593"/>
      <c r="C45" s="594"/>
      <c r="D45" s="594"/>
      <c r="E45" s="594"/>
      <c r="F45" s="594"/>
      <c r="G45" s="594"/>
      <c r="H45" s="594"/>
      <c r="I45" s="594"/>
      <c r="J45" s="594"/>
      <c r="K45" s="594"/>
      <c r="L45" s="633"/>
      <c r="O45" s="636" t="s">
        <v>3700</v>
      </c>
      <c r="P45" s="636"/>
      <c r="Q45" s="636"/>
      <c r="R45" s="636"/>
      <c r="S45" s="636"/>
      <c r="T45" s="636"/>
      <c r="U45" s="636"/>
      <c r="V45" s="636"/>
      <c r="W45" s="636"/>
      <c r="X45" s="636"/>
      <c r="Y45" s="636"/>
      <c r="AP45" s="589"/>
      <c r="AQ45" s="589"/>
      <c r="AR45" s="589"/>
      <c r="AS45" s="589"/>
      <c r="AT45" s="589"/>
      <c r="AU45" s="589"/>
      <c r="AV45" s="589"/>
      <c r="AW45" s="589"/>
      <c r="AX45" s="589"/>
      <c r="AY45" s="589"/>
      <c r="AZ45" s="589"/>
      <c r="BA45" s="589"/>
      <c r="BB45" s="589"/>
      <c r="BC45" s="589"/>
      <c r="BD45" s="589"/>
    </row>
    <row r="46" spans="2:56">
      <c r="B46" s="593"/>
      <c r="C46" s="594"/>
      <c r="D46" s="594"/>
      <c r="E46" s="594"/>
      <c r="F46" s="594"/>
      <c r="G46" s="594"/>
      <c r="H46" s="594"/>
      <c r="I46" s="594"/>
      <c r="J46" s="594"/>
      <c r="K46" s="594"/>
      <c r="L46" s="633"/>
      <c r="AP46" s="589"/>
      <c r="AQ46" s="589"/>
      <c r="AR46" s="589"/>
      <c r="AS46" s="589"/>
      <c r="AT46" s="589"/>
      <c r="AU46" s="589"/>
      <c r="AV46" s="589"/>
      <c r="AW46" s="589"/>
      <c r="AX46" s="589"/>
      <c r="AY46" s="589"/>
      <c r="AZ46" s="589"/>
      <c r="BA46" s="589"/>
      <c r="BB46" s="589"/>
      <c r="BC46" s="589"/>
      <c r="BD46" s="589"/>
    </row>
    <row r="47" spans="2:56">
      <c r="B47" s="593"/>
      <c r="C47" s="594"/>
      <c r="D47" s="594"/>
      <c r="E47" s="594"/>
      <c r="F47" s="594"/>
      <c r="G47" s="594"/>
      <c r="H47" s="594"/>
      <c r="I47" s="594"/>
      <c r="J47" s="594"/>
      <c r="K47" s="594"/>
      <c r="L47" s="633"/>
      <c r="AP47" s="589"/>
      <c r="AQ47" s="589"/>
      <c r="AR47" s="589"/>
      <c r="AS47" s="589"/>
      <c r="AT47" s="589"/>
      <c r="AU47" s="589"/>
      <c r="AV47" s="589"/>
      <c r="AW47" s="589"/>
      <c r="AX47" s="589"/>
      <c r="AY47" s="589"/>
      <c r="AZ47" s="589"/>
      <c r="BA47" s="589"/>
      <c r="BB47" s="589"/>
      <c r="BC47" s="589"/>
      <c r="BD47" s="589"/>
    </row>
    <row r="48" spans="2:12">
      <c r="B48" s="593"/>
      <c r="C48" s="594"/>
      <c r="D48" s="594"/>
      <c r="E48" s="594"/>
      <c r="F48" s="594"/>
      <c r="G48" s="594"/>
      <c r="H48" s="594"/>
      <c r="I48" s="594"/>
      <c r="J48" s="594"/>
      <c r="K48" s="594"/>
      <c r="L48" s="633"/>
    </row>
    <row r="49" spans="2:12">
      <c r="B49" s="593"/>
      <c r="C49" s="594"/>
      <c r="D49" s="594"/>
      <c r="E49" s="594"/>
      <c r="F49" s="594"/>
      <c r="G49" s="594"/>
      <c r="H49" s="594"/>
      <c r="I49" s="594"/>
      <c r="J49" s="594"/>
      <c r="K49" s="594"/>
      <c r="L49" s="633"/>
    </row>
    <row r="50" customHeight="1" spans="2:12">
      <c r="B50" s="593"/>
      <c r="C50" s="594"/>
      <c r="D50" s="594"/>
      <c r="E50" s="594"/>
      <c r="F50" s="594"/>
      <c r="G50" s="594"/>
      <c r="H50" s="594"/>
      <c r="I50" s="594"/>
      <c r="J50" s="594"/>
      <c r="K50" s="594"/>
      <c r="L50" s="633"/>
    </row>
    <row r="51" customHeight="1" spans="2:12">
      <c r="B51" s="593"/>
      <c r="C51" s="594"/>
      <c r="D51" s="594"/>
      <c r="E51" s="594"/>
      <c r="F51" s="594"/>
      <c r="G51" s="594"/>
      <c r="H51" s="594"/>
      <c r="I51" s="594"/>
      <c r="J51" s="594"/>
      <c r="K51" s="594"/>
      <c r="L51" s="633"/>
    </row>
    <row r="52" customHeight="1" spans="2:12">
      <c r="B52" s="593"/>
      <c r="C52" s="594"/>
      <c r="D52" s="594"/>
      <c r="E52" s="594"/>
      <c r="F52" s="594"/>
      <c r="G52" s="594"/>
      <c r="H52" s="594"/>
      <c r="I52" s="594"/>
      <c r="J52" s="594"/>
      <c r="K52" s="594"/>
      <c r="L52" s="633"/>
    </row>
    <row r="53" customHeight="1" spans="2:12">
      <c r="B53" s="593"/>
      <c r="C53" s="594"/>
      <c r="D53" s="594"/>
      <c r="E53" s="594"/>
      <c r="F53" s="594"/>
      <c r="G53" s="594"/>
      <c r="H53" s="594"/>
      <c r="I53" s="594"/>
      <c r="J53" s="594"/>
      <c r="K53" s="594"/>
      <c r="L53" s="633"/>
    </row>
    <row r="54" customHeight="1" spans="2:12">
      <c r="B54" s="593"/>
      <c r="C54" s="594"/>
      <c r="D54" s="594"/>
      <c r="E54" s="594"/>
      <c r="F54" s="594"/>
      <c r="G54" s="594"/>
      <c r="H54" s="594"/>
      <c r="I54" s="594"/>
      <c r="J54" s="594"/>
      <c r="K54" s="594"/>
      <c r="L54" s="633"/>
    </row>
    <row r="55" customHeight="1" spans="2:12">
      <c r="B55" s="593"/>
      <c r="C55" s="594"/>
      <c r="D55" s="594"/>
      <c r="E55" s="594"/>
      <c r="F55" s="594"/>
      <c r="G55" s="594"/>
      <c r="H55" s="594"/>
      <c r="I55" s="594"/>
      <c r="J55" s="594"/>
      <c r="K55" s="594"/>
      <c r="L55" s="633"/>
    </row>
    <row r="56" customHeight="1" spans="2:12">
      <c r="B56" s="593"/>
      <c r="C56" s="594"/>
      <c r="D56" s="594"/>
      <c r="E56" s="594"/>
      <c r="F56" s="594"/>
      <c r="G56" s="594"/>
      <c r="H56" s="594"/>
      <c r="I56" s="594"/>
      <c r="J56" s="594"/>
      <c r="K56" s="594"/>
      <c r="L56" s="633"/>
    </row>
    <row r="57" customHeight="1" spans="2:12">
      <c r="B57" s="593"/>
      <c r="C57" s="594"/>
      <c r="D57" s="594"/>
      <c r="E57" s="594"/>
      <c r="F57" s="594"/>
      <c r="G57" s="594"/>
      <c r="H57" s="594"/>
      <c r="I57" s="594"/>
      <c r="J57" s="594"/>
      <c r="K57" s="594"/>
      <c r="L57" s="633"/>
    </row>
    <row r="58" customHeight="1" spans="2:12">
      <c r="B58" s="593"/>
      <c r="C58" s="594"/>
      <c r="D58" s="594"/>
      <c r="E58" s="594"/>
      <c r="F58" s="594"/>
      <c r="G58" s="594"/>
      <c r="H58" s="594"/>
      <c r="I58" s="594"/>
      <c r="J58" s="594"/>
      <c r="K58" s="594"/>
      <c r="L58" s="633"/>
    </row>
    <row r="59" customHeight="1" spans="2:12">
      <c r="B59" s="593"/>
      <c r="C59" s="594"/>
      <c r="D59" s="594"/>
      <c r="E59" s="594"/>
      <c r="F59" s="594"/>
      <c r="G59" s="594"/>
      <c r="H59" s="594"/>
      <c r="I59" s="594"/>
      <c r="J59" s="594"/>
      <c r="K59" s="594"/>
      <c r="L59" s="633"/>
    </row>
    <row r="60" customHeight="1" spans="2:12">
      <c r="B60" s="595"/>
      <c r="C60" s="596"/>
      <c r="D60" s="596"/>
      <c r="E60" s="596"/>
      <c r="F60" s="596"/>
      <c r="G60" s="596"/>
      <c r="H60" s="596"/>
      <c r="I60" s="596"/>
      <c r="J60" s="596"/>
      <c r="K60" s="596"/>
      <c r="L60" s="637"/>
    </row>
    <row r="61" customHeight="1" spans="2:12">
      <c r="B61" s="597"/>
      <c r="C61" s="597"/>
      <c r="D61" s="597"/>
      <c r="E61" s="597"/>
      <c r="F61" s="597"/>
      <c r="G61" s="597"/>
      <c r="H61" s="597"/>
      <c r="I61" s="597"/>
      <c r="J61" s="597"/>
      <c r="K61" s="597"/>
      <c r="L61" s="597"/>
    </row>
    <row r="62" customHeight="1"/>
    <row r="63" customHeight="1"/>
    <row r="64" customHeight="1" spans="2:26">
      <c r="B64" s="598" t="s">
        <v>3701</v>
      </c>
      <c r="C64" s="599"/>
      <c r="D64" s="599"/>
      <c r="E64" s="599"/>
      <c r="F64" s="599"/>
      <c r="G64" s="599"/>
      <c r="H64" s="599"/>
      <c r="I64" s="599"/>
      <c r="J64" s="599"/>
      <c r="K64" s="599"/>
      <c r="L64" s="599"/>
      <c r="M64" s="599"/>
      <c r="N64" s="599"/>
      <c r="O64" s="599"/>
      <c r="P64" s="599"/>
      <c r="Q64" s="599"/>
      <c r="R64" s="599"/>
      <c r="S64" s="599"/>
      <c r="T64" s="599"/>
      <c r="U64" s="599"/>
      <c r="V64" s="599"/>
      <c r="W64" s="599"/>
      <c r="X64" s="599"/>
      <c r="Y64" s="599"/>
      <c r="Z64" s="647"/>
    </row>
    <row r="65" customHeight="1" spans="2:26">
      <c r="B65" s="648"/>
      <c r="C65" s="649"/>
      <c r="D65" s="649"/>
      <c r="E65" s="649"/>
      <c r="F65" s="649"/>
      <c r="G65" s="649"/>
      <c r="H65" s="649"/>
      <c r="I65" s="649"/>
      <c r="J65" s="649"/>
      <c r="K65" s="649"/>
      <c r="L65" s="649"/>
      <c r="M65" s="649"/>
      <c r="N65" s="649"/>
      <c r="O65" s="649"/>
      <c r="P65" s="649"/>
      <c r="Q65" s="649"/>
      <c r="R65" s="649"/>
      <c r="S65" s="649"/>
      <c r="T65" s="649"/>
      <c r="U65" s="649"/>
      <c r="V65" s="649"/>
      <c r="W65" s="649"/>
      <c r="X65" s="649"/>
      <c r="Y65" s="649"/>
      <c r="Z65" s="725"/>
    </row>
    <row r="66" customHeight="1" spans="2:26">
      <c r="B66" s="650"/>
      <c r="C66" s="651"/>
      <c r="D66" s="651"/>
      <c r="E66" s="651"/>
      <c r="F66" s="651"/>
      <c r="G66" s="651"/>
      <c r="H66" s="651"/>
      <c r="I66" s="651"/>
      <c r="J66" s="651"/>
      <c r="K66" s="651"/>
      <c r="L66" s="651"/>
      <c r="M66" s="651"/>
      <c r="N66" s="651"/>
      <c r="O66" s="651"/>
      <c r="P66" s="651"/>
      <c r="Q66" s="651"/>
      <c r="R66" s="651"/>
      <c r="S66" s="651"/>
      <c r="T66" s="651"/>
      <c r="U66" s="651"/>
      <c r="V66" s="651"/>
      <c r="W66" s="651"/>
      <c r="X66" s="651"/>
      <c r="Y66" s="651"/>
      <c r="Z66" s="726"/>
    </row>
    <row r="67" customHeight="1"/>
    <row r="68" customHeight="1" spans="2:26">
      <c r="B68" s="652" t="s">
        <v>3702</v>
      </c>
      <c r="C68" s="653"/>
      <c r="D68" s="653"/>
      <c r="E68" s="653"/>
      <c r="F68" s="653"/>
      <c r="G68" s="653"/>
      <c r="H68" s="653"/>
      <c r="I68" s="653"/>
      <c r="J68" s="653"/>
      <c r="K68" s="653"/>
      <c r="L68" s="653"/>
      <c r="M68" s="653"/>
      <c r="N68" s="653"/>
      <c r="O68" s="653"/>
      <c r="P68" s="653"/>
      <c r="Q68" s="653"/>
      <c r="R68" s="653"/>
      <c r="S68" s="653"/>
      <c r="T68" s="653"/>
      <c r="U68" s="653"/>
      <c r="V68" s="653"/>
      <c r="W68" s="653"/>
      <c r="X68" s="653"/>
      <c r="Y68" s="653"/>
      <c r="Z68" s="685"/>
    </row>
    <row r="69" customHeight="1" spans="2:26">
      <c r="B69" s="654"/>
      <c r="C69" s="655"/>
      <c r="D69" s="655"/>
      <c r="E69" s="655"/>
      <c r="F69" s="655"/>
      <c r="G69" s="655"/>
      <c r="H69" s="655"/>
      <c r="I69" s="655"/>
      <c r="J69" s="655"/>
      <c r="K69" s="655"/>
      <c r="L69" s="655"/>
      <c r="M69" s="655"/>
      <c r="N69" s="655"/>
      <c r="O69" s="655"/>
      <c r="P69" s="655"/>
      <c r="Q69" s="655"/>
      <c r="R69" s="655"/>
      <c r="S69" s="655"/>
      <c r="T69" s="655"/>
      <c r="U69" s="655"/>
      <c r="V69" s="655"/>
      <c r="W69" s="655"/>
      <c r="X69" s="655"/>
      <c r="Y69" s="655"/>
      <c r="Z69" s="727"/>
    </row>
    <row r="70" customHeight="1" spans="2:26">
      <c r="B70" s="656" t="s">
        <v>3703</v>
      </c>
      <c r="C70" s="657"/>
      <c r="D70" s="657"/>
      <c r="E70" s="657"/>
      <c r="F70" s="657"/>
      <c r="G70" s="657"/>
      <c r="H70" s="657"/>
      <c r="I70" s="657"/>
      <c r="J70" s="657"/>
      <c r="K70" s="657"/>
      <c r="L70" s="657"/>
      <c r="M70" s="688"/>
      <c r="O70" s="658" t="s">
        <v>1555</v>
      </c>
      <c r="P70" s="689"/>
      <c r="Q70" s="689"/>
      <c r="R70" s="689"/>
      <c r="S70" s="689"/>
      <c r="T70" s="689"/>
      <c r="U70" s="689"/>
      <c r="V70" s="689"/>
      <c r="W70" s="689"/>
      <c r="X70" s="689"/>
      <c r="Y70" s="689"/>
      <c r="Z70" s="690"/>
    </row>
    <row r="71" customHeight="1" spans="2:26">
      <c r="B71" s="658"/>
      <c r="C71" s="659"/>
      <c r="D71" s="659"/>
      <c r="E71" s="659"/>
      <c r="F71" s="659"/>
      <c r="G71" s="659"/>
      <c r="H71" s="659"/>
      <c r="I71" s="659"/>
      <c r="J71" s="659"/>
      <c r="K71" s="659"/>
      <c r="L71" s="659"/>
      <c r="M71" s="690"/>
      <c r="O71" s="691"/>
      <c r="P71" s="692"/>
      <c r="Q71" s="692"/>
      <c r="R71" s="692"/>
      <c r="S71" s="692"/>
      <c r="T71" s="692"/>
      <c r="U71" s="692"/>
      <c r="V71" s="692"/>
      <c r="W71" s="692"/>
      <c r="X71" s="692"/>
      <c r="Y71" s="692"/>
      <c r="Z71" s="728"/>
    </row>
    <row r="72" customHeight="1" spans="2:26">
      <c r="B72" s="660" t="s">
        <v>3704</v>
      </c>
      <c r="C72" s="661"/>
      <c r="D72" s="661"/>
      <c r="E72" s="661"/>
      <c r="F72" s="661"/>
      <c r="G72" s="661"/>
      <c r="H72" s="662" t="s">
        <v>3705</v>
      </c>
      <c r="I72" s="661"/>
      <c r="J72" s="661"/>
      <c r="K72" s="661"/>
      <c r="L72" s="661"/>
      <c r="M72" s="693"/>
      <c r="O72" s="663" t="s">
        <v>3706</v>
      </c>
      <c r="P72" s="664"/>
      <c r="Q72" s="664"/>
      <c r="R72" s="664"/>
      <c r="S72" s="664"/>
      <c r="T72" s="718"/>
      <c r="U72" s="719" t="s">
        <v>3707</v>
      </c>
      <c r="V72" s="664"/>
      <c r="W72" s="664"/>
      <c r="X72" s="664"/>
      <c r="Y72" s="664"/>
      <c r="Z72" s="694"/>
    </row>
    <row r="73" customHeight="1" spans="2:26">
      <c r="B73" s="663"/>
      <c r="C73" s="664"/>
      <c r="D73" s="664"/>
      <c r="E73" s="664"/>
      <c r="F73" s="664"/>
      <c r="G73" s="664"/>
      <c r="H73" s="665"/>
      <c r="I73" s="664"/>
      <c r="J73" s="664"/>
      <c r="K73" s="664"/>
      <c r="L73" s="664"/>
      <c r="M73" s="694"/>
      <c r="O73" s="663"/>
      <c r="P73" s="664"/>
      <c r="Q73" s="664"/>
      <c r="R73" s="664"/>
      <c r="S73" s="664"/>
      <c r="T73" s="718"/>
      <c r="U73" s="719"/>
      <c r="V73" s="664"/>
      <c r="W73" s="664"/>
      <c r="X73" s="664"/>
      <c r="Y73" s="664"/>
      <c r="Z73" s="694"/>
    </row>
    <row r="74" customHeight="1" spans="2:26">
      <c r="B74" s="663"/>
      <c r="C74" s="664"/>
      <c r="D74" s="664"/>
      <c r="E74" s="664"/>
      <c r="F74" s="664"/>
      <c r="G74" s="664"/>
      <c r="H74" s="665"/>
      <c r="I74" s="664"/>
      <c r="J74" s="664"/>
      <c r="K74" s="664"/>
      <c r="L74" s="664"/>
      <c r="M74" s="694"/>
      <c r="O74" s="663"/>
      <c r="P74" s="664"/>
      <c r="Q74" s="664"/>
      <c r="R74" s="664"/>
      <c r="S74" s="664"/>
      <c r="T74" s="718"/>
      <c r="U74" s="719"/>
      <c r="V74" s="664"/>
      <c r="W74" s="664"/>
      <c r="X74" s="664"/>
      <c r="Y74" s="664"/>
      <c r="Z74" s="694"/>
    </row>
    <row r="75" customHeight="1" spans="2:26">
      <c r="B75" s="666" t="s">
        <v>3708</v>
      </c>
      <c r="C75" s="667"/>
      <c r="D75" s="667"/>
      <c r="E75" s="667"/>
      <c r="F75" s="667"/>
      <c r="G75" s="668"/>
      <c r="H75" s="669" t="s">
        <v>3709</v>
      </c>
      <c r="I75" s="667"/>
      <c r="J75" s="667"/>
      <c r="K75" s="667"/>
      <c r="L75" s="667"/>
      <c r="M75" s="695"/>
      <c r="O75" s="666" t="s">
        <v>3710</v>
      </c>
      <c r="P75" s="667"/>
      <c r="Q75" s="667"/>
      <c r="R75" s="667"/>
      <c r="S75" s="667"/>
      <c r="T75" s="720"/>
      <c r="U75" s="721" t="s">
        <v>3711</v>
      </c>
      <c r="V75" s="667"/>
      <c r="W75" s="667"/>
      <c r="X75" s="667"/>
      <c r="Y75" s="667"/>
      <c r="Z75" s="695"/>
    </row>
    <row r="76" customHeight="1" spans="2:26">
      <c r="B76" s="670"/>
      <c r="C76" s="671"/>
      <c r="D76" s="671"/>
      <c r="E76" s="671"/>
      <c r="F76" s="671"/>
      <c r="G76" s="671"/>
      <c r="H76" s="672"/>
      <c r="I76" s="671"/>
      <c r="J76" s="671"/>
      <c r="K76" s="671"/>
      <c r="L76" s="671"/>
      <c r="M76" s="696"/>
      <c r="O76" s="670"/>
      <c r="P76" s="671"/>
      <c r="Q76" s="671"/>
      <c r="R76" s="671"/>
      <c r="S76" s="671"/>
      <c r="T76" s="722"/>
      <c r="U76" s="671"/>
      <c r="V76" s="671"/>
      <c r="W76" s="671"/>
      <c r="X76" s="671"/>
      <c r="Y76" s="671"/>
      <c r="Z76" s="696"/>
    </row>
    <row r="77" customHeight="1" spans="2:26">
      <c r="B77" s="663" t="s">
        <v>3712</v>
      </c>
      <c r="C77" s="664"/>
      <c r="D77" s="664"/>
      <c r="E77" s="664"/>
      <c r="F77" s="664"/>
      <c r="G77" s="664"/>
      <c r="H77" s="664"/>
      <c r="I77" s="664"/>
      <c r="J77" s="664"/>
      <c r="K77" s="664"/>
      <c r="L77" s="664"/>
      <c r="M77" s="694"/>
      <c r="O77" s="663" t="s">
        <v>3713</v>
      </c>
      <c r="P77" s="664"/>
      <c r="Q77" s="664"/>
      <c r="R77" s="664"/>
      <c r="S77" s="664"/>
      <c r="T77" s="664"/>
      <c r="U77" s="664"/>
      <c r="V77" s="664"/>
      <c r="W77" s="664"/>
      <c r="X77" s="664"/>
      <c r="Y77" s="664"/>
      <c r="Z77" s="694"/>
    </row>
    <row r="78" customHeight="1" spans="2:26">
      <c r="B78" s="663"/>
      <c r="C78" s="664"/>
      <c r="D78" s="664"/>
      <c r="E78" s="664"/>
      <c r="F78" s="664"/>
      <c r="G78" s="664"/>
      <c r="H78" s="664"/>
      <c r="I78" s="664"/>
      <c r="J78" s="664"/>
      <c r="K78" s="664"/>
      <c r="L78" s="664"/>
      <c r="M78" s="694"/>
      <c r="O78" s="663"/>
      <c r="P78" s="664"/>
      <c r="Q78" s="664"/>
      <c r="R78" s="664"/>
      <c r="S78" s="664"/>
      <c r="T78" s="664"/>
      <c r="U78" s="664"/>
      <c r="V78" s="664"/>
      <c r="W78" s="664"/>
      <c r="X78" s="664"/>
      <c r="Y78" s="664"/>
      <c r="Z78" s="694"/>
    </row>
    <row r="79" customHeight="1" spans="2:26">
      <c r="B79" s="663"/>
      <c r="C79" s="664"/>
      <c r="D79" s="664"/>
      <c r="E79" s="664"/>
      <c r="F79" s="664"/>
      <c r="G79" s="664"/>
      <c r="H79" s="664"/>
      <c r="I79" s="664"/>
      <c r="J79" s="664"/>
      <c r="K79" s="664"/>
      <c r="L79" s="664"/>
      <c r="M79" s="694"/>
      <c r="O79" s="663"/>
      <c r="P79" s="664"/>
      <c r="Q79" s="664"/>
      <c r="R79" s="664"/>
      <c r="S79" s="664"/>
      <c r="T79" s="664"/>
      <c r="U79" s="664"/>
      <c r="V79" s="664"/>
      <c r="W79" s="664"/>
      <c r="X79" s="664"/>
      <c r="Y79" s="664"/>
      <c r="Z79" s="694"/>
    </row>
    <row r="80" customHeight="1" spans="2:26">
      <c r="B80" s="673"/>
      <c r="C80" s="674"/>
      <c r="D80" s="674"/>
      <c r="E80" s="674"/>
      <c r="F80" s="674"/>
      <c r="G80" s="674"/>
      <c r="H80" s="674"/>
      <c r="I80" s="674"/>
      <c r="J80" s="674"/>
      <c r="K80" s="674"/>
      <c r="L80" s="674"/>
      <c r="M80" s="697"/>
      <c r="O80" s="673"/>
      <c r="P80" s="674"/>
      <c r="Q80" s="674"/>
      <c r="R80" s="674"/>
      <c r="S80" s="674"/>
      <c r="T80" s="674"/>
      <c r="U80" s="674"/>
      <c r="V80" s="674"/>
      <c r="W80" s="674"/>
      <c r="X80" s="674"/>
      <c r="Y80" s="674"/>
      <c r="Z80" s="697"/>
    </row>
    <row r="81" customHeight="1" spans="2:27">
      <c r="B81" s="675" t="s">
        <v>3714</v>
      </c>
      <c r="C81" s="676"/>
      <c r="D81" s="676"/>
      <c r="E81" s="676"/>
      <c r="F81" s="676"/>
      <c r="G81" s="676"/>
      <c r="H81" s="676"/>
      <c r="I81" s="676"/>
      <c r="J81" s="698"/>
      <c r="K81" s="699"/>
      <c r="L81" s="699"/>
      <c r="M81" s="700"/>
      <c r="N81" s="700"/>
      <c r="O81" s="700"/>
      <c r="P81" s="700"/>
      <c r="Q81" s="700"/>
      <c r="R81" s="700"/>
      <c r="S81" s="700"/>
      <c r="T81" s="700"/>
      <c r="U81" s="700"/>
      <c r="V81" s="700"/>
      <c r="W81" s="700"/>
      <c r="X81" s="700"/>
      <c r="Y81" s="700"/>
      <c r="Z81" s="700"/>
      <c r="AA81" s="707"/>
    </row>
    <row r="82" customHeight="1" spans="2:27">
      <c r="B82" s="675"/>
      <c r="C82" s="677"/>
      <c r="D82" s="677"/>
      <c r="E82" s="677"/>
      <c r="F82" s="677"/>
      <c r="G82" s="677"/>
      <c r="H82" s="677"/>
      <c r="I82" s="677"/>
      <c r="J82" s="698"/>
      <c r="K82" s="699"/>
      <c r="L82" s="699"/>
      <c r="N82"/>
      <c r="O82"/>
      <c r="P82"/>
      <c r="Q82"/>
      <c r="R82"/>
      <c r="S82"/>
      <c r="T82"/>
      <c r="U82"/>
      <c r="V82"/>
      <c r="W82"/>
      <c r="X82"/>
      <c r="Y82"/>
      <c r="Z82"/>
      <c r="AA82"/>
    </row>
    <row r="83" customHeight="1" spans="2:27">
      <c r="B83" s="675"/>
      <c r="C83" s="677"/>
      <c r="D83" s="677"/>
      <c r="E83" s="677"/>
      <c r="F83" s="677"/>
      <c r="G83" s="677"/>
      <c r="H83" s="677"/>
      <c r="I83" s="677"/>
      <c r="J83" s="698"/>
      <c r="K83" s="699"/>
      <c r="L83" s="699"/>
      <c r="N83"/>
      <c r="O83"/>
      <c r="P83"/>
      <c r="Q83"/>
      <c r="R83"/>
      <c r="S83"/>
      <c r="T83"/>
      <c r="U83"/>
      <c r="V83"/>
      <c r="W83"/>
      <c r="X83"/>
      <c r="Y83"/>
      <c r="Z83"/>
      <c r="AA83"/>
    </row>
    <row r="84" customHeight="1" spans="2:19">
      <c r="B84" s="678" t="s">
        <v>3715</v>
      </c>
      <c r="C84" s="679"/>
      <c r="D84" s="679"/>
      <c r="E84" s="679"/>
      <c r="F84" s="679"/>
      <c r="G84" s="679"/>
      <c r="H84" s="679"/>
      <c r="I84" s="679"/>
      <c r="J84" s="701"/>
      <c r="K84" s="702"/>
      <c r="L84" s="702"/>
      <c r="M84" s="703"/>
      <c r="N84" s="703"/>
      <c r="O84" s="703"/>
      <c r="P84" s="703"/>
      <c r="Q84" s="703"/>
      <c r="R84" s="703"/>
      <c r="S84" s="703"/>
    </row>
    <row r="85" customHeight="1" spans="2:19">
      <c r="B85" s="680" t="s">
        <v>3716</v>
      </c>
      <c r="C85" s="681"/>
      <c r="D85" s="681"/>
      <c r="E85" s="681"/>
      <c r="F85" s="681"/>
      <c r="G85" s="681"/>
      <c r="H85" s="681"/>
      <c r="I85" s="681"/>
      <c r="J85" s="704"/>
      <c r="K85" s="705"/>
      <c r="L85" s="705"/>
      <c r="M85" s="706"/>
      <c r="N85" s="706"/>
      <c r="O85" s="706"/>
      <c r="P85" s="706"/>
      <c r="Q85" s="706"/>
      <c r="R85" s="706"/>
      <c r="S85" s="706"/>
    </row>
    <row r="86" customHeight="1" spans="11:19">
      <c r="K86" s="707"/>
      <c r="L86" s="707"/>
      <c r="M86" s="706"/>
      <c r="N86" s="706"/>
      <c r="O86" s="706"/>
      <c r="P86" s="706"/>
      <c r="Q86" s="706"/>
      <c r="R86" s="706"/>
      <c r="S86" s="706"/>
    </row>
    <row r="87" customHeight="1" spans="11:19">
      <c r="K87" s="707"/>
      <c r="L87" s="707"/>
      <c r="M87" s="706"/>
      <c r="N87" s="706"/>
      <c r="O87" s="706"/>
      <c r="P87" s="706"/>
      <c r="Q87" s="706"/>
      <c r="R87" s="706"/>
      <c r="S87" s="706"/>
    </row>
    <row r="88" customHeight="1" spans="11:19">
      <c r="K88" s="707"/>
      <c r="L88" s="707"/>
      <c r="M88" s="706"/>
      <c r="N88" s="706"/>
      <c r="O88" s="706"/>
      <c r="P88" s="706"/>
      <c r="Q88" s="706"/>
      <c r="R88" s="706"/>
      <c r="S88" s="706"/>
    </row>
    <row r="89" customHeight="1" spans="11:19">
      <c r="K89" s="707"/>
      <c r="L89" s="707"/>
      <c r="M89" s="706"/>
      <c r="N89" s="706"/>
      <c r="O89" s="706"/>
      <c r="P89" s="706"/>
      <c r="Q89" s="706"/>
      <c r="R89" s="706"/>
      <c r="S89" s="706"/>
    </row>
    <row r="90" customHeight="1" spans="11:19">
      <c r="K90" s="707"/>
      <c r="L90" s="707"/>
      <c r="M90" s="706"/>
      <c r="N90" s="706"/>
      <c r="O90" s="706"/>
      <c r="P90" s="706"/>
      <c r="Q90" s="706"/>
      <c r="R90" s="706"/>
      <c r="S90" s="706"/>
    </row>
    <row r="91" customHeight="1" spans="11:19">
      <c r="K91" s="707"/>
      <c r="L91" s="707"/>
      <c r="M91" s="706"/>
      <c r="N91" s="706"/>
      <c r="O91" s="706"/>
      <c r="P91" s="706"/>
      <c r="Q91" s="706"/>
      <c r="R91" s="706"/>
      <c r="S91" s="706"/>
    </row>
    <row r="92" customHeight="1" spans="11:29">
      <c r="K92" s="707"/>
      <c r="L92" s="707"/>
      <c r="M92" s="706"/>
      <c r="N92" s="706"/>
      <c r="O92" s="706"/>
      <c r="P92" s="706"/>
      <c r="Q92" s="706"/>
      <c r="R92" s="706"/>
      <c r="S92" s="706"/>
      <c r="AB92" s="710"/>
      <c r="AC92" s="710"/>
    </row>
    <row r="93" customHeight="1" spans="11:29">
      <c r="K93" s="707"/>
      <c r="L93" s="707"/>
      <c r="M93" s="706"/>
      <c r="N93" s="706"/>
      <c r="O93" s="706"/>
      <c r="P93" s="706"/>
      <c r="Q93" s="706"/>
      <c r="R93" s="706"/>
      <c r="S93" s="706"/>
      <c r="AB93" s="710"/>
      <c r="AC93" s="710"/>
    </row>
    <row r="94" customHeight="1" spans="2:26">
      <c r="B94" s="652" t="s">
        <v>3717</v>
      </c>
      <c r="C94" s="653"/>
      <c r="D94" s="653"/>
      <c r="E94" s="653"/>
      <c r="F94" s="653"/>
      <c r="G94" s="653"/>
      <c r="H94" s="653"/>
      <c r="I94" s="653"/>
      <c r="J94" s="685"/>
      <c r="K94" s="708"/>
      <c r="L94" s="708"/>
      <c r="O94" s="706"/>
      <c r="P94" s="706"/>
      <c r="Q94" s="706"/>
      <c r="R94" s="706"/>
      <c r="S94" s="706"/>
      <c r="T94" s="706"/>
      <c r="U94" s="706"/>
      <c r="V94" s="706"/>
      <c r="W94" s="706"/>
      <c r="X94" s="706"/>
      <c r="Y94" s="706"/>
      <c r="Z94" s="706"/>
    </row>
    <row r="95" customHeight="1" spans="2:12">
      <c r="B95" s="682"/>
      <c r="C95" s="683"/>
      <c r="D95" s="683"/>
      <c r="E95" s="683"/>
      <c r="F95" s="683"/>
      <c r="G95" s="683"/>
      <c r="H95" s="683"/>
      <c r="I95" s="683"/>
      <c r="J95" s="687"/>
      <c r="K95" s="708"/>
      <c r="L95" s="708"/>
    </row>
    <row r="96" customHeight="1" spans="2:12">
      <c r="B96" s="663" t="s">
        <v>3718</v>
      </c>
      <c r="C96" s="664"/>
      <c r="D96" s="664"/>
      <c r="E96" s="664"/>
      <c r="F96" s="664"/>
      <c r="G96" s="664"/>
      <c r="H96" s="664"/>
      <c r="I96" s="664"/>
      <c r="J96" s="694"/>
      <c r="K96" s="709"/>
      <c r="L96" s="709"/>
    </row>
    <row r="97" customHeight="1" spans="2:12">
      <c r="B97" s="663"/>
      <c r="C97" s="664"/>
      <c r="D97" s="664"/>
      <c r="E97" s="664"/>
      <c r="F97" s="664"/>
      <c r="G97" s="664"/>
      <c r="H97" s="664"/>
      <c r="I97" s="664"/>
      <c r="J97" s="694"/>
      <c r="K97" s="709"/>
      <c r="L97" s="709"/>
    </row>
    <row r="98" customHeight="1" spans="2:12">
      <c r="B98" s="663"/>
      <c r="C98" s="664"/>
      <c r="D98" s="664"/>
      <c r="E98" s="664"/>
      <c r="F98" s="664"/>
      <c r="G98" s="664"/>
      <c r="H98" s="664"/>
      <c r="I98" s="664"/>
      <c r="J98" s="694"/>
      <c r="K98" s="709"/>
      <c r="L98" s="709"/>
    </row>
    <row r="99" customHeight="1" spans="2:12">
      <c r="B99" s="663"/>
      <c r="C99" s="664"/>
      <c r="D99" s="664"/>
      <c r="E99" s="664"/>
      <c r="F99" s="664"/>
      <c r="G99" s="664"/>
      <c r="H99" s="664"/>
      <c r="I99" s="664"/>
      <c r="J99" s="694"/>
      <c r="K99" s="709"/>
      <c r="L99" s="709"/>
    </row>
    <row r="100" customHeight="1" spans="2:12">
      <c r="B100" s="663"/>
      <c r="C100" s="664"/>
      <c r="D100" s="664"/>
      <c r="E100" s="664"/>
      <c r="F100" s="664"/>
      <c r="G100" s="664"/>
      <c r="H100" s="664"/>
      <c r="I100" s="664"/>
      <c r="J100" s="694"/>
      <c r="K100" s="399"/>
      <c r="L100" s="399"/>
    </row>
    <row r="101" customHeight="1" spans="2:12">
      <c r="B101" s="663"/>
      <c r="C101" s="664"/>
      <c r="D101" s="664"/>
      <c r="E101" s="664"/>
      <c r="F101" s="664"/>
      <c r="G101" s="664"/>
      <c r="H101" s="664"/>
      <c r="I101" s="664"/>
      <c r="J101" s="694"/>
      <c r="K101" s="399"/>
      <c r="L101" s="399"/>
    </row>
    <row r="102" customHeight="1" spans="2:12">
      <c r="B102" s="386" t="s">
        <v>3719</v>
      </c>
      <c r="C102" s="387"/>
      <c r="D102" s="387"/>
      <c r="E102" s="387"/>
      <c r="F102" s="387"/>
      <c r="G102" s="387"/>
      <c r="H102" s="387"/>
      <c r="I102" s="387"/>
      <c r="J102" s="388"/>
      <c r="K102" s="399"/>
      <c r="L102" s="399"/>
    </row>
    <row r="103" s="571" customFormat="1" customHeight="1" spans="1:28">
      <c r="A103" s="572"/>
      <c r="B103" s="391"/>
      <c r="C103" s="392"/>
      <c r="D103" s="392"/>
      <c r="E103" s="392"/>
      <c r="F103" s="392"/>
      <c r="G103" s="392"/>
      <c r="H103" s="392"/>
      <c r="I103" s="392"/>
      <c r="J103" s="393"/>
      <c r="K103" s="399"/>
      <c r="L103" s="399"/>
      <c r="M103" s="572"/>
      <c r="N103" s="572"/>
      <c r="O103" s="572"/>
      <c r="P103" s="572"/>
      <c r="Q103" s="572"/>
      <c r="R103" s="572"/>
      <c r="S103" s="572"/>
      <c r="T103" s="572"/>
      <c r="U103" s="572"/>
      <c r="V103" s="572"/>
      <c r="W103" s="572"/>
      <c r="X103" s="572"/>
      <c r="Y103" s="572"/>
      <c r="Z103" s="572"/>
      <c r="AA103" s="572"/>
      <c r="AB103" s="572"/>
    </row>
    <row r="104" customHeight="1" spans="2:10">
      <c r="B104" s="391"/>
      <c r="C104" s="392"/>
      <c r="D104" s="392"/>
      <c r="E104" s="392"/>
      <c r="F104" s="392"/>
      <c r="G104" s="392"/>
      <c r="H104" s="392"/>
      <c r="I104" s="392"/>
      <c r="J104" s="393"/>
    </row>
    <row r="105" customHeight="1" spans="2:10">
      <c r="B105" s="395"/>
      <c r="C105" s="396"/>
      <c r="D105" s="396"/>
      <c r="E105" s="396"/>
      <c r="F105" s="396"/>
      <c r="G105" s="396"/>
      <c r="H105" s="396"/>
      <c r="I105" s="396"/>
      <c r="J105" s="397"/>
    </row>
    <row r="106" customHeight="1"/>
    <row r="107" customHeight="1"/>
    <row r="108" customHeight="1"/>
    <row r="109" customHeight="1"/>
    <row r="110" customHeight="1" spans="13:27">
      <c r="M110" s="710"/>
      <c r="N110" s="710"/>
      <c r="O110" s="710"/>
      <c r="P110" s="710"/>
      <c r="Q110" s="710"/>
      <c r="R110" s="710"/>
      <c r="S110" s="710"/>
      <c r="T110" s="710"/>
      <c r="U110" s="710"/>
      <c r="V110" s="710"/>
      <c r="W110" s="710"/>
      <c r="X110" s="710"/>
      <c r="Y110" s="710"/>
      <c r="Z110" s="710"/>
      <c r="AA110" s="710"/>
    </row>
    <row r="111" customHeight="1" spans="13:27">
      <c r="M111" s="710"/>
      <c r="N111" s="710"/>
      <c r="O111" s="710"/>
      <c r="P111" s="710"/>
      <c r="Q111" s="710"/>
      <c r="R111" s="710"/>
      <c r="S111" s="710"/>
      <c r="T111" s="710"/>
      <c r="U111" s="710"/>
      <c r="V111" s="710"/>
      <c r="W111" s="710"/>
      <c r="X111" s="710"/>
      <c r="Y111" s="710"/>
      <c r="Z111" s="710"/>
      <c r="AA111" s="710"/>
    </row>
    <row r="112" customHeight="1"/>
    <row r="113" customHeight="1" spans="2:26">
      <c r="B113" s="598" t="s">
        <v>3720</v>
      </c>
      <c r="C113" s="599"/>
      <c r="D113" s="599"/>
      <c r="E113" s="599"/>
      <c r="F113" s="599"/>
      <c r="G113" s="599"/>
      <c r="H113" s="599"/>
      <c r="I113" s="599"/>
      <c r="J113" s="599"/>
      <c r="K113" s="599"/>
      <c r="L113" s="599"/>
      <c r="M113" s="599"/>
      <c r="N113" s="599"/>
      <c r="O113" s="599"/>
      <c r="P113" s="599"/>
      <c r="Q113" s="599"/>
      <c r="R113" s="599"/>
      <c r="S113" s="599"/>
      <c r="T113" s="599"/>
      <c r="U113" s="599"/>
      <c r="V113" s="599"/>
      <c r="W113" s="599"/>
      <c r="X113" s="599"/>
      <c r="Y113" s="599"/>
      <c r="Z113" s="647"/>
    </row>
    <row r="114" customHeight="1" spans="2:26">
      <c r="B114" s="648"/>
      <c r="C114" s="649"/>
      <c r="D114" s="649"/>
      <c r="E114" s="649"/>
      <c r="F114" s="649"/>
      <c r="G114" s="649"/>
      <c r="H114" s="649"/>
      <c r="I114" s="649"/>
      <c r="J114" s="649"/>
      <c r="K114" s="649"/>
      <c r="L114" s="649"/>
      <c r="M114" s="649"/>
      <c r="N114" s="649"/>
      <c r="O114" s="649"/>
      <c r="P114" s="649"/>
      <c r="Q114" s="649"/>
      <c r="R114" s="649"/>
      <c r="S114" s="649"/>
      <c r="T114" s="649"/>
      <c r="U114" s="649"/>
      <c r="V114" s="649"/>
      <c r="W114" s="649"/>
      <c r="X114" s="649"/>
      <c r="Y114" s="649"/>
      <c r="Z114" s="725"/>
    </row>
    <row r="115" customHeight="1" spans="2:26">
      <c r="B115" s="650"/>
      <c r="C115" s="651"/>
      <c r="D115" s="651"/>
      <c r="E115" s="651"/>
      <c r="F115" s="651"/>
      <c r="G115" s="651"/>
      <c r="H115" s="651"/>
      <c r="I115" s="651"/>
      <c r="J115" s="651"/>
      <c r="K115" s="651"/>
      <c r="L115" s="651"/>
      <c r="M115" s="651"/>
      <c r="N115" s="651"/>
      <c r="O115" s="651"/>
      <c r="P115" s="651"/>
      <c r="Q115" s="651"/>
      <c r="R115" s="651"/>
      <c r="S115" s="651"/>
      <c r="T115" s="651"/>
      <c r="U115" s="651"/>
      <c r="V115" s="651"/>
      <c r="W115" s="651"/>
      <c r="X115" s="651"/>
      <c r="Y115" s="651"/>
      <c r="Z115" s="726"/>
    </row>
    <row r="116" ht="27.1" customHeight="1" spans="2:26">
      <c r="B116" s="684"/>
      <c r="C116" s="684"/>
      <c r="D116" s="684"/>
      <c r="E116" s="684"/>
      <c r="F116" s="684"/>
      <c r="G116" s="684"/>
      <c r="H116" s="684"/>
      <c r="I116" s="684"/>
      <c r="J116" s="684"/>
      <c r="K116" s="684"/>
      <c r="L116" s="684"/>
      <c r="M116" s="684"/>
      <c r="N116" s="684"/>
      <c r="O116" s="684"/>
      <c r="P116" s="684"/>
      <c r="Q116" s="684"/>
      <c r="R116" s="684"/>
      <c r="S116" s="684"/>
      <c r="T116" s="684"/>
      <c r="U116" s="684"/>
      <c r="V116" s="684"/>
      <c r="W116" s="684"/>
      <c r="X116" s="684"/>
      <c r="Y116" s="684"/>
      <c r="Z116" s="684"/>
    </row>
    <row r="117" customHeight="1" spans="2:26">
      <c r="B117" s="652" t="s">
        <v>3721</v>
      </c>
      <c r="C117" s="653"/>
      <c r="D117" s="653"/>
      <c r="E117" s="685"/>
      <c r="F117" s="686"/>
      <c r="G117" s="652" t="s">
        <v>3722</v>
      </c>
      <c r="H117" s="653"/>
      <c r="I117" s="653"/>
      <c r="J117" s="685"/>
      <c r="K117" s="711"/>
      <c r="L117" s="652" t="s">
        <v>3723</v>
      </c>
      <c r="M117" s="653"/>
      <c r="N117" s="653"/>
      <c r="O117" s="653"/>
      <c r="P117" s="653"/>
      <c r="Q117" s="653"/>
      <c r="R117" s="653"/>
      <c r="S117" s="685"/>
      <c r="T117" s="684"/>
      <c r="U117" s="652" t="s">
        <v>3724</v>
      </c>
      <c r="V117" s="653"/>
      <c r="W117" s="653"/>
      <c r="X117" s="653"/>
      <c r="Y117" s="653"/>
      <c r="Z117" s="685"/>
    </row>
    <row r="118" customHeight="1" spans="2:26">
      <c r="B118" s="682"/>
      <c r="C118" s="683"/>
      <c r="D118" s="683"/>
      <c r="E118" s="687"/>
      <c r="F118" s="686"/>
      <c r="G118" s="682"/>
      <c r="H118" s="683"/>
      <c r="I118" s="683"/>
      <c r="J118" s="687"/>
      <c r="K118" s="711"/>
      <c r="L118" s="682"/>
      <c r="M118" s="683"/>
      <c r="N118" s="683"/>
      <c r="O118" s="683"/>
      <c r="P118" s="683"/>
      <c r="Q118" s="683"/>
      <c r="R118" s="683"/>
      <c r="S118" s="687"/>
      <c r="T118" s="684"/>
      <c r="U118" s="682"/>
      <c r="V118" s="683"/>
      <c r="W118" s="683"/>
      <c r="X118" s="683"/>
      <c r="Y118" s="683"/>
      <c r="Z118" s="687"/>
    </row>
    <row r="119" customHeight="1" spans="2:26">
      <c r="B119" s="394" t="s">
        <v>3725</v>
      </c>
      <c r="C119" s="477"/>
      <c r="D119" s="477"/>
      <c r="E119" s="494"/>
      <c r="F119" s="491"/>
      <c r="G119" s="394" t="s">
        <v>3726</v>
      </c>
      <c r="H119" s="477"/>
      <c r="I119" s="477"/>
      <c r="J119" s="494"/>
      <c r="K119" s="684"/>
      <c r="L119" s="394" t="s">
        <v>3727</v>
      </c>
      <c r="M119" s="477"/>
      <c r="N119" s="477"/>
      <c r="O119" s="477"/>
      <c r="P119" s="477"/>
      <c r="Q119" s="477"/>
      <c r="R119" s="477"/>
      <c r="S119" s="494"/>
      <c r="T119" s="684"/>
      <c r="U119" s="394" t="s">
        <v>3728</v>
      </c>
      <c r="V119" s="477"/>
      <c r="W119" s="477"/>
      <c r="X119" s="477"/>
      <c r="Y119" s="477"/>
      <c r="Z119" s="494"/>
    </row>
    <row r="120" customHeight="1" spans="2:26">
      <c r="B120" s="394"/>
      <c r="C120" s="477"/>
      <c r="D120" s="477"/>
      <c r="E120" s="494"/>
      <c r="F120" s="491"/>
      <c r="G120" s="394"/>
      <c r="H120" s="477"/>
      <c r="I120" s="477"/>
      <c r="J120" s="494"/>
      <c r="K120" s="684"/>
      <c r="L120" s="394"/>
      <c r="M120" s="477"/>
      <c r="N120" s="477"/>
      <c r="O120" s="477"/>
      <c r="P120" s="477"/>
      <c r="Q120" s="477"/>
      <c r="R120" s="477"/>
      <c r="S120" s="494"/>
      <c r="T120" s="684"/>
      <c r="U120" s="394"/>
      <c r="V120" s="477"/>
      <c r="W120" s="477"/>
      <c r="X120" s="477"/>
      <c r="Y120" s="477"/>
      <c r="Z120" s="494"/>
    </row>
    <row r="121" customHeight="1" spans="2:26">
      <c r="B121" s="394"/>
      <c r="C121" s="477"/>
      <c r="D121" s="477"/>
      <c r="E121" s="494"/>
      <c r="F121" s="491"/>
      <c r="G121" s="394"/>
      <c r="H121" s="477"/>
      <c r="I121" s="477"/>
      <c r="J121" s="494"/>
      <c r="K121" s="684"/>
      <c r="L121" s="394"/>
      <c r="M121" s="477"/>
      <c r="N121" s="477"/>
      <c r="O121" s="477"/>
      <c r="P121" s="477"/>
      <c r="Q121" s="477"/>
      <c r="R121" s="477"/>
      <c r="S121" s="494"/>
      <c r="T121" s="684"/>
      <c r="U121" s="394"/>
      <c r="V121" s="477"/>
      <c r="W121" s="477"/>
      <c r="X121" s="477"/>
      <c r="Y121" s="477"/>
      <c r="Z121" s="494"/>
    </row>
    <row r="122" customHeight="1" spans="2:26">
      <c r="B122" s="394"/>
      <c r="C122" s="477"/>
      <c r="D122" s="477"/>
      <c r="E122" s="494"/>
      <c r="F122" s="491"/>
      <c r="G122" s="394"/>
      <c r="H122" s="477"/>
      <c r="I122" s="477"/>
      <c r="J122" s="494"/>
      <c r="K122" s="684"/>
      <c r="L122" s="394"/>
      <c r="M122" s="477"/>
      <c r="N122" s="477"/>
      <c r="O122" s="477"/>
      <c r="P122" s="477"/>
      <c r="Q122" s="477"/>
      <c r="R122" s="477"/>
      <c r="S122" s="494"/>
      <c r="T122" s="684"/>
      <c r="U122" s="394"/>
      <c r="V122" s="477"/>
      <c r="W122" s="477"/>
      <c r="X122" s="477"/>
      <c r="Y122" s="477"/>
      <c r="Z122" s="494"/>
    </row>
    <row r="123" ht="24.05" customHeight="1" spans="2:26">
      <c r="B123" s="394"/>
      <c r="C123" s="477"/>
      <c r="D123" s="477"/>
      <c r="E123" s="494"/>
      <c r="F123" s="491"/>
      <c r="G123" s="394"/>
      <c r="H123" s="477"/>
      <c r="I123" s="477"/>
      <c r="J123" s="494"/>
      <c r="K123" s="684"/>
      <c r="L123" s="394"/>
      <c r="M123" s="477"/>
      <c r="N123" s="477"/>
      <c r="O123" s="477"/>
      <c r="P123" s="477"/>
      <c r="Q123" s="477"/>
      <c r="R123" s="477"/>
      <c r="S123" s="494"/>
      <c r="T123" s="684"/>
      <c r="U123" s="394"/>
      <c r="V123" s="477"/>
      <c r="W123" s="477"/>
      <c r="X123" s="477"/>
      <c r="Y123" s="477"/>
      <c r="Z123" s="494"/>
    </row>
    <row r="124" customHeight="1" spans="2:26">
      <c r="B124" s="394"/>
      <c r="C124" s="477"/>
      <c r="D124" s="477"/>
      <c r="E124" s="494"/>
      <c r="F124" s="491"/>
      <c r="G124" s="394"/>
      <c r="H124" s="477"/>
      <c r="I124" s="477"/>
      <c r="J124" s="494"/>
      <c r="K124" s="684"/>
      <c r="L124" s="712" t="s">
        <v>3729</v>
      </c>
      <c r="M124" s="713"/>
      <c r="N124" s="713"/>
      <c r="O124" s="713"/>
      <c r="P124" s="713"/>
      <c r="Q124" s="713"/>
      <c r="R124" s="713"/>
      <c r="S124" s="723"/>
      <c r="T124" s="684"/>
      <c r="U124" s="394"/>
      <c r="V124" s="477"/>
      <c r="W124" s="477"/>
      <c r="X124" s="477"/>
      <c r="Y124" s="477"/>
      <c r="Z124" s="494"/>
    </row>
    <row r="125" customHeight="1" spans="2:26">
      <c r="B125" s="432"/>
      <c r="C125" s="512"/>
      <c r="D125" s="512"/>
      <c r="E125" s="515"/>
      <c r="F125" s="491"/>
      <c r="G125" s="432"/>
      <c r="H125" s="512"/>
      <c r="I125" s="512"/>
      <c r="J125" s="515"/>
      <c r="K125" s="684"/>
      <c r="L125" s="394" t="s">
        <v>3730</v>
      </c>
      <c r="M125" s="477"/>
      <c r="N125" s="477"/>
      <c r="O125" s="477"/>
      <c r="P125" s="477"/>
      <c r="Q125" s="477"/>
      <c r="R125" s="477"/>
      <c r="S125" s="494"/>
      <c r="T125" s="684"/>
      <c r="U125" s="394"/>
      <c r="V125" s="477"/>
      <c r="W125" s="477"/>
      <c r="X125" s="477"/>
      <c r="Y125" s="477"/>
      <c r="Z125" s="494"/>
    </row>
    <row r="126" customHeight="1" spans="2:26">
      <c r="B126" s="684"/>
      <c r="C126" s="684"/>
      <c r="D126" s="684"/>
      <c r="E126" s="684"/>
      <c r="F126" s="684"/>
      <c r="G126" s="684"/>
      <c r="H126" s="684"/>
      <c r="I126" s="684"/>
      <c r="J126" s="684"/>
      <c r="K126" s="684"/>
      <c r="L126" s="394"/>
      <c r="M126" s="477"/>
      <c r="N126" s="477"/>
      <c r="O126" s="477"/>
      <c r="P126" s="477"/>
      <c r="Q126" s="477"/>
      <c r="R126" s="477"/>
      <c r="S126" s="494"/>
      <c r="T126" s="684"/>
      <c r="U126" s="394"/>
      <c r="V126" s="477"/>
      <c r="W126" s="477"/>
      <c r="X126" s="477"/>
      <c r="Y126" s="477"/>
      <c r="Z126" s="494"/>
    </row>
    <row r="127" customHeight="1" spans="2:26">
      <c r="B127" s="684"/>
      <c r="C127" s="684"/>
      <c r="D127" s="684"/>
      <c r="E127" s="684"/>
      <c r="F127" s="684"/>
      <c r="G127" s="684"/>
      <c r="H127" s="684"/>
      <c r="I127" s="684"/>
      <c r="J127" s="684"/>
      <c r="K127" s="684"/>
      <c r="L127" s="714" t="s">
        <v>3731</v>
      </c>
      <c r="M127" s="715"/>
      <c r="N127" s="715"/>
      <c r="O127" s="715"/>
      <c r="P127" s="716" t="s">
        <v>3732</v>
      </c>
      <c r="Q127" s="715"/>
      <c r="R127" s="716" t="s">
        <v>3733</v>
      </c>
      <c r="S127" s="724"/>
      <c r="T127" s="684"/>
      <c r="U127" s="432"/>
      <c r="V127" s="512"/>
      <c r="W127" s="512"/>
      <c r="X127" s="512"/>
      <c r="Y127" s="512"/>
      <c r="Z127" s="515"/>
    </row>
    <row r="128" customHeight="1" spans="2:26">
      <c r="B128" s="684"/>
      <c r="C128" s="684"/>
      <c r="D128" s="684"/>
      <c r="E128" s="684"/>
      <c r="F128" s="684"/>
      <c r="G128" s="684"/>
      <c r="H128" s="684"/>
      <c r="I128" s="684"/>
      <c r="J128" s="684"/>
      <c r="K128" s="684"/>
      <c r="L128" s="717"/>
      <c r="M128" s="715"/>
      <c r="N128" s="715"/>
      <c r="O128" s="715"/>
      <c r="P128" s="715"/>
      <c r="Q128" s="715"/>
      <c r="R128" s="715"/>
      <c r="S128" s="724"/>
      <c r="T128" s="684"/>
      <c r="U128" s="684"/>
      <c r="V128" s="684"/>
      <c r="W128" s="684"/>
      <c r="X128" s="684"/>
      <c r="Y128" s="684"/>
      <c r="Z128" s="684"/>
    </row>
    <row r="129" customHeight="1" spans="2:26">
      <c r="B129" s="684"/>
      <c r="C129" s="684"/>
      <c r="D129" s="684"/>
      <c r="E129" s="684"/>
      <c r="F129" s="684"/>
      <c r="G129" s="684"/>
      <c r="H129" s="684"/>
      <c r="I129" s="684"/>
      <c r="J129" s="684"/>
      <c r="K129" s="684"/>
      <c r="L129" s="717"/>
      <c r="M129" s="715"/>
      <c r="N129" s="715"/>
      <c r="O129" s="715"/>
      <c r="P129" s="716" t="s">
        <v>3734</v>
      </c>
      <c r="Q129" s="715"/>
      <c r="R129" s="716" t="s">
        <v>3735</v>
      </c>
      <c r="S129" s="724"/>
      <c r="T129" s="684"/>
      <c r="U129" s="684"/>
      <c r="V129" s="684"/>
      <c r="W129" s="684"/>
      <c r="X129" s="684"/>
      <c r="Y129" s="684"/>
      <c r="Z129" s="684"/>
    </row>
    <row r="130" customHeight="1" spans="2:26">
      <c r="B130" s="684"/>
      <c r="C130" s="684"/>
      <c r="D130" s="684"/>
      <c r="E130" s="684"/>
      <c r="F130" s="684"/>
      <c r="G130" s="684"/>
      <c r="H130" s="684"/>
      <c r="I130" s="684"/>
      <c r="J130" s="684"/>
      <c r="K130" s="684"/>
      <c r="L130" s="717"/>
      <c r="M130" s="715"/>
      <c r="N130" s="715"/>
      <c r="O130" s="715"/>
      <c r="P130" s="715"/>
      <c r="Q130" s="715"/>
      <c r="R130" s="715"/>
      <c r="S130" s="724"/>
      <c r="T130" s="684"/>
      <c r="U130" s="684"/>
      <c r="V130" s="684"/>
      <c r="W130" s="684"/>
      <c r="X130" s="684"/>
      <c r="Y130" s="684"/>
      <c r="Z130" s="684"/>
    </row>
    <row r="131" customHeight="1" spans="2:26">
      <c r="B131" s="684"/>
      <c r="C131" s="684"/>
      <c r="D131" s="684"/>
      <c r="E131" s="684"/>
      <c r="F131" s="684"/>
      <c r="G131" s="684"/>
      <c r="H131" s="684"/>
      <c r="I131" s="684"/>
      <c r="J131" s="684"/>
      <c r="K131" s="684"/>
      <c r="L131" s="729" t="s">
        <v>3736</v>
      </c>
      <c r="M131" s="730"/>
      <c r="N131" s="730"/>
      <c r="O131" s="730"/>
      <c r="P131" s="730"/>
      <c r="Q131" s="730"/>
      <c r="R131" s="730"/>
      <c r="S131" s="737"/>
      <c r="T131" s="684"/>
      <c r="U131" s="684"/>
      <c r="V131" s="684"/>
      <c r="W131" s="684"/>
      <c r="X131" s="684"/>
      <c r="Y131" s="684"/>
      <c r="Z131" s="684"/>
    </row>
    <row r="132" ht="25" customHeight="1" spans="2:26">
      <c r="B132" s="684"/>
      <c r="C132" s="684"/>
      <c r="D132" s="684"/>
      <c r="E132" s="684"/>
      <c r="F132" s="684"/>
      <c r="G132" s="684"/>
      <c r="H132" s="684"/>
      <c r="I132" s="684"/>
      <c r="J132" s="684"/>
      <c r="K132" s="684"/>
      <c r="L132" s="731" t="s">
        <v>3737</v>
      </c>
      <c r="M132" s="732" t="s">
        <v>3738</v>
      </c>
      <c r="N132" s="732"/>
      <c r="O132" s="732"/>
      <c r="P132" s="732"/>
      <c r="Q132" s="732"/>
      <c r="R132" s="732"/>
      <c r="S132" s="738"/>
      <c r="T132" s="684"/>
      <c r="U132" s="684"/>
      <c r="V132" s="684"/>
      <c r="W132" s="684"/>
      <c r="X132" s="684"/>
      <c r="Y132" s="684"/>
      <c r="Z132" s="684"/>
    </row>
    <row r="133" customHeight="1" spans="2:26">
      <c r="B133" s="684"/>
      <c r="C133" s="684"/>
      <c r="D133" s="684"/>
      <c r="E133" s="684"/>
      <c r="F133" s="684"/>
      <c r="G133" s="684"/>
      <c r="H133" s="684"/>
      <c r="I133" s="684"/>
      <c r="J133" s="684"/>
      <c r="K133" s="684"/>
      <c r="L133" s="733"/>
      <c r="M133" s="477"/>
      <c r="N133" s="477"/>
      <c r="O133" s="477"/>
      <c r="P133" s="477"/>
      <c r="Q133" s="477"/>
      <c r="R133" s="477"/>
      <c r="S133" s="494"/>
      <c r="T133" s="684"/>
      <c r="U133" s="684"/>
      <c r="V133" s="684"/>
      <c r="W133" s="684"/>
      <c r="X133" s="684"/>
      <c r="Y133" s="684"/>
      <c r="Z133" s="684"/>
    </row>
    <row r="134" customHeight="1" spans="2:26">
      <c r="B134" s="684"/>
      <c r="C134" s="684"/>
      <c r="D134" s="684"/>
      <c r="E134" s="684"/>
      <c r="F134" s="684"/>
      <c r="G134" s="684"/>
      <c r="H134" s="684"/>
      <c r="I134" s="684"/>
      <c r="J134" s="684"/>
      <c r="K134" s="684"/>
      <c r="L134" s="733"/>
      <c r="M134" s="477"/>
      <c r="N134" s="477"/>
      <c r="O134" s="477"/>
      <c r="P134" s="477"/>
      <c r="Q134" s="477"/>
      <c r="R134" s="477"/>
      <c r="S134" s="494"/>
      <c r="T134" s="684"/>
      <c r="U134" s="684"/>
      <c r="V134" s="684"/>
      <c r="W134" s="684"/>
      <c r="X134" s="684"/>
      <c r="Y134" s="684"/>
      <c r="Z134" s="684"/>
    </row>
    <row r="135" customHeight="1" spans="2:26">
      <c r="B135" s="684"/>
      <c r="C135" s="684"/>
      <c r="D135" s="684"/>
      <c r="E135" s="684"/>
      <c r="F135" s="684"/>
      <c r="G135" s="684"/>
      <c r="H135" s="684"/>
      <c r="I135" s="684"/>
      <c r="J135" s="684"/>
      <c r="K135" s="684"/>
      <c r="L135" s="733"/>
      <c r="M135" s="477"/>
      <c r="N135" s="477"/>
      <c r="O135" s="477"/>
      <c r="P135" s="477"/>
      <c r="Q135" s="477"/>
      <c r="R135" s="477"/>
      <c r="S135" s="494"/>
      <c r="T135" s="684"/>
      <c r="U135" s="684"/>
      <c r="V135" s="684"/>
      <c r="W135" s="684"/>
      <c r="X135" s="684"/>
      <c r="Y135" s="684"/>
      <c r="Z135" s="684"/>
    </row>
    <row r="136" customHeight="1" spans="2:26">
      <c r="B136" s="684"/>
      <c r="C136" s="684"/>
      <c r="D136" s="684"/>
      <c r="E136" s="684"/>
      <c r="F136" s="684"/>
      <c r="G136" s="684"/>
      <c r="H136" s="684"/>
      <c r="I136" s="684"/>
      <c r="J136" s="684"/>
      <c r="K136" s="684"/>
      <c r="L136" s="733"/>
      <c r="M136" s="477"/>
      <c r="N136" s="477"/>
      <c r="O136" s="477"/>
      <c r="P136" s="477"/>
      <c r="Q136" s="477"/>
      <c r="R136" s="477"/>
      <c r="S136" s="494"/>
      <c r="T136" s="684"/>
      <c r="U136" s="684"/>
      <c r="V136" s="684"/>
      <c r="W136" s="684"/>
      <c r="X136" s="684"/>
      <c r="Y136" s="684"/>
      <c r="Z136" s="684"/>
    </row>
    <row r="137" customHeight="1" spans="2:26">
      <c r="B137" s="684"/>
      <c r="C137" s="684"/>
      <c r="D137" s="684"/>
      <c r="E137" s="684"/>
      <c r="F137" s="684"/>
      <c r="G137" s="684"/>
      <c r="H137" s="684"/>
      <c r="I137" s="684"/>
      <c r="J137" s="684"/>
      <c r="K137" s="684"/>
      <c r="L137" s="733"/>
      <c r="M137" s="477"/>
      <c r="N137" s="477"/>
      <c r="O137" s="477"/>
      <c r="P137" s="477"/>
      <c r="Q137" s="477"/>
      <c r="R137" s="477"/>
      <c r="S137" s="494"/>
      <c r="T137" s="684"/>
      <c r="U137" s="684"/>
      <c r="V137" s="684"/>
      <c r="W137" s="684"/>
      <c r="X137" s="684"/>
      <c r="Y137" s="684"/>
      <c r="Z137" s="684"/>
    </row>
    <row r="138" customHeight="1" spans="2:26">
      <c r="B138" s="684"/>
      <c r="C138" s="684"/>
      <c r="D138" s="684"/>
      <c r="E138" s="684"/>
      <c r="F138" s="684"/>
      <c r="G138" s="684"/>
      <c r="H138" s="684"/>
      <c r="I138" s="684"/>
      <c r="J138" s="684"/>
      <c r="K138" s="684"/>
      <c r="L138" s="733"/>
      <c r="M138" s="477"/>
      <c r="N138" s="477"/>
      <c r="O138" s="477"/>
      <c r="P138" s="477"/>
      <c r="Q138" s="477"/>
      <c r="R138" s="477"/>
      <c r="S138" s="494"/>
      <c r="T138" s="684"/>
      <c r="U138" s="684"/>
      <c r="V138" s="684"/>
      <c r="W138" s="684"/>
      <c r="X138" s="684"/>
      <c r="Y138" s="684"/>
      <c r="Z138" s="684"/>
    </row>
    <row r="139" customHeight="1" spans="2:26">
      <c r="B139" s="684"/>
      <c r="C139" s="684"/>
      <c r="D139" s="684"/>
      <c r="E139" s="684"/>
      <c r="F139" s="684"/>
      <c r="G139" s="684"/>
      <c r="H139" s="684"/>
      <c r="I139" s="684"/>
      <c r="J139" s="684"/>
      <c r="K139" s="684"/>
      <c r="L139" s="734"/>
      <c r="M139" s="735"/>
      <c r="N139" s="735"/>
      <c r="O139" s="735"/>
      <c r="P139" s="735"/>
      <c r="Q139" s="735"/>
      <c r="R139" s="735"/>
      <c r="S139" s="739"/>
      <c r="T139" s="684"/>
      <c r="U139" s="684"/>
      <c r="V139" s="684"/>
      <c r="W139" s="684"/>
      <c r="X139" s="684"/>
      <c r="Y139" s="684"/>
      <c r="Z139" s="684"/>
    </row>
    <row r="140" customHeight="1" spans="2:26">
      <c r="B140" s="684"/>
      <c r="C140" s="684"/>
      <c r="D140" s="684"/>
      <c r="E140" s="684"/>
      <c r="F140" s="684"/>
      <c r="G140" s="684"/>
      <c r="H140" s="684"/>
      <c r="I140" s="684"/>
      <c r="J140" s="684"/>
      <c r="K140" s="684"/>
      <c r="L140" s="733" t="s">
        <v>3739</v>
      </c>
      <c r="M140" s="477" t="s">
        <v>3740</v>
      </c>
      <c r="N140" s="477"/>
      <c r="O140" s="477"/>
      <c r="P140" s="477"/>
      <c r="Q140" s="477"/>
      <c r="R140" s="477"/>
      <c r="S140" s="494"/>
      <c r="T140" s="684"/>
      <c r="U140" s="684"/>
      <c r="V140" s="684"/>
      <c r="W140" s="684"/>
      <c r="X140" s="684"/>
      <c r="Y140" s="684"/>
      <c r="Z140" s="684"/>
    </row>
    <row r="141" customHeight="1" spans="2:26">
      <c r="B141" s="684"/>
      <c r="C141" s="684"/>
      <c r="D141" s="684"/>
      <c r="E141" s="684"/>
      <c r="F141" s="684"/>
      <c r="G141" s="684"/>
      <c r="H141" s="684"/>
      <c r="I141" s="684"/>
      <c r="J141" s="684"/>
      <c r="K141" s="684"/>
      <c r="L141" s="733"/>
      <c r="M141" s="477"/>
      <c r="N141" s="477"/>
      <c r="O141" s="477"/>
      <c r="P141" s="477"/>
      <c r="Q141" s="477"/>
      <c r="R141" s="477"/>
      <c r="S141" s="494"/>
      <c r="T141" s="684"/>
      <c r="U141" s="684"/>
      <c r="V141" s="684"/>
      <c r="W141" s="684"/>
      <c r="X141" s="684"/>
      <c r="Y141" s="684"/>
      <c r="Z141" s="684"/>
    </row>
    <row r="142" customHeight="1" spans="2:26">
      <c r="B142" s="684"/>
      <c r="C142" s="684"/>
      <c r="D142" s="684"/>
      <c r="E142" s="684"/>
      <c r="F142" s="684"/>
      <c r="G142" s="684"/>
      <c r="H142" s="684"/>
      <c r="I142" s="684"/>
      <c r="J142" s="684"/>
      <c r="K142" s="684"/>
      <c r="L142" s="733"/>
      <c r="M142" s="477"/>
      <c r="N142" s="477"/>
      <c r="O142" s="477"/>
      <c r="P142" s="477"/>
      <c r="Q142" s="477"/>
      <c r="R142" s="477"/>
      <c r="S142" s="494"/>
      <c r="T142" s="684"/>
      <c r="U142" s="684"/>
      <c r="V142" s="684"/>
      <c r="W142" s="684"/>
      <c r="X142" s="684"/>
      <c r="Y142" s="684"/>
      <c r="Z142" s="684"/>
    </row>
    <row r="143" customHeight="1" spans="2:26">
      <c r="B143" s="684"/>
      <c r="C143" s="684"/>
      <c r="D143" s="684"/>
      <c r="E143" s="684"/>
      <c r="F143" s="684"/>
      <c r="G143" s="684"/>
      <c r="H143" s="684"/>
      <c r="I143" s="684"/>
      <c r="J143" s="684"/>
      <c r="K143" s="684"/>
      <c r="L143" s="733"/>
      <c r="M143" s="477"/>
      <c r="N143" s="477"/>
      <c r="O143" s="477"/>
      <c r="P143" s="477"/>
      <c r="Q143" s="477"/>
      <c r="R143" s="477"/>
      <c r="S143" s="494"/>
      <c r="T143" s="684"/>
      <c r="U143" s="684"/>
      <c r="V143" s="684"/>
      <c r="W143" s="684"/>
      <c r="X143" s="684"/>
      <c r="Y143" s="684"/>
      <c r="Z143" s="684"/>
    </row>
    <row r="144" customHeight="1" spans="2:26">
      <c r="B144" s="684"/>
      <c r="C144" s="684"/>
      <c r="D144" s="684"/>
      <c r="E144" s="684"/>
      <c r="F144" s="684"/>
      <c r="G144" s="684"/>
      <c r="H144" s="684"/>
      <c r="I144" s="684"/>
      <c r="J144" s="684"/>
      <c r="K144" s="684"/>
      <c r="L144" s="733"/>
      <c r="M144" s="477"/>
      <c r="N144" s="477"/>
      <c r="O144" s="477"/>
      <c r="P144" s="477"/>
      <c r="Q144" s="477"/>
      <c r="R144" s="477"/>
      <c r="S144" s="494"/>
      <c r="T144" s="684"/>
      <c r="U144" s="684"/>
      <c r="V144" s="684"/>
      <c r="W144" s="684"/>
      <c r="X144" s="684"/>
      <c r="Y144" s="684"/>
      <c r="Z144" s="684"/>
    </row>
    <row r="145" customHeight="1" spans="2:26">
      <c r="B145" s="684"/>
      <c r="C145" s="684"/>
      <c r="D145" s="684"/>
      <c r="E145" s="684"/>
      <c r="F145" s="684"/>
      <c r="G145" s="684"/>
      <c r="H145" s="684"/>
      <c r="I145" s="684"/>
      <c r="J145" s="684"/>
      <c r="K145" s="684"/>
      <c r="L145" s="733"/>
      <c r="M145" s="477"/>
      <c r="N145" s="477"/>
      <c r="O145" s="477"/>
      <c r="P145" s="477"/>
      <c r="Q145" s="477"/>
      <c r="R145" s="477"/>
      <c r="S145" s="494"/>
      <c r="T145" s="684"/>
      <c r="U145" s="684"/>
      <c r="V145" s="684"/>
      <c r="W145" s="684"/>
      <c r="X145" s="684"/>
      <c r="Y145" s="684"/>
      <c r="Z145" s="684"/>
    </row>
    <row r="146" customHeight="1" spans="2:26">
      <c r="B146" s="684"/>
      <c r="C146" s="684"/>
      <c r="D146" s="684"/>
      <c r="E146" s="684"/>
      <c r="F146" s="684"/>
      <c r="G146" s="684"/>
      <c r="H146" s="684"/>
      <c r="I146" s="684"/>
      <c r="J146" s="684"/>
      <c r="K146" s="684"/>
      <c r="L146" s="733"/>
      <c r="M146" s="477"/>
      <c r="N146" s="477"/>
      <c r="O146" s="477"/>
      <c r="P146" s="477"/>
      <c r="Q146" s="477"/>
      <c r="R146" s="477"/>
      <c r="S146" s="494"/>
      <c r="T146" s="684"/>
      <c r="U146" s="684"/>
      <c r="V146" s="684"/>
      <c r="W146" s="684"/>
      <c r="X146" s="684"/>
      <c r="Y146" s="684"/>
      <c r="Z146" s="684"/>
    </row>
    <row r="147" customHeight="1" spans="2:26">
      <c r="B147" s="684"/>
      <c r="C147" s="684"/>
      <c r="D147" s="684"/>
      <c r="E147" s="684"/>
      <c r="F147" s="684"/>
      <c r="G147" s="684"/>
      <c r="H147" s="684"/>
      <c r="I147" s="684"/>
      <c r="J147" s="684"/>
      <c r="K147" s="684"/>
      <c r="L147" s="734"/>
      <c r="M147" s="735"/>
      <c r="N147" s="735"/>
      <c r="O147" s="735"/>
      <c r="P147" s="735"/>
      <c r="Q147" s="735"/>
      <c r="R147" s="735"/>
      <c r="S147" s="739"/>
      <c r="T147" s="684"/>
      <c r="U147" s="684"/>
      <c r="V147" s="684"/>
      <c r="W147" s="684"/>
      <c r="X147" s="684"/>
      <c r="Y147" s="684"/>
      <c r="Z147" s="684"/>
    </row>
    <row r="148" customHeight="1" spans="2:26">
      <c r="B148" s="684"/>
      <c r="C148" s="684"/>
      <c r="D148" s="684"/>
      <c r="E148" s="684"/>
      <c r="F148" s="684"/>
      <c r="G148" s="684"/>
      <c r="H148" s="684"/>
      <c r="I148" s="684"/>
      <c r="J148" s="684"/>
      <c r="K148" s="684"/>
      <c r="L148" s="733" t="s">
        <v>3741</v>
      </c>
      <c r="M148" s="477" t="s">
        <v>3742</v>
      </c>
      <c r="N148" s="477"/>
      <c r="O148" s="477"/>
      <c r="P148" s="477"/>
      <c r="Q148" s="477"/>
      <c r="R148" s="477"/>
      <c r="S148" s="494"/>
      <c r="T148" s="684"/>
      <c r="U148" s="684"/>
      <c r="V148" s="684"/>
      <c r="W148" s="684"/>
      <c r="X148" s="684"/>
      <c r="Y148" s="684"/>
      <c r="Z148" s="684"/>
    </row>
    <row r="149" customHeight="1" spans="2:26">
      <c r="B149" s="684"/>
      <c r="C149" s="684"/>
      <c r="D149" s="684"/>
      <c r="E149" s="684"/>
      <c r="F149" s="684"/>
      <c r="G149" s="684"/>
      <c r="H149" s="684"/>
      <c r="I149" s="684"/>
      <c r="J149" s="684"/>
      <c r="K149" s="684"/>
      <c r="L149" s="733"/>
      <c r="M149" s="477"/>
      <c r="N149" s="477"/>
      <c r="O149" s="477"/>
      <c r="P149" s="477"/>
      <c r="Q149" s="477"/>
      <c r="R149" s="477"/>
      <c r="S149" s="494"/>
      <c r="T149" s="684"/>
      <c r="U149" s="684"/>
      <c r="V149" s="684"/>
      <c r="W149" s="684"/>
      <c r="X149" s="684"/>
      <c r="Y149" s="684"/>
      <c r="Z149" s="684"/>
    </row>
    <row r="150" customHeight="1" spans="2:26">
      <c r="B150" s="684"/>
      <c r="C150" s="684"/>
      <c r="D150" s="684"/>
      <c r="E150" s="684"/>
      <c r="F150" s="684"/>
      <c r="G150" s="684"/>
      <c r="H150" s="684"/>
      <c r="I150" s="684"/>
      <c r="J150" s="684"/>
      <c r="K150" s="684"/>
      <c r="L150" s="733"/>
      <c r="M150" s="477"/>
      <c r="N150" s="477"/>
      <c r="O150" s="477"/>
      <c r="P150" s="477"/>
      <c r="Q150" s="477"/>
      <c r="R150" s="477"/>
      <c r="S150" s="494"/>
      <c r="T150" s="684"/>
      <c r="U150" s="684"/>
      <c r="V150" s="684"/>
      <c r="W150" s="684"/>
      <c r="X150" s="684"/>
      <c r="Y150" s="684"/>
      <c r="Z150" s="684"/>
    </row>
    <row r="151" customHeight="1" spans="2:26">
      <c r="B151" s="684"/>
      <c r="C151" s="684"/>
      <c r="D151" s="684"/>
      <c r="E151" s="684"/>
      <c r="F151" s="684"/>
      <c r="G151" s="684"/>
      <c r="H151" s="684"/>
      <c r="I151" s="684"/>
      <c r="J151" s="684"/>
      <c r="K151" s="684"/>
      <c r="L151" s="733"/>
      <c r="M151" s="477"/>
      <c r="N151" s="477"/>
      <c r="O151" s="477"/>
      <c r="P151" s="477"/>
      <c r="Q151" s="477"/>
      <c r="R151" s="477"/>
      <c r="S151" s="494"/>
      <c r="T151" s="684"/>
      <c r="U151" s="684"/>
      <c r="V151" s="684"/>
      <c r="W151" s="684"/>
      <c r="X151" s="684"/>
      <c r="Y151" s="684"/>
      <c r="Z151" s="684"/>
    </row>
    <row r="152" spans="2:26">
      <c r="B152" s="684"/>
      <c r="C152" s="684"/>
      <c r="D152" s="684"/>
      <c r="E152" s="684"/>
      <c r="F152" s="684"/>
      <c r="G152" s="684"/>
      <c r="H152" s="684"/>
      <c r="I152" s="684"/>
      <c r="J152" s="684"/>
      <c r="K152" s="684"/>
      <c r="L152" s="733"/>
      <c r="M152" s="477"/>
      <c r="N152" s="477"/>
      <c r="O152" s="477"/>
      <c r="P152" s="477"/>
      <c r="Q152" s="477"/>
      <c r="R152" s="477"/>
      <c r="S152" s="494"/>
      <c r="T152" s="684"/>
      <c r="U152" s="684"/>
      <c r="V152" s="684"/>
      <c r="W152" s="684"/>
      <c r="X152" s="684"/>
      <c r="Y152" s="684"/>
      <c r="Z152" s="684"/>
    </row>
    <row r="153" spans="2:26">
      <c r="B153" s="684"/>
      <c r="C153" s="684"/>
      <c r="D153" s="684"/>
      <c r="E153" s="684"/>
      <c r="F153" s="684"/>
      <c r="G153" s="684"/>
      <c r="H153" s="684"/>
      <c r="I153" s="684"/>
      <c r="J153" s="684"/>
      <c r="K153" s="684"/>
      <c r="L153" s="733"/>
      <c r="M153" s="477"/>
      <c r="N153" s="477"/>
      <c r="O153" s="477"/>
      <c r="P153" s="477"/>
      <c r="Q153" s="477"/>
      <c r="R153" s="477"/>
      <c r="S153" s="494"/>
      <c r="T153" s="684"/>
      <c r="U153" s="684"/>
      <c r="V153" s="684"/>
      <c r="W153" s="684"/>
      <c r="X153" s="684"/>
      <c r="Y153" s="684"/>
      <c r="Z153" s="684"/>
    </row>
    <row r="154" ht="17.25" spans="2:26">
      <c r="B154" s="684"/>
      <c r="C154" s="684"/>
      <c r="D154" s="684"/>
      <c r="E154" s="684"/>
      <c r="F154" s="684"/>
      <c r="G154" s="684"/>
      <c r="H154" s="684"/>
      <c r="I154" s="684"/>
      <c r="J154" s="684"/>
      <c r="K154" s="684"/>
      <c r="L154" s="736"/>
      <c r="M154" s="512"/>
      <c r="N154" s="512"/>
      <c r="O154" s="512"/>
      <c r="P154" s="512"/>
      <c r="Q154" s="512"/>
      <c r="R154" s="512"/>
      <c r="S154" s="515"/>
      <c r="T154" s="740" t="s">
        <v>3743</v>
      </c>
      <c r="U154" s="684"/>
      <c r="V154" s="684"/>
      <c r="W154" s="684"/>
      <c r="X154" s="684"/>
      <c r="Y154" s="684"/>
      <c r="Z154" s="684"/>
    </row>
  </sheetData>
  <protectedRanges>
    <protectedRange sqref="AU41:AV44 AX37:AY40" name="技能表以上_1"/>
  </protectedRanges>
  <mergeCells count="92">
    <mergeCell ref="B2:L2"/>
    <mergeCell ref="N2:Z2"/>
    <mergeCell ref="B3:D3"/>
    <mergeCell ref="E3:F3"/>
    <mergeCell ref="G3:H3"/>
    <mergeCell ref="I3:L3"/>
    <mergeCell ref="O3:Z3"/>
    <mergeCell ref="O4:Z4"/>
    <mergeCell ref="O6:Z6"/>
    <mergeCell ref="O8:Z8"/>
    <mergeCell ref="B10:H10"/>
    <mergeCell ref="I10:J10"/>
    <mergeCell ref="K10:L10"/>
    <mergeCell ref="O10:Z10"/>
    <mergeCell ref="O12:Z12"/>
    <mergeCell ref="O23:Z23"/>
    <mergeCell ref="B24:G24"/>
    <mergeCell ref="H24:L24"/>
    <mergeCell ref="O28:Z28"/>
    <mergeCell ref="O30:Z30"/>
    <mergeCell ref="O32:Z32"/>
    <mergeCell ref="O34:Z34"/>
    <mergeCell ref="N35:Z35"/>
    <mergeCell ref="N38:Z38"/>
    <mergeCell ref="B39:L39"/>
    <mergeCell ref="N41:Z41"/>
    <mergeCell ref="O43:Z43"/>
    <mergeCell ref="O45:Y45"/>
    <mergeCell ref="B84:J84"/>
    <mergeCell ref="B85:J85"/>
    <mergeCell ref="L124:S124"/>
    <mergeCell ref="L131:S131"/>
    <mergeCell ref="A2:A23"/>
    <mergeCell ref="M2:M24"/>
    <mergeCell ref="N14:N15"/>
    <mergeCell ref="N17:N18"/>
    <mergeCell ref="N20:N21"/>
    <mergeCell ref="N25:N26"/>
    <mergeCell ref="N36:N37"/>
    <mergeCell ref="N39:N40"/>
    <mergeCell ref="B68:Z69"/>
    <mergeCell ref="L127:O130"/>
    <mergeCell ref="P127:Q128"/>
    <mergeCell ref="R127:S128"/>
    <mergeCell ref="O75:T76"/>
    <mergeCell ref="U75:Z76"/>
    <mergeCell ref="O72:T74"/>
    <mergeCell ref="U72:Z74"/>
    <mergeCell ref="B102:J105"/>
    <mergeCell ref="I11:J23"/>
    <mergeCell ref="K11:L23"/>
    <mergeCell ref="P129:Q130"/>
    <mergeCell ref="R129:S130"/>
    <mergeCell ref="B70:M71"/>
    <mergeCell ref="O20:Z21"/>
    <mergeCell ref="H25:L38"/>
    <mergeCell ref="M140:S147"/>
    <mergeCell ref="M132:S139"/>
    <mergeCell ref="M148:S154"/>
    <mergeCell ref="U117:Z118"/>
    <mergeCell ref="L119:S123"/>
    <mergeCell ref="B81:J83"/>
    <mergeCell ref="L125:S126"/>
    <mergeCell ref="U119:Z127"/>
    <mergeCell ref="O36:Z37"/>
    <mergeCell ref="B96:J101"/>
    <mergeCell ref="L117:S118"/>
    <mergeCell ref="G117:J118"/>
    <mergeCell ref="B117:E118"/>
    <mergeCell ref="B119:E125"/>
    <mergeCell ref="O25:Z26"/>
    <mergeCell ref="B113:Z115"/>
    <mergeCell ref="B77:M80"/>
    <mergeCell ref="O77:Z80"/>
    <mergeCell ref="B75:G76"/>
    <mergeCell ref="H75:M76"/>
    <mergeCell ref="G119:J125"/>
    <mergeCell ref="O70:Z71"/>
    <mergeCell ref="E4:F9"/>
    <mergeCell ref="G4:H9"/>
    <mergeCell ref="B4:D9"/>
    <mergeCell ref="B11:H23"/>
    <mergeCell ref="B94:J95"/>
    <mergeCell ref="O17:Z18"/>
    <mergeCell ref="I4:L9"/>
    <mergeCell ref="B64:Z66"/>
    <mergeCell ref="B40:L60"/>
    <mergeCell ref="B25:G38"/>
    <mergeCell ref="B72:G74"/>
    <mergeCell ref="H72:M74"/>
    <mergeCell ref="O39:Z40"/>
    <mergeCell ref="O14:Z15"/>
  </mergeCells>
  <dataValidations count="1">
    <dataValidation type="list" allowBlank="1" showInputMessage="1" showErrorMessage="1" sqref="B4:D9">
      <formula1>附表!$B$95:$B$666</formula1>
    </dataValidation>
  </dataValidations>
  <pageMargins left="0.75" right="0.75" top="1" bottom="1" header="0.509027777777778" footer="0.509027777777778"/>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355"/>
  <sheetViews>
    <sheetView showGridLines="0" showRowColHeaders="0" topLeftCell="H1" workbookViewId="0">
      <pane ySplit="1" topLeftCell="A2" activePane="bottomLeft" state="frozen"/>
      <selection/>
      <selection pane="bottomLeft" activeCell="U39" sqref="U39"/>
    </sheetView>
  </sheetViews>
  <sheetFormatPr defaultColWidth="10" defaultRowHeight="14"/>
  <cols>
    <col min="1" max="1" width="3.33636363636364" style="55" customWidth="1"/>
    <col min="2" max="2" width="28.3363636363636" style="55" customWidth="1"/>
    <col min="3" max="3" width="11" style="55" customWidth="1"/>
    <col min="4" max="4" width="5.66363636363636" style="55" customWidth="1"/>
    <col min="5" max="5" width="16.7818181818182" style="55" customWidth="1"/>
    <col min="6" max="6" width="20" style="55" customWidth="1"/>
    <col min="7" max="7" width="4.78181818181818" style="55" customWidth="1"/>
    <col min="8" max="8" width="11.7818181818182" style="55" customWidth="1"/>
    <col min="9" max="9" width="13" style="56" customWidth="1"/>
    <col min="10" max="10" width="8.66363636363636" style="56" customWidth="1"/>
    <col min="11" max="11" width="9.10909090909091" style="56" customWidth="1"/>
    <col min="12" max="12" width="8.89090909090909" style="56" customWidth="1"/>
    <col min="13" max="13" width="16.3363636363636" style="56" customWidth="1"/>
    <col min="14" max="14" width="13.8909090909091" style="56" customWidth="1"/>
    <col min="15" max="15" width="11.8909090909091" style="56" customWidth="1"/>
    <col min="16" max="16" width="8.89090909090909" style="56" customWidth="1"/>
    <col min="17" max="17" width="30.5545454545455" style="56" customWidth="1"/>
    <col min="18" max="18" width="18.5545454545455" style="56" customWidth="1"/>
    <col min="19" max="19" width="7.55454545454545" style="56" customWidth="1"/>
    <col min="20" max="20" width="6" style="56" customWidth="1"/>
    <col min="21" max="21" width="10.6636363636364" style="56" customWidth="1"/>
    <col min="22" max="22" width="7.21818181818182" style="56" customWidth="1"/>
    <col min="23" max="23" width="10.5545454545455" style="56" customWidth="1"/>
    <col min="24" max="24" width="13.5545454545455" style="56" customWidth="1"/>
    <col min="25" max="25" width="10.7818181818182" style="56" customWidth="1"/>
    <col min="26" max="26" width="7.78181818181818" style="56" customWidth="1"/>
    <col min="27" max="27" width="9.66363636363636" style="56" customWidth="1"/>
    <col min="28" max="28" width="13" style="56" customWidth="1"/>
    <col min="29" max="32" width="8.89090909090909" style="57" customWidth="1"/>
    <col min="33" max="33" width="8.89090909090909" style="57" hidden="1"/>
    <col min="34" max="34" width="9.66363636363636" style="57" hidden="1"/>
    <col min="35" max="16382" width="8.89090909090909" style="56" hidden="1"/>
    <col min="16383" max="16383" width="8.89090909090909" style="58" hidden="1"/>
    <col min="16384" max="16384" width="8.89090909090909" style="58" customWidth="1"/>
  </cols>
  <sheetData>
    <row r="1" ht="21.95" customHeight="1" spans="2:34">
      <c r="B1" s="59" t="s">
        <v>3744</v>
      </c>
      <c r="C1" s="60" t="s">
        <v>161</v>
      </c>
      <c r="D1" s="61" t="s">
        <v>3745</v>
      </c>
      <c r="E1" s="60" t="s">
        <v>3746</v>
      </c>
      <c r="F1" s="60" t="s">
        <v>3747</v>
      </c>
      <c r="G1" s="61" t="s">
        <v>3748</v>
      </c>
      <c r="H1" s="60" t="s">
        <v>3749</v>
      </c>
      <c r="I1" s="103" t="s">
        <v>3750</v>
      </c>
      <c r="J1" s="103" t="s">
        <v>197</v>
      </c>
      <c r="K1" s="104" t="s">
        <v>423</v>
      </c>
      <c r="L1" s="104"/>
      <c r="M1" s="104"/>
      <c r="N1" s="104"/>
      <c r="O1" s="104"/>
      <c r="P1" s="105"/>
      <c r="Q1" s="162" t="s">
        <v>364</v>
      </c>
      <c r="R1" s="163" t="s">
        <v>328</v>
      </c>
      <c r="S1" s="164" t="s">
        <v>35</v>
      </c>
      <c r="T1" s="164" t="s">
        <v>211</v>
      </c>
      <c r="U1" s="164" t="s">
        <v>3751</v>
      </c>
      <c r="V1" s="163" t="s">
        <v>3752</v>
      </c>
      <c r="W1" s="163" t="s">
        <v>3753</v>
      </c>
      <c r="X1" s="163" t="s">
        <v>3754</v>
      </c>
      <c r="Y1" s="208" t="s">
        <v>3749</v>
      </c>
      <c r="Z1" s="208" t="s">
        <v>197</v>
      </c>
      <c r="AA1" s="209" t="s">
        <v>423</v>
      </c>
      <c r="AB1" s="209"/>
      <c r="AC1" s="209"/>
      <c r="AD1" s="209"/>
      <c r="AE1" s="209"/>
      <c r="AF1" s="210"/>
      <c r="AG1" s="285"/>
      <c r="AH1" s="285"/>
    </row>
    <row r="2" ht="14.25" customHeight="1" spans="2:34">
      <c r="B2" s="62" t="s">
        <v>3755</v>
      </c>
      <c r="C2" s="63">
        <v>1</v>
      </c>
      <c r="D2" s="63">
        <v>0</v>
      </c>
      <c r="E2" s="63" t="s">
        <v>3756</v>
      </c>
      <c r="F2" s="63" t="s">
        <v>3757</v>
      </c>
      <c r="G2" s="63" t="s">
        <v>210</v>
      </c>
      <c r="H2" s="63" t="s">
        <v>3758</v>
      </c>
      <c r="I2" s="106" t="s">
        <v>3759</v>
      </c>
      <c r="J2" s="107" t="s">
        <v>3760</v>
      </c>
      <c r="K2" s="108" t="s">
        <v>3761</v>
      </c>
      <c r="L2" s="109"/>
      <c r="M2" s="109"/>
      <c r="N2" s="109"/>
      <c r="O2" s="109"/>
      <c r="P2" s="110"/>
      <c r="Q2" s="165" t="s">
        <v>3762</v>
      </c>
      <c r="R2" s="166" t="s">
        <v>109</v>
      </c>
      <c r="S2" s="166">
        <v>13</v>
      </c>
      <c r="T2" s="166">
        <v>4</v>
      </c>
      <c r="U2" s="166">
        <v>1</v>
      </c>
      <c r="V2" s="166">
        <v>4</v>
      </c>
      <c r="W2" s="2757" t="s">
        <v>3763</v>
      </c>
      <c r="X2" s="167" t="s">
        <v>3764</v>
      </c>
      <c r="Y2" s="211" t="s">
        <v>12</v>
      </c>
      <c r="Z2" s="212" t="s">
        <v>3765</v>
      </c>
      <c r="AA2" s="213" t="s">
        <v>3766</v>
      </c>
      <c r="AB2" s="214"/>
      <c r="AC2" s="215"/>
      <c r="AD2" s="216"/>
      <c r="AE2" s="216"/>
      <c r="AF2" s="210"/>
      <c r="AG2" s="286"/>
      <c r="AH2" s="286"/>
    </row>
    <row r="3" ht="14.25" customHeight="1" spans="2:34">
      <c r="B3" s="64" t="s">
        <v>3767</v>
      </c>
      <c r="C3" s="65">
        <v>2</v>
      </c>
      <c r="D3" s="65">
        <v>0</v>
      </c>
      <c r="E3" s="65" t="s">
        <v>217</v>
      </c>
      <c r="F3" s="65" t="s">
        <v>3768</v>
      </c>
      <c r="G3" s="65" t="s">
        <v>2852</v>
      </c>
      <c r="H3" s="65" t="s">
        <v>3769</v>
      </c>
      <c r="I3" s="111" t="s">
        <v>3770</v>
      </c>
      <c r="J3" s="107"/>
      <c r="K3" s="108"/>
      <c r="L3" s="109"/>
      <c r="M3" s="109"/>
      <c r="N3" s="109"/>
      <c r="O3" s="109"/>
      <c r="P3" s="110"/>
      <c r="Q3" s="165" t="s">
        <v>3771</v>
      </c>
      <c r="R3" s="166" t="s">
        <v>109</v>
      </c>
      <c r="S3" s="166">
        <v>14</v>
      </c>
      <c r="T3" s="166">
        <v>5</v>
      </c>
      <c r="U3" s="166">
        <v>2</v>
      </c>
      <c r="V3" s="166">
        <v>4</v>
      </c>
      <c r="W3" s="2757" t="s">
        <v>3772</v>
      </c>
      <c r="X3" s="167" t="s">
        <v>3764</v>
      </c>
      <c r="Y3" s="211" t="s">
        <v>3758</v>
      </c>
      <c r="Z3" s="212"/>
      <c r="AA3" s="213"/>
      <c r="AB3" s="214"/>
      <c r="AC3" s="215"/>
      <c r="AD3" s="216"/>
      <c r="AE3" s="216"/>
      <c r="AF3" s="217"/>
      <c r="AG3" s="286"/>
      <c r="AH3" s="286"/>
    </row>
    <row r="4" ht="14.25" customHeight="1" spans="2:34">
      <c r="B4" s="62" t="s">
        <v>3773</v>
      </c>
      <c r="C4" s="63">
        <v>3</v>
      </c>
      <c r="D4" s="63" t="s">
        <v>76</v>
      </c>
      <c r="E4" s="63" t="s">
        <v>76</v>
      </c>
      <c r="F4" s="63" t="s">
        <v>76</v>
      </c>
      <c r="G4" s="63" t="s">
        <v>2852</v>
      </c>
      <c r="H4" s="63" t="s">
        <v>76</v>
      </c>
      <c r="I4" s="2758" t="s">
        <v>3774</v>
      </c>
      <c r="J4" s="107"/>
      <c r="K4" s="108"/>
      <c r="L4" s="109"/>
      <c r="M4" s="109"/>
      <c r="N4" s="109"/>
      <c r="O4" s="109"/>
      <c r="P4" s="110"/>
      <c r="Q4" s="168" t="s">
        <v>3775</v>
      </c>
      <c r="R4" s="169" t="s">
        <v>109</v>
      </c>
      <c r="S4" s="169">
        <v>15</v>
      </c>
      <c r="T4" s="169">
        <v>6</v>
      </c>
      <c r="U4" s="169">
        <v>2</v>
      </c>
      <c r="V4" s="169">
        <v>4</v>
      </c>
      <c r="W4" s="2759" t="s">
        <v>3772</v>
      </c>
      <c r="X4" s="170" t="s">
        <v>3764</v>
      </c>
      <c r="Y4" s="218" t="s">
        <v>12</v>
      </c>
      <c r="Z4" s="212"/>
      <c r="AA4" s="213"/>
      <c r="AB4" s="214"/>
      <c r="AC4" s="215"/>
      <c r="AD4" s="216"/>
      <c r="AE4" s="216"/>
      <c r="AF4" s="219"/>
      <c r="AG4" s="286"/>
      <c r="AH4" s="286"/>
    </row>
    <row r="5" ht="14.25" customHeight="1" spans="2:34">
      <c r="B5" s="64" t="s">
        <v>3776</v>
      </c>
      <c r="C5" s="65">
        <v>5</v>
      </c>
      <c r="D5" s="65">
        <v>0</v>
      </c>
      <c r="E5" s="65" t="s">
        <v>217</v>
      </c>
      <c r="F5" s="65" t="s">
        <v>3768</v>
      </c>
      <c r="G5" s="65" t="s">
        <v>2852</v>
      </c>
      <c r="H5" s="65" t="s">
        <v>12</v>
      </c>
      <c r="I5" s="111" t="s">
        <v>3770</v>
      </c>
      <c r="J5" s="107"/>
      <c r="K5" s="108"/>
      <c r="L5" s="109"/>
      <c r="M5" s="109"/>
      <c r="N5" s="109"/>
      <c r="O5" s="109"/>
      <c r="P5" s="110"/>
      <c r="Q5" s="165" t="s">
        <v>3777</v>
      </c>
      <c r="R5" s="171" t="s">
        <v>109</v>
      </c>
      <c r="S5" s="166">
        <v>16</v>
      </c>
      <c r="T5" s="166">
        <v>5</v>
      </c>
      <c r="U5" s="166">
        <v>2</v>
      </c>
      <c r="V5" s="166">
        <v>1</v>
      </c>
      <c r="W5" s="2757" t="s">
        <v>3763</v>
      </c>
      <c r="X5" s="166" t="s">
        <v>76</v>
      </c>
      <c r="Y5" s="211" t="s">
        <v>12</v>
      </c>
      <c r="Z5" s="212"/>
      <c r="AA5" s="213"/>
      <c r="AB5" s="215"/>
      <c r="AC5" s="215"/>
      <c r="AD5" s="216"/>
      <c r="AE5" s="216"/>
      <c r="AF5" s="210"/>
      <c r="AG5" s="286"/>
      <c r="AH5" s="286"/>
    </row>
    <row r="6" ht="14.25" customHeight="1" spans="2:34">
      <c r="B6" s="62" t="s">
        <v>3778</v>
      </c>
      <c r="C6" s="63">
        <v>8</v>
      </c>
      <c r="D6" s="63">
        <v>0</v>
      </c>
      <c r="E6" s="63" t="s">
        <v>3756</v>
      </c>
      <c r="F6" s="63" t="s">
        <v>3757</v>
      </c>
      <c r="G6" s="63" t="s">
        <v>2852</v>
      </c>
      <c r="H6" s="63" t="s">
        <v>12</v>
      </c>
      <c r="I6" s="106" t="s">
        <v>3770</v>
      </c>
      <c r="J6" s="107"/>
      <c r="K6" s="108"/>
      <c r="L6" s="109"/>
      <c r="M6" s="109"/>
      <c r="N6" s="109"/>
      <c r="O6" s="109"/>
      <c r="P6" s="110"/>
      <c r="Q6" s="168" t="s">
        <v>3779</v>
      </c>
      <c r="R6" s="166" t="s">
        <v>109</v>
      </c>
      <c r="S6" s="169">
        <v>14</v>
      </c>
      <c r="T6" s="169">
        <v>6</v>
      </c>
      <c r="U6" s="169">
        <v>2</v>
      </c>
      <c r="V6" s="169" t="s">
        <v>3780</v>
      </c>
      <c r="W6" s="2759" t="s">
        <v>3772</v>
      </c>
      <c r="X6" s="170" t="s">
        <v>3781</v>
      </c>
      <c r="Y6" s="218" t="s">
        <v>3758</v>
      </c>
      <c r="Z6" s="212"/>
      <c r="AA6" s="213"/>
      <c r="AB6" s="215"/>
      <c r="AC6" s="215"/>
      <c r="AD6" s="216"/>
      <c r="AE6" s="216"/>
      <c r="AF6" s="210"/>
      <c r="AG6" s="286"/>
      <c r="AH6" s="286"/>
    </row>
    <row r="7" ht="14.25" customHeight="1" spans="2:34">
      <c r="B7" s="64" t="s">
        <v>3782</v>
      </c>
      <c r="C7" s="65">
        <v>15</v>
      </c>
      <c r="D7" s="65" t="s">
        <v>76</v>
      </c>
      <c r="E7" s="65" t="s">
        <v>76</v>
      </c>
      <c r="F7" s="65" t="s">
        <v>76</v>
      </c>
      <c r="G7" s="65" t="s">
        <v>2852</v>
      </c>
      <c r="H7" s="65" t="s">
        <v>12</v>
      </c>
      <c r="I7" s="111" t="s">
        <v>3783</v>
      </c>
      <c r="J7" s="107"/>
      <c r="K7" s="108"/>
      <c r="L7" s="109"/>
      <c r="M7" s="109"/>
      <c r="N7" s="109"/>
      <c r="O7" s="109"/>
      <c r="P7" s="110"/>
      <c r="Q7" s="165" t="s">
        <v>3784</v>
      </c>
      <c r="R7" s="166" t="s">
        <v>109</v>
      </c>
      <c r="S7" s="166">
        <v>13</v>
      </c>
      <c r="T7" s="166">
        <v>7</v>
      </c>
      <c r="U7" s="166">
        <v>2</v>
      </c>
      <c r="V7" s="166" t="s">
        <v>3780</v>
      </c>
      <c r="W7" s="2757" t="s">
        <v>3772</v>
      </c>
      <c r="X7" s="167" t="s">
        <v>3781</v>
      </c>
      <c r="Y7" s="211" t="s">
        <v>12</v>
      </c>
      <c r="Z7" s="212"/>
      <c r="AA7" s="213"/>
      <c r="AB7" s="215"/>
      <c r="AC7" s="215"/>
      <c r="AD7" s="216"/>
      <c r="AE7" s="216"/>
      <c r="AF7" s="210"/>
      <c r="AG7" s="286"/>
      <c r="AH7" s="286"/>
    </row>
    <row r="8" ht="14.25" customHeight="1" spans="2:34">
      <c r="B8" s="62" t="s">
        <v>3785</v>
      </c>
      <c r="C8" s="63">
        <v>19</v>
      </c>
      <c r="D8" s="63" t="s">
        <v>76</v>
      </c>
      <c r="E8" s="63" t="s">
        <v>76</v>
      </c>
      <c r="F8" s="63" t="s">
        <v>76</v>
      </c>
      <c r="G8" s="63" t="s">
        <v>2852</v>
      </c>
      <c r="H8" s="63" t="s">
        <v>76</v>
      </c>
      <c r="I8" s="2758" t="s">
        <v>3786</v>
      </c>
      <c r="J8" s="107"/>
      <c r="K8" s="108"/>
      <c r="L8" s="109"/>
      <c r="M8" s="109"/>
      <c r="N8" s="109"/>
      <c r="O8" s="109"/>
      <c r="P8" s="110"/>
      <c r="Q8" s="168" t="s">
        <v>3787</v>
      </c>
      <c r="R8" s="169" t="s">
        <v>109</v>
      </c>
      <c r="S8" s="169">
        <v>13</v>
      </c>
      <c r="T8" s="169">
        <v>9</v>
      </c>
      <c r="U8" s="169">
        <v>2</v>
      </c>
      <c r="V8" s="169" t="s">
        <v>3788</v>
      </c>
      <c r="W8" s="2759" t="s">
        <v>3772</v>
      </c>
      <c r="X8" s="170" t="s">
        <v>3789</v>
      </c>
      <c r="Y8" s="218" t="s">
        <v>12</v>
      </c>
      <c r="Z8" s="212"/>
      <c r="AA8" s="213"/>
      <c r="AB8" s="215"/>
      <c r="AC8" s="215"/>
      <c r="AD8" s="216"/>
      <c r="AE8" s="216"/>
      <c r="AF8" s="210"/>
      <c r="AG8" s="286"/>
      <c r="AH8" s="286"/>
    </row>
    <row r="9" ht="14.25" customHeight="1" spans="2:34">
      <c r="B9" s="62" t="s">
        <v>3790</v>
      </c>
      <c r="C9" s="63">
        <v>20</v>
      </c>
      <c r="D9" s="63" t="s">
        <v>76</v>
      </c>
      <c r="E9" s="63" t="s">
        <v>76</v>
      </c>
      <c r="F9" s="63" t="s">
        <v>76</v>
      </c>
      <c r="G9" s="63" t="s">
        <v>2852</v>
      </c>
      <c r="H9" s="63" t="s">
        <v>3758</v>
      </c>
      <c r="I9" s="106" t="s">
        <v>3791</v>
      </c>
      <c r="J9" s="107"/>
      <c r="K9" s="108"/>
      <c r="L9" s="109"/>
      <c r="M9" s="109"/>
      <c r="N9" s="109"/>
      <c r="O9" s="109"/>
      <c r="P9" s="110"/>
      <c r="Q9" s="165" t="s">
        <v>3792</v>
      </c>
      <c r="R9" s="166" t="s">
        <v>109</v>
      </c>
      <c r="S9" s="166">
        <v>13</v>
      </c>
      <c r="T9" s="166">
        <v>1</v>
      </c>
      <c r="U9" s="166">
        <v>0</v>
      </c>
      <c r="V9" s="166">
        <v>1</v>
      </c>
      <c r="W9" s="2757" t="s">
        <v>3772</v>
      </c>
      <c r="X9" s="167" t="s">
        <v>76</v>
      </c>
      <c r="Y9" s="220" t="s">
        <v>3758</v>
      </c>
      <c r="Z9" s="212"/>
      <c r="AA9" s="213"/>
      <c r="AB9" s="215"/>
      <c r="AC9" s="215"/>
      <c r="AD9" s="216"/>
      <c r="AE9" s="216"/>
      <c r="AF9" s="210"/>
      <c r="AG9" s="286"/>
      <c r="AH9" s="286"/>
    </row>
    <row r="10" ht="14.25" customHeight="1" spans="2:34">
      <c r="B10" s="66" t="s">
        <v>3793</v>
      </c>
      <c r="C10" s="67">
        <v>0</v>
      </c>
      <c r="D10" s="67" t="s">
        <v>76</v>
      </c>
      <c r="E10" s="67" t="s">
        <v>3794</v>
      </c>
      <c r="F10" s="67" t="s">
        <v>3795</v>
      </c>
      <c r="G10" s="67" t="s">
        <v>3796</v>
      </c>
      <c r="H10" s="67" t="s">
        <v>76</v>
      </c>
      <c r="I10" s="112" t="s">
        <v>76</v>
      </c>
      <c r="J10" s="107"/>
      <c r="K10" s="108"/>
      <c r="L10" s="109"/>
      <c r="M10" s="109"/>
      <c r="N10" s="109"/>
      <c r="O10" s="109"/>
      <c r="P10" s="110"/>
      <c r="Q10" s="168" t="s">
        <v>3797</v>
      </c>
      <c r="R10" s="169" t="s">
        <v>109</v>
      </c>
      <c r="S10" s="169">
        <v>16</v>
      </c>
      <c r="T10" s="169">
        <v>3</v>
      </c>
      <c r="U10" s="169">
        <v>0</v>
      </c>
      <c r="V10" s="169">
        <v>1</v>
      </c>
      <c r="W10" s="2759" t="s">
        <v>3772</v>
      </c>
      <c r="X10" s="170" t="s">
        <v>76</v>
      </c>
      <c r="Y10" s="211" t="s">
        <v>3758</v>
      </c>
      <c r="Z10" s="212"/>
      <c r="AA10" s="213"/>
      <c r="AB10" s="215"/>
      <c r="AC10" s="215"/>
      <c r="AD10" s="216"/>
      <c r="AE10" s="216"/>
      <c r="AF10" s="210"/>
      <c r="AG10" s="287"/>
      <c r="AH10" s="287"/>
    </row>
    <row r="11" ht="14.25" customHeight="1" spans="2:34">
      <c r="B11" s="68" t="s">
        <v>3798</v>
      </c>
      <c r="C11" s="69">
        <v>8</v>
      </c>
      <c r="D11" s="69" t="s">
        <v>3799</v>
      </c>
      <c r="E11" s="69" t="s">
        <v>3794</v>
      </c>
      <c r="F11" s="69" t="s">
        <v>3800</v>
      </c>
      <c r="G11" s="69" t="s">
        <v>3796</v>
      </c>
      <c r="H11" s="69" t="s">
        <v>76</v>
      </c>
      <c r="I11" s="113" t="s">
        <v>3770</v>
      </c>
      <c r="J11" s="107"/>
      <c r="K11" s="108"/>
      <c r="L11" s="109"/>
      <c r="M11" s="109"/>
      <c r="N11" s="109"/>
      <c r="O11" s="109"/>
      <c r="P11" s="110"/>
      <c r="Q11" s="172" t="s">
        <v>1359</v>
      </c>
      <c r="R11" s="173" t="s">
        <v>3801</v>
      </c>
      <c r="S11" s="173">
        <v>11</v>
      </c>
      <c r="T11" s="173">
        <v>20</v>
      </c>
      <c r="U11" s="173">
        <v>24</v>
      </c>
      <c r="V11" s="173">
        <v>4</v>
      </c>
      <c r="W11" s="2760" t="s">
        <v>3763</v>
      </c>
      <c r="X11" s="2761" t="s">
        <v>3772</v>
      </c>
      <c r="Y11" s="221" t="s">
        <v>3758</v>
      </c>
      <c r="Z11" s="222" t="s">
        <v>3802</v>
      </c>
      <c r="AA11" s="213"/>
      <c r="AB11" s="215"/>
      <c r="AC11" s="215"/>
      <c r="AD11" s="216"/>
      <c r="AE11" s="216"/>
      <c r="AF11" s="210"/>
      <c r="AG11" s="287"/>
      <c r="AH11" s="287"/>
    </row>
    <row r="12" ht="14.25" customHeight="1" spans="2:34">
      <c r="B12" s="62" t="s">
        <v>3803</v>
      </c>
      <c r="C12" s="63">
        <v>10</v>
      </c>
      <c r="D12" s="63" t="s">
        <v>76</v>
      </c>
      <c r="E12" s="63" t="s">
        <v>76</v>
      </c>
      <c r="F12" s="63" t="s">
        <v>76</v>
      </c>
      <c r="G12" s="63" t="s">
        <v>2852</v>
      </c>
      <c r="H12" s="63" t="s">
        <v>3758</v>
      </c>
      <c r="I12" s="106" t="s">
        <v>3804</v>
      </c>
      <c r="J12" s="107"/>
      <c r="K12" s="108"/>
      <c r="L12" s="109"/>
      <c r="M12" s="109"/>
      <c r="N12" s="109"/>
      <c r="O12" s="109"/>
      <c r="P12" s="110"/>
      <c r="Q12" s="165" t="s">
        <v>3805</v>
      </c>
      <c r="R12" s="166" t="s">
        <v>3801</v>
      </c>
      <c r="S12" s="166">
        <v>12</v>
      </c>
      <c r="T12" s="166">
        <v>12</v>
      </c>
      <c r="U12" s="166">
        <v>1</v>
      </c>
      <c r="V12" s="166" t="s">
        <v>3806</v>
      </c>
      <c r="W12" s="2757" t="s">
        <v>3807</v>
      </c>
      <c r="X12" s="175" t="s">
        <v>3808</v>
      </c>
      <c r="Y12" s="211" t="s">
        <v>3769</v>
      </c>
      <c r="Z12" s="222"/>
      <c r="AA12" s="213"/>
      <c r="AB12" s="215"/>
      <c r="AC12" s="215"/>
      <c r="AD12" s="216"/>
      <c r="AE12" s="216"/>
      <c r="AF12" s="210"/>
      <c r="AG12" s="287"/>
      <c r="AH12" s="287"/>
    </row>
    <row r="13" ht="14.25" customHeight="1" spans="2:34">
      <c r="B13" s="70" t="s">
        <v>3809</v>
      </c>
      <c r="C13" s="71">
        <v>3</v>
      </c>
      <c r="D13" s="71" t="s">
        <v>76</v>
      </c>
      <c r="E13" s="71" t="s">
        <v>3810</v>
      </c>
      <c r="F13" s="71" t="s">
        <v>76</v>
      </c>
      <c r="G13" s="71" t="s">
        <v>210</v>
      </c>
      <c r="H13" s="72" t="s">
        <v>3811</v>
      </c>
      <c r="I13" s="114" t="s">
        <v>76</v>
      </c>
      <c r="J13" s="115" t="s">
        <v>3812</v>
      </c>
      <c r="K13" s="116" t="s">
        <v>3813</v>
      </c>
      <c r="L13" s="116"/>
      <c r="M13" s="116"/>
      <c r="N13" s="116"/>
      <c r="O13" s="117"/>
      <c r="P13" s="110"/>
      <c r="Q13" s="172" t="s">
        <v>3814</v>
      </c>
      <c r="R13" s="173" t="s">
        <v>3801</v>
      </c>
      <c r="S13" s="173">
        <v>15</v>
      </c>
      <c r="T13" s="173">
        <v>14</v>
      </c>
      <c r="U13" s="173">
        <v>2</v>
      </c>
      <c r="V13" s="173" t="s">
        <v>3806</v>
      </c>
      <c r="W13" s="2760" t="s">
        <v>3772</v>
      </c>
      <c r="X13" s="174" t="s">
        <v>3815</v>
      </c>
      <c r="Y13" s="221" t="s">
        <v>12</v>
      </c>
      <c r="Z13" s="222"/>
      <c r="AA13" s="213"/>
      <c r="AB13" s="215"/>
      <c r="AC13" s="215"/>
      <c r="AD13" s="216"/>
      <c r="AE13" s="216"/>
      <c r="AF13" s="210"/>
      <c r="AG13" s="287"/>
      <c r="AH13" s="287"/>
    </row>
    <row r="14" ht="14.25" customHeight="1" spans="2:34">
      <c r="B14" s="70" t="s">
        <v>3816</v>
      </c>
      <c r="C14" s="73">
        <v>6</v>
      </c>
      <c r="D14" s="73" t="s">
        <v>76</v>
      </c>
      <c r="E14" s="73" t="s">
        <v>3810</v>
      </c>
      <c r="F14" s="73" t="s">
        <v>76</v>
      </c>
      <c r="G14" s="73" t="s">
        <v>210</v>
      </c>
      <c r="H14" s="72"/>
      <c r="I14" s="114"/>
      <c r="J14" s="115"/>
      <c r="K14" s="118"/>
      <c r="L14" s="119"/>
      <c r="M14" s="119"/>
      <c r="N14" s="119"/>
      <c r="O14" s="120"/>
      <c r="P14" s="110"/>
      <c r="Q14" s="176" t="s">
        <v>3817</v>
      </c>
      <c r="R14" s="177" t="s">
        <v>3818</v>
      </c>
      <c r="S14" s="177">
        <v>11</v>
      </c>
      <c r="T14" s="177">
        <v>4</v>
      </c>
      <c r="U14" s="177">
        <v>0</v>
      </c>
      <c r="V14" s="177">
        <v>1</v>
      </c>
      <c r="W14" s="2762" t="s">
        <v>3772</v>
      </c>
      <c r="X14" s="177" t="s">
        <v>76</v>
      </c>
      <c r="Y14" s="223" t="s">
        <v>3819</v>
      </c>
      <c r="Z14" s="224" t="s">
        <v>3820</v>
      </c>
      <c r="AA14" s="213"/>
      <c r="AB14" s="215"/>
      <c r="AC14" s="215"/>
      <c r="AD14" s="216"/>
      <c r="AE14" s="216"/>
      <c r="AF14" s="210"/>
      <c r="AG14" s="287"/>
      <c r="AH14" s="287"/>
    </row>
    <row r="15" ht="14.25" customHeight="1" spans="2:34">
      <c r="B15" s="70" t="s">
        <v>3821</v>
      </c>
      <c r="C15" s="71">
        <v>12</v>
      </c>
      <c r="D15" s="71" t="s">
        <v>76</v>
      </c>
      <c r="E15" s="71" t="s">
        <v>3810</v>
      </c>
      <c r="F15" s="71" t="s">
        <v>76</v>
      </c>
      <c r="G15" s="71" t="s">
        <v>210</v>
      </c>
      <c r="H15" s="72"/>
      <c r="I15" s="114"/>
      <c r="J15" s="115"/>
      <c r="K15" s="118"/>
      <c r="L15" s="119"/>
      <c r="M15" s="119"/>
      <c r="N15" s="119"/>
      <c r="O15" s="120"/>
      <c r="P15" s="110"/>
      <c r="Q15" s="165" t="s">
        <v>3822</v>
      </c>
      <c r="R15" s="166" t="s">
        <v>3823</v>
      </c>
      <c r="S15" s="166">
        <v>10</v>
      </c>
      <c r="T15" s="166">
        <v>3</v>
      </c>
      <c r="U15" s="166">
        <v>0</v>
      </c>
      <c r="V15" s="166" t="s">
        <v>3824</v>
      </c>
      <c r="W15" s="166" t="s">
        <v>3815</v>
      </c>
      <c r="X15" s="166" t="s">
        <v>3781</v>
      </c>
      <c r="Y15" s="211" t="s">
        <v>3769</v>
      </c>
      <c r="Z15" s="224"/>
      <c r="AA15" s="213"/>
      <c r="AB15" s="215"/>
      <c r="AC15" s="215"/>
      <c r="AD15" s="216"/>
      <c r="AE15" s="216"/>
      <c r="AF15" s="210"/>
      <c r="AG15" s="287"/>
      <c r="AH15" s="287"/>
    </row>
    <row r="16" ht="14.25" customHeight="1" spans="2:34">
      <c r="B16" s="74" t="s">
        <v>3825</v>
      </c>
      <c r="C16" s="75">
        <v>2</v>
      </c>
      <c r="D16" s="75" t="s">
        <v>76</v>
      </c>
      <c r="E16" s="75" t="s">
        <v>76</v>
      </c>
      <c r="F16" s="75" t="s">
        <v>76</v>
      </c>
      <c r="G16" s="75" t="s">
        <v>210</v>
      </c>
      <c r="H16" s="75" t="s">
        <v>3826</v>
      </c>
      <c r="I16" s="2763" t="s">
        <v>3827</v>
      </c>
      <c r="J16" s="115"/>
      <c r="K16" s="122"/>
      <c r="L16" s="122"/>
      <c r="M16" s="122"/>
      <c r="N16" s="122"/>
      <c r="O16" s="123"/>
      <c r="P16" s="110"/>
      <c r="Q16" s="176" t="s">
        <v>3828</v>
      </c>
      <c r="R16" s="177" t="s">
        <v>3818</v>
      </c>
      <c r="S16" s="177">
        <v>10</v>
      </c>
      <c r="T16" s="177">
        <v>0.5</v>
      </c>
      <c r="U16" s="177">
        <v>0</v>
      </c>
      <c r="V16" s="177">
        <v>1</v>
      </c>
      <c r="W16" s="2762" t="s">
        <v>3772</v>
      </c>
      <c r="X16" s="177" t="s">
        <v>76</v>
      </c>
      <c r="Y16" s="223" t="s">
        <v>3758</v>
      </c>
      <c r="Z16" s="224"/>
      <c r="AA16" s="213"/>
      <c r="AB16" s="215"/>
      <c r="AC16" s="215"/>
      <c r="AD16" s="216"/>
      <c r="AE16" s="216"/>
      <c r="AF16" s="210"/>
      <c r="AG16" s="287"/>
      <c r="AH16" s="287"/>
    </row>
    <row r="17" ht="14.25" customHeight="1" spans="2:34">
      <c r="B17" s="76" t="s">
        <v>3829</v>
      </c>
      <c r="C17" s="71">
        <v>8</v>
      </c>
      <c r="D17" s="71" t="s">
        <v>76</v>
      </c>
      <c r="E17" s="71" t="s">
        <v>76</v>
      </c>
      <c r="F17" s="71" t="s">
        <v>76</v>
      </c>
      <c r="G17" s="71" t="s">
        <v>210</v>
      </c>
      <c r="H17" s="71" t="s">
        <v>12</v>
      </c>
      <c r="I17" s="114">
        <v>40</v>
      </c>
      <c r="J17" s="115"/>
      <c r="K17" s="124" t="s">
        <v>3830</v>
      </c>
      <c r="L17" s="125"/>
      <c r="M17" s="125"/>
      <c r="N17" s="125"/>
      <c r="O17" s="125"/>
      <c r="P17" s="110"/>
      <c r="Q17" s="178" t="s">
        <v>3831</v>
      </c>
      <c r="R17" s="179" t="s">
        <v>3832</v>
      </c>
      <c r="S17" s="179">
        <v>4</v>
      </c>
      <c r="T17" s="179">
        <v>2</v>
      </c>
      <c r="U17" s="179">
        <v>0</v>
      </c>
      <c r="V17" s="179">
        <v>3</v>
      </c>
      <c r="W17" s="2764" t="s">
        <v>3833</v>
      </c>
      <c r="X17" s="180" t="s">
        <v>3764</v>
      </c>
      <c r="Y17" s="225" t="s">
        <v>3758</v>
      </c>
      <c r="Z17" s="226" t="s">
        <v>3834</v>
      </c>
      <c r="AA17" s="213"/>
      <c r="AB17" s="216"/>
      <c r="AC17" s="216"/>
      <c r="AD17" s="216"/>
      <c r="AE17" s="216"/>
      <c r="AF17" s="210"/>
      <c r="AG17" s="287"/>
      <c r="AH17" s="287"/>
    </row>
    <row r="18" ht="14.25" customHeight="1" spans="2:34">
      <c r="B18" s="77" t="s">
        <v>3835</v>
      </c>
      <c r="C18" s="73">
        <v>12</v>
      </c>
      <c r="D18" s="73" t="s">
        <v>76</v>
      </c>
      <c r="E18" s="73" t="s">
        <v>76</v>
      </c>
      <c r="F18" s="73" t="s">
        <v>76</v>
      </c>
      <c r="G18" s="73" t="s">
        <v>2852</v>
      </c>
      <c r="H18" s="73" t="s">
        <v>3758</v>
      </c>
      <c r="I18" s="126" t="s">
        <v>3836</v>
      </c>
      <c r="J18" s="115"/>
      <c r="K18" s="127"/>
      <c r="L18" s="128"/>
      <c r="M18" s="128"/>
      <c r="N18" s="128"/>
      <c r="O18" s="128"/>
      <c r="P18" s="110"/>
      <c r="Q18" s="165" t="s">
        <v>3837</v>
      </c>
      <c r="R18" s="166" t="s">
        <v>3832</v>
      </c>
      <c r="S18" s="166">
        <v>12</v>
      </c>
      <c r="T18" s="166">
        <v>4</v>
      </c>
      <c r="U18" s="166">
        <v>0</v>
      </c>
      <c r="V18" s="166">
        <v>22</v>
      </c>
      <c r="W18" s="2757" t="s">
        <v>3838</v>
      </c>
      <c r="X18" s="167" t="s">
        <v>3764</v>
      </c>
      <c r="Y18" s="211" t="s">
        <v>3758</v>
      </c>
      <c r="Z18" s="226"/>
      <c r="AA18" s="213"/>
      <c r="AB18" s="216"/>
      <c r="AC18" s="216"/>
      <c r="AD18" s="216"/>
      <c r="AE18" s="216"/>
      <c r="AF18" s="210"/>
      <c r="AG18" s="287"/>
      <c r="AH18" s="287"/>
    </row>
    <row r="19" ht="14.25" customHeight="1" spans="2:34">
      <c r="B19" s="76" t="s">
        <v>3839</v>
      </c>
      <c r="C19" s="71">
        <v>1</v>
      </c>
      <c r="D19" s="71" t="s">
        <v>76</v>
      </c>
      <c r="E19" s="71" t="s">
        <v>76</v>
      </c>
      <c r="F19" s="71" t="s">
        <v>76</v>
      </c>
      <c r="G19" s="71" t="s">
        <v>2852</v>
      </c>
      <c r="H19" s="71" t="s">
        <v>3758</v>
      </c>
      <c r="I19" s="114" t="s">
        <v>3840</v>
      </c>
      <c r="J19" s="115"/>
      <c r="K19" s="127"/>
      <c r="L19" s="128"/>
      <c r="M19" s="128"/>
      <c r="N19" s="128"/>
      <c r="O19" s="128"/>
      <c r="P19" s="110"/>
      <c r="Q19" s="178" t="s">
        <v>3841</v>
      </c>
      <c r="R19" s="179" t="s">
        <v>3842</v>
      </c>
      <c r="S19" s="179">
        <v>14</v>
      </c>
      <c r="T19" s="179">
        <v>3</v>
      </c>
      <c r="U19" s="179">
        <v>0</v>
      </c>
      <c r="V19" s="179">
        <v>6</v>
      </c>
      <c r="W19" s="2764" t="s">
        <v>3772</v>
      </c>
      <c r="X19" s="180" t="s">
        <v>3764</v>
      </c>
      <c r="Y19" s="225" t="s">
        <v>3758</v>
      </c>
      <c r="Z19" s="226"/>
      <c r="AA19" s="213"/>
      <c r="AB19" s="216"/>
      <c r="AC19" s="216"/>
      <c r="AD19" s="216"/>
      <c r="AE19" s="216"/>
      <c r="AF19" s="210"/>
      <c r="AG19" s="287"/>
      <c r="AH19" s="287"/>
    </row>
    <row r="20" ht="14.25" customHeight="1" spans="2:34">
      <c r="B20" s="74" t="s">
        <v>3843</v>
      </c>
      <c r="C20" s="75">
        <v>20</v>
      </c>
      <c r="D20" s="75" t="s">
        <v>76</v>
      </c>
      <c r="E20" s="75" t="s">
        <v>76</v>
      </c>
      <c r="F20" s="75" t="s">
        <v>76</v>
      </c>
      <c r="G20" s="75" t="s">
        <v>2852</v>
      </c>
      <c r="H20" s="75" t="s">
        <v>3844</v>
      </c>
      <c r="I20" s="121" t="s">
        <v>3845</v>
      </c>
      <c r="J20" s="115"/>
      <c r="K20" s="127"/>
      <c r="L20" s="128"/>
      <c r="M20" s="128"/>
      <c r="N20" s="128"/>
      <c r="O20" s="128"/>
      <c r="P20" s="110"/>
      <c r="Q20" s="165" t="s">
        <v>3846</v>
      </c>
      <c r="R20" s="166" t="s">
        <v>3832</v>
      </c>
      <c r="S20" s="166">
        <v>11</v>
      </c>
      <c r="T20" s="166">
        <v>32</v>
      </c>
      <c r="U20" s="166" t="s">
        <v>3847</v>
      </c>
      <c r="V20" s="166" t="s">
        <v>3848</v>
      </c>
      <c r="W20" s="2757" t="s">
        <v>3772</v>
      </c>
      <c r="X20" s="167" t="s">
        <v>3849</v>
      </c>
      <c r="Y20" s="211" t="s">
        <v>3758</v>
      </c>
      <c r="Z20" s="226"/>
      <c r="AA20" s="213"/>
      <c r="AB20" s="216"/>
      <c r="AC20" s="216"/>
      <c r="AD20" s="216"/>
      <c r="AE20" s="216"/>
      <c r="AF20" s="210"/>
      <c r="AG20" s="287"/>
      <c r="AH20" s="287"/>
    </row>
    <row r="21" ht="14.25" customHeight="1" spans="2:34">
      <c r="B21" s="76" t="s">
        <v>3850</v>
      </c>
      <c r="C21" s="71">
        <v>40</v>
      </c>
      <c r="D21" s="71" t="s">
        <v>76</v>
      </c>
      <c r="E21" s="71" t="s">
        <v>76</v>
      </c>
      <c r="F21" s="71" t="s">
        <v>76</v>
      </c>
      <c r="G21" s="71" t="s">
        <v>3796</v>
      </c>
      <c r="H21" s="71" t="s">
        <v>12</v>
      </c>
      <c r="I21" s="114" t="s">
        <v>3851</v>
      </c>
      <c r="J21" s="115"/>
      <c r="K21" s="127"/>
      <c r="L21" s="128"/>
      <c r="M21" s="128"/>
      <c r="N21" s="128"/>
      <c r="O21" s="128"/>
      <c r="P21" s="110"/>
      <c r="Q21" s="181" t="s">
        <v>1348</v>
      </c>
      <c r="R21" s="179" t="s">
        <v>3852</v>
      </c>
      <c r="S21" s="179">
        <v>11</v>
      </c>
      <c r="T21" s="179">
        <v>65</v>
      </c>
      <c r="U21" s="179" t="s">
        <v>3847</v>
      </c>
      <c r="V21" s="179" t="s">
        <v>3853</v>
      </c>
      <c r="W21" s="2764" t="s">
        <v>3772</v>
      </c>
      <c r="X21" s="180" t="s">
        <v>3849</v>
      </c>
      <c r="Y21" s="225" t="s">
        <v>3758</v>
      </c>
      <c r="Z21" s="226"/>
      <c r="AA21" s="213"/>
      <c r="AB21" s="227" t="s">
        <v>3854</v>
      </c>
      <c r="AC21" s="228"/>
      <c r="AD21" s="228"/>
      <c r="AE21" s="229"/>
      <c r="AF21" s="210"/>
      <c r="AG21" s="287"/>
      <c r="AH21" s="287"/>
    </row>
    <row r="22" ht="14.25" customHeight="1" spans="2:34">
      <c r="B22" s="77" t="s">
        <v>3855</v>
      </c>
      <c r="C22" s="73">
        <v>15</v>
      </c>
      <c r="D22" s="73" t="s">
        <v>76</v>
      </c>
      <c r="E22" s="73" t="s">
        <v>76</v>
      </c>
      <c r="F22" s="73" t="s">
        <v>76</v>
      </c>
      <c r="G22" s="73" t="s">
        <v>2852</v>
      </c>
      <c r="H22" s="73" t="s">
        <v>3758</v>
      </c>
      <c r="I22" s="126" t="s">
        <v>3791</v>
      </c>
      <c r="J22" s="115"/>
      <c r="K22" s="127"/>
      <c r="L22" s="128"/>
      <c r="M22" s="128"/>
      <c r="N22" s="128"/>
      <c r="O22" s="128"/>
      <c r="P22" s="110"/>
      <c r="Q22" s="181" t="s">
        <v>3856</v>
      </c>
      <c r="R22" s="166" t="s">
        <v>3857</v>
      </c>
      <c r="S22" s="166">
        <v>11</v>
      </c>
      <c r="T22" s="166">
        <v>75</v>
      </c>
      <c r="U22" s="166" t="s">
        <v>3847</v>
      </c>
      <c r="V22" s="166" t="s">
        <v>3858</v>
      </c>
      <c r="W22" s="2757" t="s">
        <v>3772</v>
      </c>
      <c r="X22" s="167" t="s">
        <v>3859</v>
      </c>
      <c r="Y22" s="211" t="s">
        <v>3860</v>
      </c>
      <c r="Z22" s="226"/>
      <c r="AA22" s="213"/>
      <c r="AB22" s="230"/>
      <c r="AC22" s="231"/>
      <c r="AD22" s="231"/>
      <c r="AE22" s="232"/>
      <c r="AF22" s="210"/>
      <c r="AG22" s="287"/>
      <c r="AH22" s="287"/>
    </row>
    <row r="23" ht="14.25" customHeight="1" spans="2:34">
      <c r="B23" s="76" t="s">
        <v>3861</v>
      </c>
      <c r="C23" s="71">
        <v>4</v>
      </c>
      <c r="D23" s="71" t="s">
        <v>76</v>
      </c>
      <c r="E23" s="71" t="s">
        <v>3862</v>
      </c>
      <c r="F23" s="71" t="s">
        <v>76</v>
      </c>
      <c r="G23" s="71" t="s">
        <v>2852</v>
      </c>
      <c r="H23" s="71" t="s">
        <v>3758</v>
      </c>
      <c r="I23" s="114" t="s">
        <v>3863</v>
      </c>
      <c r="J23" s="115"/>
      <c r="K23" s="127"/>
      <c r="L23" s="128"/>
      <c r="M23" s="128"/>
      <c r="N23" s="128"/>
      <c r="O23" s="128"/>
      <c r="P23" s="110"/>
      <c r="Q23" s="181" t="s">
        <v>3864</v>
      </c>
      <c r="R23" s="179" t="s">
        <v>3857</v>
      </c>
      <c r="S23" s="179">
        <v>12</v>
      </c>
      <c r="T23" s="179">
        <v>24</v>
      </c>
      <c r="U23" s="179" t="s">
        <v>3847</v>
      </c>
      <c r="V23" s="179" t="s">
        <v>3865</v>
      </c>
      <c r="W23" s="2764" t="s">
        <v>3772</v>
      </c>
      <c r="X23" s="180" t="s">
        <v>3849</v>
      </c>
      <c r="Y23" s="225" t="s">
        <v>3758</v>
      </c>
      <c r="Z23" s="226"/>
      <c r="AA23" s="213"/>
      <c r="AB23" s="233"/>
      <c r="AC23" s="234"/>
      <c r="AD23" s="234"/>
      <c r="AE23" s="235"/>
      <c r="AF23" s="210"/>
      <c r="AG23" s="287"/>
      <c r="AH23" s="287"/>
    </row>
    <row r="24" ht="14.25" customHeight="1" spans="2:34">
      <c r="B24" s="77" t="s">
        <v>3866</v>
      </c>
      <c r="C24" s="73">
        <v>3</v>
      </c>
      <c r="D24" s="73" t="s">
        <v>76</v>
      </c>
      <c r="E24" s="73" t="s">
        <v>76</v>
      </c>
      <c r="F24" s="73" t="s">
        <v>76</v>
      </c>
      <c r="G24" s="73" t="s">
        <v>2852</v>
      </c>
      <c r="H24" s="73" t="s">
        <v>3758</v>
      </c>
      <c r="I24" s="2765" t="s">
        <v>3867</v>
      </c>
      <c r="J24" s="115"/>
      <c r="K24" s="127"/>
      <c r="L24" s="128"/>
      <c r="M24" s="128"/>
      <c r="N24" s="128"/>
      <c r="O24" s="128"/>
      <c r="P24" s="110"/>
      <c r="Q24" s="182" t="s">
        <v>3868</v>
      </c>
      <c r="R24" s="183" t="s">
        <v>109</v>
      </c>
      <c r="S24" s="183">
        <v>12</v>
      </c>
      <c r="T24" s="183">
        <v>6</v>
      </c>
      <c r="U24" s="183">
        <v>2</v>
      </c>
      <c r="V24" s="183">
        <v>80</v>
      </c>
      <c r="W24" s="2766" t="s">
        <v>3772</v>
      </c>
      <c r="X24" s="184" t="s">
        <v>3815</v>
      </c>
      <c r="Y24" s="236" t="s">
        <v>3758</v>
      </c>
      <c r="Z24" s="237" t="s">
        <v>3869</v>
      </c>
      <c r="AA24" s="238"/>
      <c r="AB24" s="238"/>
      <c r="AC24" s="238"/>
      <c r="AD24" s="238"/>
      <c r="AE24" s="238"/>
      <c r="AF24" s="239"/>
      <c r="AG24" s="287"/>
      <c r="AH24" s="287"/>
    </row>
    <row r="25" ht="14.25" customHeight="1" spans="2:34">
      <c r="B25" s="76" t="s">
        <v>3870</v>
      </c>
      <c r="C25" s="71">
        <v>3</v>
      </c>
      <c r="D25" s="71" t="s">
        <v>76</v>
      </c>
      <c r="E25" s="71" t="s">
        <v>76</v>
      </c>
      <c r="F25" s="71" t="s">
        <v>76</v>
      </c>
      <c r="G25" s="71" t="s">
        <v>2852</v>
      </c>
      <c r="H25" s="71" t="s">
        <v>3871</v>
      </c>
      <c r="I25" s="2767" t="s">
        <v>3872</v>
      </c>
      <c r="J25" s="115"/>
      <c r="K25" s="127"/>
      <c r="L25" s="128"/>
      <c r="M25" s="128"/>
      <c r="N25" s="128"/>
      <c r="O25" s="128"/>
      <c r="P25" s="110"/>
      <c r="Q25" s="185" t="s">
        <v>3873</v>
      </c>
      <c r="R25" s="186" t="s">
        <v>109</v>
      </c>
      <c r="S25" s="186">
        <v>12</v>
      </c>
      <c r="T25" s="186">
        <v>7</v>
      </c>
      <c r="U25" s="186">
        <v>2</v>
      </c>
      <c r="V25" s="186">
        <v>200</v>
      </c>
      <c r="W25" s="2768" t="s">
        <v>3772</v>
      </c>
      <c r="X25" s="187" t="s">
        <v>3815</v>
      </c>
      <c r="Y25" s="240" t="s">
        <v>3758</v>
      </c>
      <c r="Z25" s="241"/>
      <c r="AA25" s="238"/>
      <c r="AB25" s="238"/>
      <c r="AC25" s="242"/>
      <c r="AD25" s="242"/>
      <c r="AE25" s="242"/>
      <c r="AF25" s="239"/>
      <c r="AG25" s="287"/>
      <c r="AH25" s="287"/>
    </row>
    <row r="26" ht="14.25" customHeight="1" spans="2:34">
      <c r="B26" s="78" t="s">
        <v>3874</v>
      </c>
      <c r="C26" s="79">
        <v>2</v>
      </c>
      <c r="D26" s="79" t="s">
        <v>76</v>
      </c>
      <c r="E26" s="79" t="s">
        <v>76</v>
      </c>
      <c r="F26" s="79" t="s">
        <v>76</v>
      </c>
      <c r="G26" s="79" t="s">
        <v>210</v>
      </c>
      <c r="H26" s="79" t="s">
        <v>3758</v>
      </c>
      <c r="I26" s="129" t="s">
        <v>3770</v>
      </c>
      <c r="J26" s="115"/>
      <c r="K26" s="130"/>
      <c r="L26" s="131"/>
      <c r="M26" s="131"/>
      <c r="N26" s="131"/>
      <c r="O26" s="131"/>
      <c r="P26" s="110"/>
      <c r="Q26" s="182" t="s">
        <v>3875</v>
      </c>
      <c r="R26" s="183" t="s">
        <v>109</v>
      </c>
      <c r="S26" s="183">
        <v>12</v>
      </c>
      <c r="T26" s="183">
        <v>6</v>
      </c>
      <c r="U26" s="183">
        <v>2</v>
      </c>
      <c r="V26" s="183">
        <v>50</v>
      </c>
      <c r="W26" s="2766" t="s">
        <v>3772</v>
      </c>
      <c r="X26" s="184" t="s">
        <v>3764</v>
      </c>
      <c r="Y26" s="236" t="s">
        <v>3758</v>
      </c>
      <c r="Z26" s="241"/>
      <c r="AA26" s="238"/>
      <c r="AB26" s="238"/>
      <c r="AC26" s="243"/>
      <c r="AD26" s="243"/>
      <c r="AE26" s="243"/>
      <c r="AF26" s="210"/>
      <c r="AG26" s="287"/>
      <c r="AH26" s="287"/>
    </row>
    <row r="27" ht="14.25" customHeight="1" spans="2:34">
      <c r="B27" s="80" t="s">
        <v>3876</v>
      </c>
      <c r="C27" s="81">
        <v>1</v>
      </c>
      <c r="D27" s="81">
        <v>0</v>
      </c>
      <c r="E27" s="81" t="s">
        <v>217</v>
      </c>
      <c r="F27" s="82" t="s">
        <v>3768</v>
      </c>
      <c r="G27" s="81" t="s">
        <v>210</v>
      </c>
      <c r="H27" s="81" t="s">
        <v>3758</v>
      </c>
      <c r="I27" s="132" t="s">
        <v>3877</v>
      </c>
      <c r="J27" s="133" t="s">
        <v>217</v>
      </c>
      <c r="K27" s="134" t="s">
        <v>3878</v>
      </c>
      <c r="L27" s="135"/>
      <c r="M27" s="135"/>
      <c r="N27" s="135"/>
      <c r="O27" s="136"/>
      <c r="P27" s="110"/>
      <c r="Q27" s="185" t="s">
        <v>3879</v>
      </c>
      <c r="R27" s="186" t="s">
        <v>109</v>
      </c>
      <c r="S27" s="186">
        <v>14</v>
      </c>
      <c r="T27" s="186">
        <v>5</v>
      </c>
      <c r="U27" s="186">
        <v>2</v>
      </c>
      <c r="V27" s="186" t="s">
        <v>3880</v>
      </c>
      <c r="W27" s="2768" t="s">
        <v>3763</v>
      </c>
      <c r="X27" s="187" t="s">
        <v>3764</v>
      </c>
      <c r="Y27" s="240" t="s">
        <v>12</v>
      </c>
      <c r="Z27" s="241"/>
      <c r="AA27" s="238"/>
      <c r="AB27" s="238"/>
      <c r="AC27" s="243"/>
      <c r="AD27" s="243"/>
      <c r="AE27" s="243"/>
      <c r="AF27" s="210"/>
      <c r="AG27" s="287"/>
      <c r="AH27" s="287"/>
    </row>
    <row r="28" ht="14.25" customHeight="1" spans="2:34">
      <c r="B28" s="77" t="s">
        <v>3881</v>
      </c>
      <c r="C28" s="73">
        <v>1</v>
      </c>
      <c r="D28" s="73">
        <v>0</v>
      </c>
      <c r="E28" s="73" t="s">
        <v>220</v>
      </c>
      <c r="F28" s="83" t="s">
        <v>3768</v>
      </c>
      <c r="G28" s="73" t="s">
        <v>2852</v>
      </c>
      <c r="H28" s="73" t="s">
        <v>3882</v>
      </c>
      <c r="I28" s="126" t="s">
        <v>3770</v>
      </c>
      <c r="J28" s="133"/>
      <c r="K28" s="137"/>
      <c r="L28" s="138"/>
      <c r="M28" s="138"/>
      <c r="N28" s="138"/>
      <c r="O28" s="139"/>
      <c r="P28" s="110"/>
      <c r="Q28" s="182" t="s">
        <v>3883</v>
      </c>
      <c r="R28" s="183" t="s">
        <v>109</v>
      </c>
      <c r="S28" s="183">
        <v>11</v>
      </c>
      <c r="T28" s="183">
        <v>1</v>
      </c>
      <c r="U28" s="183">
        <v>0</v>
      </c>
      <c r="V28" s="183">
        <v>1</v>
      </c>
      <c r="W28" s="2766" t="s">
        <v>3772</v>
      </c>
      <c r="X28" s="184" t="s">
        <v>76</v>
      </c>
      <c r="Y28" s="236" t="s">
        <v>12</v>
      </c>
      <c r="Z28" s="241"/>
      <c r="AA28" s="242"/>
      <c r="AB28" s="242"/>
      <c r="AC28" s="243"/>
      <c r="AD28" s="243"/>
      <c r="AE28" s="243"/>
      <c r="AF28" s="210"/>
      <c r="AG28" s="287"/>
      <c r="AH28" s="287"/>
    </row>
    <row r="29" ht="14.25" customHeight="1" spans="2:34">
      <c r="B29" s="80" t="s">
        <v>3884</v>
      </c>
      <c r="C29" s="81">
        <v>1</v>
      </c>
      <c r="D29" s="81">
        <v>0</v>
      </c>
      <c r="E29" s="81" t="s">
        <v>3885</v>
      </c>
      <c r="F29" s="82" t="s">
        <v>3768</v>
      </c>
      <c r="G29" s="81" t="s">
        <v>2852</v>
      </c>
      <c r="H29" s="81" t="s">
        <v>3758</v>
      </c>
      <c r="I29" s="132" t="s">
        <v>3886</v>
      </c>
      <c r="J29" s="133"/>
      <c r="K29" s="140"/>
      <c r="L29" s="140"/>
      <c r="M29" s="140"/>
      <c r="N29" s="140"/>
      <c r="O29" s="141"/>
      <c r="P29" s="142"/>
      <c r="Q29" s="185" t="s">
        <v>3887</v>
      </c>
      <c r="R29" s="186" t="s">
        <v>109</v>
      </c>
      <c r="S29" s="186">
        <v>14</v>
      </c>
      <c r="T29" s="186">
        <v>4</v>
      </c>
      <c r="U29" s="186">
        <v>0</v>
      </c>
      <c r="V29" s="186">
        <v>2</v>
      </c>
      <c r="W29" s="2768" t="s">
        <v>3772</v>
      </c>
      <c r="X29" s="187" t="s">
        <v>3764</v>
      </c>
      <c r="Y29" s="240" t="s">
        <v>3758</v>
      </c>
      <c r="Z29" s="241"/>
      <c r="AA29" s="242"/>
      <c r="AB29" s="242"/>
      <c r="AC29" s="243"/>
      <c r="AD29" s="243"/>
      <c r="AE29" s="243"/>
      <c r="AF29" s="210"/>
      <c r="AG29" s="287"/>
      <c r="AH29" s="287"/>
    </row>
    <row r="30" ht="14.25" customHeight="1" spans="2:34">
      <c r="B30" s="77" t="s">
        <v>3888</v>
      </c>
      <c r="C30" s="73">
        <v>3</v>
      </c>
      <c r="D30" s="73">
        <v>0</v>
      </c>
      <c r="E30" s="73" t="s">
        <v>3889</v>
      </c>
      <c r="F30" s="83" t="s">
        <v>3768</v>
      </c>
      <c r="G30" s="73" t="s">
        <v>2852</v>
      </c>
      <c r="H30" s="73" t="s">
        <v>3758</v>
      </c>
      <c r="I30" s="126" t="s">
        <v>3890</v>
      </c>
      <c r="J30" s="133"/>
      <c r="K30" s="143" t="s">
        <v>3891</v>
      </c>
      <c r="L30" s="143"/>
      <c r="M30" s="143"/>
      <c r="N30" s="143"/>
      <c r="O30" s="144"/>
      <c r="P30" s="142"/>
      <c r="Q30" s="182" t="s">
        <v>3892</v>
      </c>
      <c r="R30" s="183" t="s">
        <v>109</v>
      </c>
      <c r="S30" s="183">
        <v>14</v>
      </c>
      <c r="T30" s="183">
        <v>6</v>
      </c>
      <c r="U30" s="183">
        <v>2</v>
      </c>
      <c r="V30" s="183">
        <v>5</v>
      </c>
      <c r="W30" s="2766" t="s">
        <v>3772</v>
      </c>
      <c r="X30" s="184" t="s">
        <v>3815</v>
      </c>
      <c r="Y30" s="236" t="s">
        <v>3758</v>
      </c>
      <c r="Z30" s="241"/>
      <c r="AA30" s="242"/>
      <c r="AB30" s="242"/>
      <c r="AC30" s="243"/>
      <c r="AD30" s="243"/>
      <c r="AE30" s="243"/>
      <c r="AF30" s="210"/>
      <c r="AG30" s="287"/>
      <c r="AH30" s="287"/>
    </row>
    <row r="31" ht="14.25" customHeight="1" spans="2:34">
      <c r="B31" s="84" t="s">
        <v>3893</v>
      </c>
      <c r="C31" s="85">
        <v>10</v>
      </c>
      <c r="D31" s="85">
        <v>0</v>
      </c>
      <c r="E31" s="85" t="s">
        <v>3894</v>
      </c>
      <c r="F31" s="86" t="s">
        <v>3768</v>
      </c>
      <c r="G31" s="85" t="s">
        <v>2852</v>
      </c>
      <c r="H31" s="85" t="s">
        <v>12</v>
      </c>
      <c r="I31" s="145">
        <v>15</v>
      </c>
      <c r="J31" s="133"/>
      <c r="K31" s="146"/>
      <c r="L31" s="147"/>
      <c r="M31" s="147"/>
      <c r="N31" s="147"/>
      <c r="O31" s="148"/>
      <c r="P31" s="142"/>
      <c r="Q31" s="185" t="s">
        <v>3895</v>
      </c>
      <c r="R31" s="186" t="s">
        <v>371</v>
      </c>
      <c r="S31" s="186" t="s">
        <v>3896</v>
      </c>
      <c r="T31" s="186">
        <v>-1</v>
      </c>
      <c r="U31" s="186">
        <v>0</v>
      </c>
      <c r="V31" s="186">
        <v>1</v>
      </c>
      <c r="W31" s="2768" t="s">
        <v>3772</v>
      </c>
      <c r="X31" s="187" t="s">
        <v>76</v>
      </c>
      <c r="Y31" s="240" t="s">
        <v>12</v>
      </c>
      <c r="Z31" s="241"/>
      <c r="AA31" s="242"/>
      <c r="AB31" s="242"/>
      <c r="AC31" s="243"/>
      <c r="AD31" s="243"/>
      <c r="AE31" s="243"/>
      <c r="AF31" s="210"/>
      <c r="AG31" s="286"/>
      <c r="AH31" s="286"/>
    </row>
    <row r="32" ht="14.25" customHeight="1" spans="2:34">
      <c r="B32" s="77" t="s">
        <v>3897</v>
      </c>
      <c r="C32" s="73" t="s">
        <v>3898</v>
      </c>
      <c r="D32" s="73">
        <v>0</v>
      </c>
      <c r="E32" s="73" t="s">
        <v>220</v>
      </c>
      <c r="F32" s="83" t="s">
        <v>3768</v>
      </c>
      <c r="G32" s="73" t="s">
        <v>2852</v>
      </c>
      <c r="H32" s="73" t="s">
        <v>3758</v>
      </c>
      <c r="I32" s="2765" t="s">
        <v>3899</v>
      </c>
      <c r="J32" s="133"/>
      <c r="K32" s="149"/>
      <c r="L32" s="149"/>
      <c r="M32" s="149"/>
      <c r="N32" s="149"/>
      <c r="O32" s="150"/>
      <c r="P32" s="142"/>
      <c r="Q32" s="182" t="s">
        <v>3900</v>
      </c>
      <c r="R32" s="183" t="s">
        <v>371</v>
      </c>
      <c r="S32" s="183" t="s">
        <v>3896</v>
      </c>
      <c r="T32" s="183">
        <v>-1</v>
      </c>
      <c r="U32" s="183">
        <v>0</v>
      </c>
      <c r="V32" s="183">
        <v>1</v>
      </c>
      <c r="W32" s="2766" t="s">
        <v>3772</v>
      </c>
      <c r="X32" s="184" t="s">
        <v>76</v>
      </c>
      <c r="Y32" s="236" t="s">
        <v>3758</v>
      </c>
      <c r="Z32" s="241"/>
      <c r="AA32" s="242"/>
      <c r="AB32" s="242"/>
      <c r="AC32" s="242"/>
      <c r="AD32" s="243"/>
      <c r="AE32" s="243"/>
      <c r="AF32" s="219"/>
      <c r="AG32" s="286"/>
      <c r="AH32" s="286"/>
    </row>
    <row r="33" ht="14.25" customHeight="1" spans="2:34">
      <c r="B33" s="80" t="s">
        <v>3901</v>
      </c>
      <c r="C33" s="81">
        <v>2</v>
      </c>
      <c r="D33" s="81">
        <v>0</v>
      </c>
      <c r="E33" s="81" t="s">
        <v>220</v>
      </c>
      <c r="F33" s="81" t="s">
        <v>3902</v>
      </c>
      <c r="G33" s="81" t="s">
        <v>210</v>
      </c>
      <c r="H33" s="81" t="s">
        <v>3758</v>
      </c>
      <c r="I33" s="132" t="s">
        <v>3903</v>
      </c>
      <c r="J33" s="133"/>
      <c r="K33" s="142"/>
      <c r="L33" s="142"/>
      <c r="M33" s="142"/>
      <c r="N33" s="142"/>
      <c r="O33" s="142"/>
      <c r="P33" s="142"/>
      <c r="Q33" s="185" t="s">
        <v>3904</v>
      </c>
      <c r="R33" s="186" t="s">
        <v>110</v>
      </c>
      <c r="S33" s="186">
        <v>8</v>
      </c>
      <c r="T33" s="186">
        <v>4</v>
      </c>
      <c r="U33" s="186">
        <v>0</v>
      </c>
      <c r="V33" s="186">
        <v>1</v>
      </c>
      <c r="W33" s="2768" t="s">
        <v>3772</v>
      </c>
      <c r="X33" s="187" t="s">
        <v>76</v>
      </c>
      <c r="Y33" s="240" t="s">
        <v>3758</v>
      </c>
      <c r="Z33" s="241"/>
      <c r="AA33" s="242"/>
      <c r="AB33" s="242"/>
      <c r="AC33" s="242"/>
      <c r="AD33" s="243"/>
      <c r="AE33" s="243"/>
      <c r="AF33" s="219"/>
      <c r="AG33" s="286"/>
      <c r="AH33" s="286"/>
    </row>
    <row r="34" ht="14.25" customHeight="1" spans="2:34">
      <c r="B34" s="77" t="s">
        <v>3905</v>
      </c>
      <c r="C34" s="73">
        <v>1</v>
      </c>
      <c r="D34" s="73">
        <v>0</v>
      </c>
      <c r="E34" s="73" t="s">
        <v>3906</v>
      </c>
      <c r="F34" s="83" t="s">
        <v>3768</v>
      </c>
      <c r="G34" s="73" t="s">
        <v>210</v>
      </c>
      <c r="H34" s="73" t="s">
        <v>3758</v>
      </c>
      <c r="I34" s="2765" t="s">
        <v>3899</v>
      </c>
      <c r="J34" s="133"/>
      <c r="K34" s="142"/>
      <c r="L34" s="142"/>
      <c r="M34" s="142"/>
      <c r="N34" s="142"/>
      <c r="O34" s="142"/>
      <c r="P34" s="142"/>
      <c r="Q34" s="182" t="s">
        <v>3907</v>
      </c>
      <c r="R34" s="183" t="s">
        <v>109</v>
      </c>
      <c r="S34" s="183">
        <v>10</v>
      </c>
      <c r="T34" s="183">
        <v>4</v>
      </c>
      <c r="U34" s="183">
        <v>0</v>
      </c>
      <c r="V34" s="183">
        <v>1</v>
      </c>
      <c r="W34" s="2766" t="s">
        <v>3772</v>
      </c>
      <c r="X34" s="184" t="s">
        <v>76</v>
      </c>
      <c r="Y34" s="236" t="s">
        <v>3758</v>
      </c>
      <c r="Z34" s="241"/>
      <c r="AA34" s="242"/>
      <c r="AB34" s="242"/>
      <c r="AC34" s="242"/>
      <c r="AD34" s="243"/>
      <c r="AE34" s="243"/>
      <c r="AF34" s="210"/>
      <c r="AG34" s="286"/>
      <c r="AH34" s="286"/>
    </row>
    <row r="35" ht="14.25" customHeight="1" spans="2:34">
      <c r="B35" s="80" t="s">
        <v>3908</v>
      </c>
      <c r="C35" s="81" t="s">
        <v>3898</v>
      </c>
      <c r="D35" s="81">
        <v>0</v>
      </c>
      <c r="E35" s="81" t="s">
        <v>217</v>
      </c>
      <c r="F35" s="82" t="s">
        <v>3768</v>
      </c>
      <c r="G35" s="81" t="s">
        <v>2852</v>
      </c>
      <c r="H35" s="81" t="s">
        <v>3758</v>
      </c>
      <c r="I35" s="132" t="s">
        <v>3909</v>
      </c>
      <c r="J35" s="133"/>
      <c r="K35" s="142"/>
      <c r="L35" s="142"/>
      <c r="M35" s="142"/>
      <c r="N35" s="142"/>
      <c r="O35" s="142"/>
      <c r="P35" s="142"/>
      <c r="Q35" s="185" t="s">
        <v>3910</v>
      </c>
      <c r="R35" s="186" t="s">
        <v>3911</v>
      </c>
      <c r="S35" s="186">
        <v>10</v>
      </c>
      <c r="T35" s="186">
        <v>4</v>
      </c>
      <c r="U35" s="186">
        <v>0</v>
      </c>
      <c r="V35" s="186">
        <v>1</v>
      </c>
      <c r="W35" s="2768" t="s">
        <v>3772</v>
      </c>
      <c r="X35" s="187" t="s">
        <v>76</v>
      </c>
      <c r="Y35" s="240" t="s">
        <v>3758</v>
      </c>
      <c r="Z35" s="241"/>
      <c r="AA35" s="242"/>
      <c r="AB35" s="242"/>
      <c r="AC35" s="242"/>
      <c r="AD35" s="243"/>
      <c r="AE35" s="243"/>
      <c r="AF35" s="210"/>
      <c r="AG35" s="286"/>
      <c r="AH35" s="286"/>
    </row>
    <row r="36" ht="14.25" customHeight="1" spans="2:34">
      <c r="B36" s="77" t="s">
        <v>3912</v>
      </c>
      <c r="C36" s="73">
        <v>3</v>
      </c>
      <c r="D36" s="73">
        <v>0</v>
      </c>
      <c r="E36" s="73" t="s">
        <v>3913</v>
      </c>
      <c r="F36" s="83" t="s">
        <v>3768</v>
      </c>
      <c r="G36" s="73" t="s">
        <v>2852</v>
      </c>
      <c r="H36" s="73" t="s">
        <v>3914</v>
      </c>
      <c r="I36" s="126" t="s">
        <v>3770</v>
      </c>
      <c r="J36" s="133"/>
      <c r="K36" s="142"/>
      <c r="L36" s="151" t="s">
        <v>3915</v>
      </c>
      <c r="M36" s="151"/>
      <c r="N36" s="151"/>
      <c r="O36" s="151"/>
      <c r="P36" s="110"/>
      <c r="Q36" s="182" t="s">
        <v>3916</v>
      </c>
      <c r="R36" s="183" t="s">
        <v>3917</v>
      </c>
      <c r="S36" s="183">
        <v>9</v>
      </c>
      <c r="T36" s="183">
        <v>3</v>
      </c>
      <c r="U36" s="183">
        <v>0</v>
      </c>
      <c r="V36" s="183">
        <v>2</v>
      </c>
      <c r="W36" s="2766" t="s">
        <v>3772</v>
      </c>
      <c r="X36" s="184" t="s">
        <v>3764</v>
      </c>
      <c r="Y36" s="236" t="s">
        <v>3758</v>
      </c>
      <c r="Z36" s="241"/>
      <c r="AA36" s="242"/>
      <c r="AB36" s="242"/>
      <c r="AC36" s="242"/>
      <c r="AD36" s="243"/>
      <c r="AE36" s="243"/>
      <c r="AF36" s="210"/>
      <c r="AG36" s="286"/>
      <c r="AH36" s="286"/>
    </row>
    <row r="37" ht="14.25" customHeight="1" spans="2:34">
      <c r="B37" s="80" t="s">
        <v>3918</v>
      </c>
      <c r="C37" s="81">
        <v>3</v>
      </c>
      <c r="D37" s="81">
        <v>0</v>
      </c>
      <c r="E37" s="81" t="s">
        <v>3919</v>
      </c>
      <c r="F37" s="82" t="s">
        <v>3768</v>
      </c>
      <c r="G37" s="81" t="s">
        <v>2852</v>
      </c>
      <c r="H37" s="81" t="s">
        <v>3914</v>
      </c>
      <c r="I37" s="132" t="s">
        <v>3770</v>
      </c>
      <c r="J37" s="133"/>
      <c r="K37" s="142"/>
      <c r="L37" s="151"/>
      <c r="M37" s="151"/>
      <c r="N37" s="151"/>
      <c r="O37" s="151"/>
      <c r="P37" s="110"/>
      <c r="Q37" s="188" t="s">
        <v>3920</v>
      </c>
      <c r="R37" s="189" t="s">
        <v>3801</v>
      </c>
      <c r="S37" s="189">
        <v>19</v>
      </c>
      <c r="T37" s="189">
        <v>65</v>
      </c>
      <c r="U37" s="189">
        <v>10</v>
      </c>
      <c r="V37" s="189">
        <v>300</v>
      </c>
      <c r="W37" s="2769" t="s">
        <v>3772</v>
      </c>
      <c r="X37" s="190" t="s">
        <v>3815</v>
      </c>
      <c r="Y37" s="244" t="s">
        <v>3758</v>
      </c>
      <c r="Z37" s="245" t="s">
        <v>3921</v>
      </c>
      <c r="AA37" s="243"/>
      <c r="AB37" s="243"/>
      <c r="AC37" s="243"/>
      <c r="AD37" s="243"/>
      <c r="AE37" s="243"/>
      <c r="AF37" s="210"/>
      <c r="AG37" s="286"/>
      <c r="AH37" s="286"/>
    </row>
    <row r="38" ht="14.25" customHeight="1" spans="2:34">
      <c r="B38" s="77" t="s">
        <v>3922</v>
      </c>
      <c r="C38" s="73">
        <v>2</v>
      </c>
      <c r="D38" s="73">
        <v>0</v>
      </c>
      <c r="E38" s="73" t="s">
        <v>217</v>
      </c>
      <c r="F38" s="83" t="s">
        <v>3768</v>
      </c>
      <c r="G38" s="73" t="s">
        <v>2852</v>
      </c>
      <c r="H38" s="73" t="s">
        <v>3914</v>
      </c>
      <c r="I38" s="126" t="s">
        <v>3770</v>
      </c>
      <c r="J38" s="133"/>
      <c r="K38" s="142"/>
      <c r="L38" s="151"/>
      <c r="M38" s="151"/>
      <c r="N38" s="151"/>
      <c r="O38" s="151"/>
      <c r="P38" s="110"/>
      <c r="Q38" s="185" t="s">
        <v>1334</v>
      </c>
      <c r="R38" s="186" t="s">
        <v>3923</v>
      </c>
      <c r="S38" s="186">
        <v>20</v>
      </c>
      <c r="T38" s="186">
        <v>45</v>
      </c>
      <c r="U38" s="186">
        <v>15</v>
      </c>
      <c r="V38" s="186">
        <v>1</v>
      </c>
      <c r="W38" s="2768" t="s">
        <v>3763</v>
      </c>
      <c r="X38" s="191" t="s">
        <v>3924</v>
      </c>
      <c r="Y38" s="240" t="s">
        <v>3758</v>
      </c>
      <c r="Z38" s="245"/>
      <c r="AA38" s="243"/>
      <c r="AB38" s="243"/>
      <c r="AC38" s="243"/>
      <c r="AD38" s="243"/>
      <c r="AE38" s="243"/>
      <c r="AF38" s="210"/>
      <c r="AG38" s="286"/>
      <c r="AH38" s="286"/>
    </row>
    <row r="39" ht="14.25" customHeight="1" spans="2:34">
      <c r="B39" s="80" t="s">
        <v>3925</v>
      </c>
      <c r="C39" s="81">
        <v>4</v>
      </c>
      <c r="D39" s="81">
        <v>0</v>
      </c>
      <c r="E39" s="81" t="s">
        <v>3885</v>
      </c>
      <c r="F39" s="82" t="s">
        <v>3768</v>
      </c>
      <c r="G39" s="87" t="s">
        <v>2852</v>
      </c>
      <c r="H39" s="81" t="s">
        <v>3926</v>
      </c>
      <c r="I39" s="132" t="s">
        <v>3770</v>
      </c>
      <c r="J39" s="133"/>
      <c r="K39" s="142"/>
      <c r="L39" s="151"/>
      <c r="M39" s="151"/>
      <c r="N39" s="151"/>
      <c r="O39" s="151"/>
      <c r="P39" s="110"/>
      <c r="Q39" s="188" t="s">
        <v>3927</v>
      </c>
      <c r="R39" s="189" t="s">
        <v>3923</v>
      </c>
      <c r="S39" s="189">
        <v>19</v>
      </c>
      <c r="T39" s="189">
        <v>53</v>
      </c>
      <c r="U39" s="189">
        <v>20</v>
      </c>
      <c r="V39" s="189">
        <v>2</v>
      </c>
      <c r="W39" s="2769" t="s">
        <v>3763</v>
      </c>
      <c r="X39" s="190" t="s">
        <v>3924</v>
      </c>
      <c r="Y39" s="244" t="s">
        <v>3758</v>
      </c>
      <c r="Z39" s="245"/>
      <c r="AA39" s="246" t="s">
        <v>3928</v>
      </c>
      <c r="AB39" s="247"/>
      <c r="AC39" s="247"/>
      <c r="AD39" s="247"/>
      <c r="AE39" s="248"/>
      <c r="AF39" s="210"/>
      <c r="AG39" s="286"/>
      <c r="AH39" s="286"/>
    </row>
    <row r="40" ht="14.25" customHeight="1" spans="2:34">
      <c r="B40" s="88" t="s">
        <v>3929</v>
      </c>
      <c r="C40" s="89">
        <v>4</v>
      </c>
      <c r="D40" s="89">
        <v>0</v>
      </c>
      <c r="E40" s="89" t="s">
        <v>3885</v>
      </c>
      <c r="F40" s="90" t="s">
        <v>3768</v>
      </c>
      <c r="G40" s="91" t="s">
        <v>2852</v>
      </c>
      <c r="H40" s="89" t="s">
        <v>3930</v>
      </c>
      <c r="I40" s="152" t="s">
        <v>3770</v>
      </c>
      <c r="J40" s="133"/>
      <c r="K40" s="142"/>
      <c r="L40" s="151"/>
      <c r="M40" s="151"/>
      <c r="N40" s="151"/>
      <c r="O40" s="151"/>
      <c r="P40" s="110"/>
      <c r="Q40" s="185" t="s">
        <v>3931</v>
      </c>
      <c r="R40" s="186" t="s">
        <v>3801</v>
      </c>
      <c r="S40" s="186">
        <v>18</v>
      </c>
      <c r="T40" s="186">
        <v>35</v>
      </c>
      <c r="U40" s="186">
        <v>7</v>
      </c>
      <c r="V40" s="186" t="s">
        <v>3932</v>
      </c>
      <c r="W40" s="2768" t="s">
        <v>3772</v>
      </c>
      <c r="X40" s="191" t="s">
        <v>3815</v>
      </c>
      <c r="Y40" s="240" t="s">
        <v>12</v>
      </c>
      <c r="Z40" s="245"/>
      <c r="AA40" s="249"/>
      <c r="AB40" s="250"/>
      <c r="AC40" s="250"/>
      <c r="AD40" s="250"/>
      <c r="AE40" s="251"/>
      <c r="AF40" s="210"/>
      <c r="AG40" s="287"/>
      <c r="AH40" s="287"/>
    </row>
    <row r="41" ht="14.25" customHeight="1" spans="2:34">
      <c r="B41" s="80" t="s">
        <v>3933</v>
      </c>
      <c r="C41" s="87">
        <v>1</v>
      </c>
      <c r="D41" s="81">
        <v>0</v>
      </c>
      <c r="E41" s="81" t="s">
        <v>3906</v>
      </c>
      <c r="F41" s="82" t="s">
        <v>3768</v>
      </c>
      <c r="G41" s="87" t="s">
        <v>210</v>
      </c>
      <c r="H41" s="81" t="s">
        <v>3934</v>
      </c>
      <c r="I41" s="132" t="s">
        <v>3935</v>
      </c>
      <c r="J41" s="133"/>
      <c r="K41" s="142"/>
      <c r="L41" s="151"/>
      <c r="M41" s="151"/>
      <c r="N41" s="151"/>
      <c r="O41" s="151"/>
      <c r="P41" s="110"/>
      <c r="Q41" s="188" t="s">
        <v>3936</v>
      </c>
      <c r="R41" s="189" t="s">
        <v>3801</v>
      </c>
      <c r="S41" s="189">
        <v>18</v>
      </c>
      <c r="T41" s="189">
        <v>60</v>
      </c>
      <c r="U41" s="189">
        <v>15</v>
      </c>
      <c r="V41" s="189">
        <v>2</v>
      </c>
      <c r="W41" s="2769" t="s">
        <v>3763</v>
      </c>
      <c r="X41" s="190" t="s">
        <v>3924</v>
      </c>
      <c r="Y41" s="244" t="s">
        <v>3758</v>
      </c>
      <c r="Z41" s="245"/>
      <c r="AA41" s="252"/>
      <c r="AB41" s="253"/>
      <c r="AC41" s="253"/>
      <c r="AD41" s="253"/>
      <c r="AE41" s="254"/>
      <c r="AF41" s="210"/>
      <c r="AG41" s="287"/>
      <c r="AH41" s="287"/>
    </row>
    <row r="42" ht="14.25" customHeight="1" spans="2:34">
      <c r="B42" s="92" t="s">
        <v>3937</v>
      </c>
      <c r="C42" s="93">
        <v>2</v>
      </c>
      <c r="D42" s="94">
        <v>0</v>
      </c>
      <c r="E42" s="94" t="s">
        <v>3938</v>
      </c>
      <c r="F42" s="94" t="s">
        <v>3757</v>
      </c>
      <c r="G42" s="93" t="s">
        <v>210</v>
      </c>
      <c r="H42" s="94" t="s">
        <v>3758</v>
      </c>
      <c r="I42" s="153" t="s">
        <v>3939</v>
      </c>
      <c r="J42" s="154" t="s">
        <v>3940</v>
      </c>
      <c r="K42" s="142"/>
      <c r="L42" s="151"/>
      <c r="M42" s="151"/>
      <c r="N42" s="151"/>
      <c r="O42" s="151"/>
      <c r="P42" s="110"/>
      <c r="Q42" s="185" t="s">
        <v>3941</v>
      </c>
      <c r="R42" s="186" t="s">
        <v>3801</v>
      </c>
      <c r="S42" s="186">
        <v>16</v>
      </c>
      <c r="T42" s="186">
        <v>64</v>
      </c>
      <c r="U42" s="186">
        <v>10</v>
      </c>
      <c r="V42" s="186">
        <v>2</v>
      </c>
      <c r="W42" s="2768" t="s">
        <v>3772</v>
      </c>
      <c r="X42" s="191" t="s">
        <v>3815</v>
      </c>
      <c r="Y42" s="240" t="s">
        <v>3758</v>
      </c>
      <c r="Z42" s="245"/>
      <c r="AA42" s="255" t="s">
        <v>3942</v>
      </c>
      <c r="AB42" s="256"/>
      <c r="AC42" s="256"/>
      <c r="AD42" s="256"/>
      <c r="AE42" s="257"/>
      <c r="AF42" s="210"/>
      <c r="AG42" s="287"/>
      <c r="AH42" s="287"/>
    </row>
    <row r="43" ht="14.25" customHeight="1" spans="2:34">
      <c r="B43" s="77" t="s">
        <v>3943</v>
      </c>
      <c r="C43" s="75">
        <v>2</v>
      </c>
      <c r="D43" s="73">
        <v>0</v>
      </c>
      <c r="E43" s="73" t="s">
        <v>3944</v>
      </c>
      <c r="F43" s="73" t="s">
        <v>3757</v>
      </c>
      <c r="G43" s="75" t="s">
        <v>210</v>
      </c>
      <c r="H43" s="73" t="s">
        <v>12</v>
      </c>
      <c r="I43" s="126">
        <v>160</v>
      </c>
      <c r="J43" s="154"/>
      <c r="K43" s="142"/>
      <c r="L43" s="151"/>
      <c r="M43" s="151"/>
      <c r="N43" s="151"/>
      <c r="O43" s="151"/>
      <c r="P43" s="110"/>
      <c r="Q43" s="188" t="s">
        <v>3945</v>
      </c>
      <c r="R43" s="189" t="s">
        <v>3923</v>
      </c>
      <c r="S43" s="189" t="s">
        <v>3946</v>
      </c>
      <c r="T43" s="189">
        <v>35</v>
      </c>
      <c r="U43" s="189">
        <v>20</v>
      </c>
      <c r="V43" s="189">
        <v>1</v>
      </c>
      <c r="W43" s="2769" t="s">
        <v>3763</v>
      </c>
      <c r="X43" s="190" t="s">
        <v>76</v>
      </c>
      <c r="Y43" s="244" t="s">
        <v>12</v>
      </c>
      <c r="Z43" s="245"/>
      <c r="AA43" s="258"/>
      <c r="AB43" s="259"/>
      <c r="AC43" s="259"/>
      <c r="AD43" s="259"/>
      <c r="AE43" s="260"/>
      <c r="AF43" s="210"/>
      <c r="AG43" s="287"/>
      <c r="AH43" s="287"/>
    </row>
    <row r="44" ht="14.25" customHeight="1" spans="2:34">
      <c r="B44" s="92" t="s">
        <v>3947</v>
      </c>
      <c r="C44" s="93">
        <v>2</v>
      </c>
      <c r="D44" s="94">
        <v>0</v>
      </c>
      <c r="E44" s="94" t="s">
        <v>3948</v>
      </c>
      <c r="F44" s="94" t="s">
        <v>3949</v>
      </c>
      <c r="G44" s="93" t="s">
        <v>2852</v>
      </c>
      <c r="H44" s="94" t="s">
        <v>3758</v>
      </c>
      <c r="I44" s="2770" t="s">
        <v>3950</v>
      </c>
      <c r="J44" s="154"/>
      <c r="K44" s="142"/>
      <c r="L44" s="151"/>
      <c r="M44" s="151"/>
      <c r="N44" s="151"/>
      <c r="O44" s="151"/>
      <c r="P44" s="110"/>
      <c r="Q44" s="185" t="s">
        <v>1333</v>
      </c>
      <c r="R44" s="187" t="s">
        <v>3801</v>
      </c>
      <c r="S44" s="186">
        <v>15</v>
      </c>
      <c r="T44" s="187">
        <v>20</v>
      </c>
      <c r="U44" s="187">
        <v>4</v>
      </c>
      <c r="V44" s="187">
        <v>8</v>
      </c>
      <c r="W44" s="2771" t="s">
        <v>3772</v>
      </c>
      <c r="X44" s="187" t="s">
        <v>3764</v>
      </c>
      <c r="Y44" s="261" t="s">
        <v>12</v>
      </c>
      <c r="Z44" s="245"/>
      <c r="AA44" s="258"/>
      <c r="AB44" s="259"/>
      <c r="AC44" s="259"/>
      <c r="AD44" s="259"/>
      <c r="AE44" s="260"/>
      <c r="AF44" s="210"/>
      <c r="AG44" s="287"/>
      <c r="AH44" s="287"/>
    </row>
    <row r="45" ht="14.25" customHeight="1" spans="2:34">
      <c r="B45" s="77" t="s">
        <v>3951</v>
      </c>
      <c r="C45" s="75">
        <v>3</v>
      </c>
      <c r="D45" s="73">
        <v>0</v>
      </c>
      <c r="E45" s="73" t="s">
        <v>3952</v>
      </c>
      <c r="F45" s="73" t="s">
        <v>3757</v>
      </c>
      <c r="G45" s="75" t="s">
        <v>2852</v>
      </c>
      <c r="H45" s="73" t="s">
        <v>12</v>
      </c>
      <c r="I45" s="126">
        <v>35</v>
      </c>
      <c r="J45" s="154"/>
      <c r="K45" s="142"/>
      <c r="L45" s="151"/>
      <c r="M45" s="151"/>
      <c r="N45" s="151"/>
      <c r="O45" s="151"/>
      <c r="P45" s="110"/>
      <c r="Q45" s="192" t="s">
        <v>3953</v>
      </c>
      <c r="R45" s="193" t="s">
        <v>373</v>
      </c>
      <c r="S45" s="194">
        <v>14</v>
      </c>
      <c r="T45" s="195">
        <v>-2</v>
      </c>
      <c r="U45" s="195">
        <v>0</v>
      </c>
      <c r="V45" s="195" t="s">
        <v>76</v>
      </c>
      <c r="W45" s="195" t="s">
        <v>76</v>
      </c>
      <c r="X45" s="194" t="s">
        <v>76</v>
      </c>
      <c r="Y45" s="262" t="s">
        <v>12</v>
      </c>
      <c r="Z45" s="245"/>
      <c r="AA45" s="263"/>
      <c r="AB45" s="264"/>
      <c r="AC45" s="264"/>
      <c r="AD45" s="264"/>
      <c r="AE45" s="265"/>
      <c r="AF45" s="210"/>
      <c r="AG45" s="287"/>
      <c r="AH45" s="287"/>
    </row>
    <row r="46" ht="14.25" customHeight="1" spans="2:34">
      <c r="B46" s="92" t="s">
        <v>3954</v>
      </c>
      <c r="C46" s="93">
        <v>4</v>
      </c>
      <c r="D46" s="94">
        <v>1</v>
      </c>
      <c r="E46" s="94" t="s">
        <v>3955</v>
      </c>
      <c r="F46" s="94" t="s">
        <v>3757</v>
      </c>
      <c r="G46" s="93" t="s">
        <v>2852</v>
      </c>
      <c r="H46" s="94" t="s">
        <v>3914</v>
      </c>
      <c r="I46" s="153" t="s">
        <v>3770</v>
      </c>
      <c r="J46" s="154"/>
      <c r="K46" s="142"/>
      <c r="L46" s="156"/>
      <c r="M46" s="156"/>
      <c r="N46" s="156"/>
      <c r="O46" s="156"/>
      <c r="P46" s="110"/>
      <c r="Q46" s="196" t="s">
        <v>1324</v>
      </c>
      <c r="R46" s="197" t="s">
        <v>3801</v>
      </c>
      <c r="S46" s="197">
        <v>18</v>
      </c>
      <c r="T46" s="197">
        <v>6</v>
      </c>
      <c r="U46" s="197">
        <v>0</v>
      </c>
      <c r="V46" s="197">
        <v>9</v>
      </c>
      <c r="W46" s="2772" t="s">
        <v>3772</v>
      </c>
      <c r="X46" s="198" t="s">
        <v>3764</v>
      </c>
      <c r="Y46" s="266" t="s">
        <v>3758</v>
      </c>
      <c r="Z46" s="245"/>
      <c r="AA46" s="267"/>
      <c r="AB46" s="242"/>
      <c r="AC46" s="242"/>
      <c r="AD46" s="242"/>
      <c r="AE46" s="242"/>
      <c r="AF46" s="210"/>
      <c r="AG46" s="287"/>
      <c r="AH46" s="287"/>
    </row>
    <row r="47" ht="14.25" customHeight="1" spans="2:34">
      <c r="B47" s="77" t="s">
        <v>3956</v>
      </c>
      <c r="C47" s="75">
        <v>4</v>
      </c>
      <c r="D47" s="73">
        <v>1</v>
      </c>
      <c r="E47" s="73" t="s">
        <v>3955</v>
      </c>
      <c r="F47" s="73" t="s">
        <v>3757</v>
      </c>
      <c r="G47" s="75" t="s">
        <v>2852</v>
      </c>
      <c r="H47" s="73" t="s">
        <v>3914</v>
      </c>
      <c r="I47" s="126" t="s">
        <v>3770</v>
      </c>
      <c r="J47" s="154"/>
      <c r="K47" s="142"/>
      <c r="L47" s="156"/>
      <c r="M47" s="156"/>
      <c r="N47" s="156"/>
      <c r="O47" s="156"/>
      <c r="P47" s="110"/>
      <c r="Q47" s="185" t="s">
        <v>3957</v>
      </c>
      <c r="R47" s="186" t="s">
        <v>3801</v>
      </c>
      <c r="S47" s="186">
        <v>12</v>
      </c>
      <c r="T47" s="186">
        <v>20</v>
      </c>
      <c r="U47" s="186">
        <v>2</v>
      </c>
      <c r="V47" s="186" t="s">
        <v>3958</v>
      </c>
      <c r="W47" s="2768" t="s">
        <v>3763</v>
      </c>
      <c r="X47" s="191" t="s">
        <v>3924</v>
      </c>
      <c r="Y47" s="240" t="s">
        <v>3769</v>
      </c>
      <c r="Z47" s="245"/>
      <c r="AA47" s="267"/>
      <c r="AB47" s="242"/>
      <c r="AC47" s="242"/>
      <c r="AD47" s="242"/>
      <c r="AE47" s="242"/>
      <c r="AF47" s="210"/>
      <c r="AG47" s="287"/>
      <c r="AH47" s="287"/>
    </row>
    <row r="48" ht="14.25" customHeight="1" spans="2:34">
      <c r="B48" s="92" t="s">
        <v>3959</v>
      </c>
      <c r="C48" s="93">
        <v>4</v>
      </c>
      <c r="D48" s="94">
        <v>1</v>
      </c>
      <c r="E48" s="94" t="s">
        <v>3955</v>
      </c>
      <c r="F48" s="94" t="s">
        <v>3757</v>
      </c>
      <c r="G48" s="93" t="s">
        <v>2852</v>
      </c>
      <c r="H48" s="94" t="s">
        <v>3914</v>
      </c>
      <c r="I48" s="153" t="s">
        <v>3770</v>
      </c>
      <c r="J48" s="154"/>
      <c r="K48" s="142"/>
      <c r="L48" s="156"/>
      <c r="M48" s="156"/>
      <c r="N48" s="156"/>
      <c r="O48" s="156"/>
      <c r="P48" s="110"/>
      <c r="Q48" s="188" t="s">
        <v>1325</v>
      </c>
      <c r="R48" s="189" t="s">
        <v>3923</v>
      </c>
      <c r="S48" s="189">
        <v>12</v>
      </c>
      <c r="T48" s="189">
        <v>3</v>
      </c>
      <c r="U48" s="189">
        <v>0</v>
      </c>
      <c r="V48" s="189" t="s">
        <v>3958</v>
      </c>
      <c r="W48" s="2769" t="s">
        <v>3763</v>
      </c>
      <c r="X48" s="190" t="s">
        <v>3924</v>
      </c>
      <c r="Y48" s="244" t="s">
        <v>3758</v>
      </c>
      <c r="Z48" s="245"/>
      <c r="AA48" s="267"/>
      <c r="AB48" s="242"/>
      <c r="AC48" s="242"/>
      <c r="AD48" s="242"/>
      <c r="AE48" s="242"/>
      <c r="AF48" s="210"/>
      <c r="AG48" s="287"/>
      <c r="AH48" s="287"/>
    </row>
    <row r="49" ht="14.25" customHeight="1" spans="2:34">
      <c r="B49" s="77" t="s">
        <v>3960</v>
      </c>
      <c r="C49" s="75">
        <v>5</v>
      </c>
      <c r="D49" s="73">
        <v>1</v>
      </c>
      <c r="E49" s="73" t="s">
        <v>3961</v>
      </c>
      <c r="F49" s="73" t="s">
        <v>3757</v>
      </c>
      <c r="G49" s="75" t="s">
        <v>2852</v>
      </c>
      <c r="H49" s="73" t="s">
        <v>3914</v>
      </c>
      <c r="I49" s="126" t="s">
        <v>3770</v>
      </c>
      <c r="J49" s="154"/>
      <c r="K49" s="142"/>
      <c r="L49" s="156"/>
      <c r="M49" s="156"/>
      <c r="N49" s="156"/>
      <c r="O49" s="156"/>
      <c r="P49" s="110"/>
      <c r="Q49" s="199" t="s">
        <v>3962</v>
      </c>
      <c r="R49" s="200" t="s">
        <v>3832</v>
      </c>
      <c r="S49" s="200">
        <v>9</v>
      </c>
      <c r="T49" s="200">
        <v>3</v>
      </c>
      <c r="U49" s="200">
        <v>0</v>
      </c>
      <c r="V49" s="200" t="s">
        <v>3958</v>
      </c>
      <c r="W49" s="2773" t="s">
        <v>3763</v>
      </c>
      <c r="X49" s="2774" t="s">
        <v>3763</v>
      </c>
      <c r="Y49" s="268" t="s">
        <v>3914</v>
      </c>
      <c r="Z49" s="269" t="s">
        <v>3963</v>
      </c>
      <c r="AA49" s="270"/>
      <c r="AB49" s="243"/>
      <c r="AC49" s="243"/>
      <c r="AD49" s="243"/>
      <c r="AE49" s="243"/>
      <c r="AF49" s="210"/>
      <c r="AG49" s="287"/>
      <c r="AH49" s="287"/>
    </row>
    <row r="50" ht="14.25" customHeight="1" spans="2:34">
      <c r="B50" s="92" t="s">
        <v>3964</v>
      </c>
      <c r="C50" s="93">
        <v>4</v>
      </c>
      <c r="D50" s="94">
        <v>0</v>
      </c>
      <c r="E50" s="94" t="s">
        <v>3955</v>
      </c>
      <c r="F50" s="94" t="s">
        <v>3757</v>
      </c>
      <c r="G50" s="93" t="s">
        <v>2852</v>
      </c>
      <c r="H50" s="94" t="s">
        <v>3914</v>
      </c>
      <c r="I50" s="153" t="s">
        <v>3770</v>
      </c>
      <c r="J50" s="154"/>
      <c r="K50" s="142"/>
      <c r="L50" s="156"/>
      <c r="M50" s="156"/>
      <c r="N50" s="156"/>
      <c r="O50" s="156"/>
      <c r="P50" s="110"/>
      <c r="Q50" s="185" t="s">
        <v>3965</v>
      </c>
      <c r="R50" s="186" t="s">
        <v>3832</v>
      </c>
      <c r="S50" s="186">
        <v>9</v>
      </c>
      <c r="T50" s="186">
        <v>3</v>
      </c>
      <c r="U50" s="186">
        <v>0</v>
      </c>
      <c r="V50" s="186" t="s">
        <v>3966</v>
      </c>
      <c r="W50" s="2768" t="s">
        <v>3838</v>
      </c>
      <c r="X50" s="187" t="s">
        <v>3815</v>
      </c>
      <c r="Y50" s="240" t="s">
        <v>3914</v>
      </c>
      <c r="Z50" s="269"/>
      <c r="AA50" s="243"/>
      <c r="AB50" s="243"/>
      <c r="AC50" s="243"/>
      <c r="AD50" s="243"/>
      <c r="AE50" s="243"/>
      <c r="AF50" s="210"/>
      <c r="AG50" s="287"/>
      <c r="AH50" s="287"/>
    </row>
    <row r="51" ht="14.25" customHeight="1" spans="2:34">
      <c r="B51" s="77" t="s">
        <v>3967</v>
      </c>
      <c r="C51" s="75">
        <v>5</v>
      </c>
      <c r="D51" s="73">
        <v>1</v>
      </c>
      <c r="E51" s="73" t="s">
        <v>3961</v>
      </c>
      <c r="F51" s="73" t="s">
        <v>3757</v>
      </c>
      <c r="G51" s="75" t="s">
        <v>2852</v>
      </c>
      <c r="H51" s="73" t="s">
        <v>3914</v>
      </c>
      <c r="I51" s="126" t="s">
        <v>3770</v>
      </c>
      <c r="J51" s="154"/>
      <c r="K51" s="142"/>
      <c r="L51" s="156"/>
      <c r="M51" s="156"/>
      <c r="N51" s="156"/>
      <c r="O51" s="156"/>
      <c r="P51" s="110"/>
      <c r="Q51" s="199" t="s">
        <v>3968</v>
      </c>
      <c r="R51" s="200" t="s">
        <v>3969</v>
      </c>
      <c r="S51" s="200">
        <v>12</v>
      </c>
      <c r="T51" s="200">
        <v>4</v>
      </c>
      <c r="U51" s="200">
        <v>0</v>
      </c>
      <c r="V51" s="200">
        <v>13</v>
      </c>
      <c r="W51" s="2773" t="s">
        <v>3838</v>
      </c>
      <c r="X51" s="201" t="s">
        <v>3815</v>
      </c>
      <c r="Y51" s="268" t="s">
        <v>3758</v>
      </c>
      <c r="Z51" s="269"/>
      <c r="AA51" s="243"/>
      <c r="AB51" s="243"/>
      <c r="AC51" s="243"/>
      <c r="AD51" s="243"/>
      <c r="AE51" s="243"/>
      <c r="AF51" s="210"/>
      <c r="AG51" s="287"/>
      <c r="AH51" s="287"/>
    </row>
    <row r="52" ht="14.25" customHeight="1" spans="2:34">
      <c r="B52" s="92" t="s">
        <v>3970</v>
      </c>
      <c r="C52" s="93">
        <v>4</v>
      </c>
      <c r="D52" s="94">
        <v>1</v>
      </c>
      <c r="E52" s="94" t="s">
        <v>3961</v>
      </c>
      <c r="F52" s="94" t="s">
        <v>3757</v>
      </c>
      <c r="G52" s="93" t="s">
        <v>2852</v>
      </c>
      <c r="H52" s="94" t="s">
        <v>3914</v>
      </c>
      <c r="I52" s="153" t="s">
        <v>3770</v>
      </c>
      <c r="J52" s="154"/>
      <c r="K52" s="142"/>
      <c r="L52" s="156"/>
      <c r="M52" s="156"/>
      <c r="N52" s="156"/>
      <c r="O52" s="156"/>
      <c r="P52" s="110"/>
      <c r="Q52" s="185" t="s">
        <v>3971</v>
      </c>
      <c r="R52" s="186" t="s">
        <v>3969</v>
      </c>
      <c r="S52" s="202">
        <v>14</v>
      </c>
      <c r="T52" s="186">
        <v>3</v>
      </c>
      <c r="U52" s="186">
        <v>0</v>
      </c>
      <c r="V52" s="186">
        <v>1</v>
      </c>
      <c r="W52" s="2768" t="s">
        <v>3772</v>
      </c>
      <c r="X52" s="187" t="s">
        <v>76</v>
      </c>
      <c r="Y52" s="240" t="s">
        <v>3758</v>
      </c>
      <c r="Z52" s="269"/>
      <c r="AA52" s="243"/>
      <c r="AB52" s="243"/>
      <c r="AC52" s="243"/>
      <c r="AD52" s="243"/>
      <c r="AE52" s="243"/>
      <c r="AF52" s="210"/>
      <c r="AG52" s="287"/>
      <c r="AH52" s="287"/>
    </row>
    <row r="53" ht="14.25" customHeight="1" spans="2:34">
      <c r="B53" s="77" t="s">
        <v>3972</v>
      </c>
      <c r="C53" s="75">
        <v>3</v>
      </c>
      <c r="D53" s="73">
        <v>0</v>
      </c>
      <c r="E53" s="73" t="s">
        <v>3955</v>
      </c>
      <c r="F53" s="73" t="s">
        <v>3757</v>
      </c>
      <c r="G53" s="75" t="s">
        <v>2852</v>
      </c>
      <c r="H53" s="73" t="s">
        <v>3914</v>
      </c>
      <c r="I53" s="126" t="s">
        <v>3770</v>
      </c>
      <c r="J53" s="154"/>
      <c r="K53" s="142"/>
      <c r="L53" s="156"/>
      <c r="M53" s="156"/>
      <c r="N53" s="156"/>
      <c r="O53" s="156"/>
      <c r="P53" s="110"/>
      <c r="Q53" s="199" t="s">
        <v>3973</v>
      </c>
      <c r="R53" s="200" t="s">
        <v>3832</v>
      </c>
      <c r="S53" s="200">
        <v>8</v>
      </c>
      <c r="T53" s="200">
        <v>5</v>
      </c>
      <c r="U53" s="200">
        <v>0</v>
      </c>
      <c r="V53" s="200">
        <v>12</v>
      </c>
      <c r="W53" s="2773" t="s">
        <v>3772</v>
      </c>
      <c r="X53" s="201" t="s">
        <v>3764</v>
      </c>
      <c r="Y53" s="268" t="s">
        <v>3974</v>
      </c>
      <c r="Z53" s="269"/>
      <c r="AA53" s="243"/>
      <c r="AB53" s="243"/>
      <c r="AC53" s="243"/>
      <c r="AD53" s="243"/>
      <c r="AE53" s="243"/>
      <c r="AF53" s="210"/>
      <c r="AG53" s="287"/>
      <c r="AH53" s="287"/>
    </row>
    <row r="54" ht="14.25" customHeight="1" spans="2:34">
      <c r="B54" s="92" t="s">
        <v>3975</v>
      </c>
      <c r="C54" s="93">
        <v>4</v>
      </c>
      <c r="D54" s="94">
        <v>0</v>
      </c>
      <c r="E54" s="94" t="s">
        <v>3756</v>
      </c>
      <c r="F54" s="94" t="s">
        <v>3757</v>
      </c>
      <c r="G54" s="93" t="s">
        <v>2852</v>
      </c>
      <c r="H54" s="94" t="s">
        <v>12</v>
      </c>
      <c r="I54" s="153">
        <v>40</v>
      </c>
      <c r="J54" s="154"/>
      <c r="K54" s="142"/>
      <c r="L54" s="156"/>
      <c r="M54" s="156"/>
      <c r="N54" s="156"/>
      <c r="O54" s="156"/>
      <c r="P54" s="110"/>
      <c r="Q54" s="185" t="s">
        <v>3976</v>
      </c>
      <c r="R54" s="186" t="s">
        <v>3842</v>
      </c>
      <c r="S54" s="186">
        <v>13</v>
      </c>
      <c r="T54" s="186">
        <v>5</v>
      </c>
      <c r="U54" s="186">
        <v>0</v>
      </c>
      <c r="V54" s="186">
        <v>9</v>
      </c>
      <c r="W54" s="2768" t="s">
        <v>3833</v>
      </c>
      <c r="X54" s="187" t="s">
        <v>3764</v>
      </c>
      <c r="Y54" s="240" t="s">
        <v>3758</v>
      </c>
      <c r="Z54" s="269"/>
      <c r="AA54" s="243"/>
      <c r="AB54" s="243"/>
      <c r="AC54" s="243"/>
      <c r="AD54" s="243"/>
      <c r="AE54" s="243"/>
      <c r="AF54" s="210"/>
      <c r="AG54" s="287"/>
      <c r="AH54" s="287"/>
    </row>
    <row r="55" ht="14.25" customHeight="1" spans="2:34">
      <c r="B55" s="77" t="s">
        <v>3977</v>
      </c>
      <c r="C55" s="75">
        <v>6</v>
      </c>
      <c r="D55" s="73">
        <v>0</v>
      </c>
      <c r="E55" s="73" t="s">
        <v>3756</v>
      </c>
      <c r="F55" s="73" t="s">
        <v>3757</v>
      </c>
      <c r="G55" s="75" t="s">
        <v>2852</v>
      </c>
      <c r="H55" s="73" t="s">
        <v>3758</v>
      </c>
      <c r="I55" s="126" t="s">
        <v>3770</v>
      </c>
      <c r="J55" s="154"/>
      <c r="K55" s="142"/>
      <c r="L55" s="156"/>
      <c r="M55" s="156"/>
      <c r="N55" s="156"/>
      <c r="O55" s="156"/>
      <c r="P55" s="110"/>
      <c r="Q55" s="199" t="s">
        <v>3978</v>
      </c>
      <c r="R55" s="200" t="s">
        <v>3852</v>
      </c>
      <c r="S55" s="200">
        <v>10</v>
      </c>
      <c r="T55" s="200">
        <v>12</v>
      </c>
      <c r="U55" s="200" t="s">
        <v>3847</v>
      </c>
      <c r="V55" s="200" t="s">
        <v>3979</v>
      </c>
      <c r="W55" s="2773" t="s">
        <v>3772</v>
      </c>
      <c r="X55" s="201" t="s">
        <v>3859</v>
      </c>
      <c r="Y55" s="268" t="s">
        <v>3758</v>
      </c>
      <c r="Z55" s="269"/>
      <c r="AA55" s="238"/>
      <c r="AB55" s="242"/>
      <c r="AC55" s="242"/>
      <c r="AD55" s="243"/>
      <c r="AE55" s="243"/>
      <c r="AF55" s="210"/>
      <c r="AG55" s="287"/>
      <c r="AH55" s="287"/>
    </row>
    <row r="56" ht="14.25" customHeight="1" spans="2:34">
      <c r="B56" s="92" t="s">
        <v>3980</v>
      </c>
      <c r="C56" s="93">
        <v>5</v>
      </c>
      <c r="D56" s="94">
        <v>1</v>
      </c>
      <c r="E56" s="94" t="s">
        <v>3981</v>
      </c>
      <c r="F56" s="94" t="s">
        <v>3757</v>
      </c>
      <c r="G56" s="93" t="s">
        <v>2852</v>
      </c>
      <c r="H56" s="94" t="s">
        <v>12</v>
      </c>
      <c r="I56" s="153">
        <v>120</v>
      </c>
      <c r="J56" s="154"/>
      <c r="K56" s="142"/>
      <c r="L56" s="156"/>
      <c r="M56" s="156"/>
      <c r="N56" s="156"/>
      <c r="O56" s="156"/>
      <c r="P56" s="110"/>
      <c r="Q56" s="185" t="s">
        <v>3982</v>
      </c>
      <c r="R56" s="186" t="s">
        <v>3852</v>
      </c>
      <c r="S56" s="186">
        <v>10</v>
      </c>
      <c r="T56" s="186">
        <v>11</v>
      </c>
      <c r="U56" s="186" t="s">
        <v>3847</v>
      </c>
      <c r="V56" s="186" t="s">
        <v>3983</v>
      </c>
      <c r="W56" s="2768" t="s">
        <v>3772</v>
      </c>
      <c r="X56" s="187" t="s">
        <v>3815</v>
      </c>
      <c r="Y56" s="240" t="s">
        <v>3758</v>
      </c>
      <c r="Z56" s="269"/>
      <c r="AA56" s="238"/>
      <c r="AB56" s="242"/>
      <c r="AC56" s="242"/>
      <c r="AD56" s="243"/>
      <c r="AE56" s="243"/>
      <c r="AF56" s="210"/>
      <c r="AG56" s="287"/>
      <c r="AH56" s="287"/>
    </row>
    <row r="57" ht="14.25" customHeight="1" spans="2:34">
      <c r="B57" s="95" t="s">
        <v>3984</v>
      </c>
      <c r="C57" s="96">
        <v>12</v>
      </c>
      <c r="D57" s="96">
        <v>1</v>
      </c>
      <c r="E57" s="96" t="s">
        <v>3794</v>
      </c>
      <c r="F57" s="96" t="s">
        <v>3757</v>
      </c>
      <c r="G57" s="96" t="s">
        <v>2852</v>
      </c>
      <c r="H57" s="96" t="s">
        <v>12</v>
      </c>
      <c r="I57" s="157" t="s">
        <v>3770</v>
      </c>
      <c r="J57" s="154"/>
      <c r="K57" s="142"/>
      <c r="L57" s="156"/>
      <c r="M57" s="156"/>
      <c r="N57" s="156"/>
      <c r="O57" s="156"/>
      <c r="P57" s="110"/>
      <c r="Q57" s="199" t="s">
        <v>3985</v>
      </c>
      <c r="R57" s="200" t="s">
        <v>3986</v>
      </c>
      <c r="S57" s="200">
        <v>7</v>
      </c>
      <c r="T57" s="200">
        <v>90</v>
      </c>
      <c r="U57" s="200" t="s">
        <v>3847</v>
      </c>
      <c r="V57" s="200" t="s">
        <v>3987</v>
      </c>
      <c r="W57" s="2773" t="s">
        <v>3807</v>
      </c>
      <c r="X57" s="201" t="s">
        <v>3988</v>
      </c>
      <c r="Y57" s="268" t="s">
        <v>3758</v>
      </c>
      <c r="Z57" s="271"/>
      <c r="AA57" s="242"/>
      <c r="AB57" s="242"/>
      <c r="AC57" s="242"/>
      <c r="AD57" s="243"/>
      <c r="AE57" s="243"/>
      <c r="AF57" s="210"/>
      <c r="AG57" s="287"/>
      <c r="AH57" s="287"/>
    </row>
    <row r="58" ht="14.25" customHeight="1" spans="2:34">
      <c r="B58" s="92" t="s">
        <v>3989</v>
      </c>
      <c r="C58" s="93">
        <v>3</v>
      </c>
      <c r="D58" s="94">
        <v>1</v>
      </c>
      <c r="E58" s="94" t="s">
        <v>3794</v>
      </c>
      <c r="F58" s="94" t="s">
        <v>3757</v>
      </c>
      <c r="G58" s="93" t="s">
        <v>210</v>
      </c>
      <c r="H58" s="94" t="s">
        <v>3758</v>
      </c>
      <c r="I58" s="153" t="s">
        <v>3770</v>
      </c>
      <c r="J58" s="154"/>
      <c r="K58" s="142"/>
      <c r="L58" s="156"/>
      <c r="M58" s="156"/>
      <c r="N58" s="156"/>
      <c r="O58" s="156"/>
      <c r="P58" s="110"/>
      <c r="Q58" s="203" t="s">
        <v>3990</v>
      </c>
      <c r="R58" s="204" t="s">
        <v>3911</v>
      </c>
      <c r="S58" s="204">
        <v>13</v>
      </c>
      <c r="T58" s="204">
        <v>16</v>
      </c>
      <c r="U58" s="204">
        <v>6</v>
      </c>
      <c r="V58" s="204" t="s">
        <v>3991</v>
      </c>
      <c r="W58" s="2775" t="s">
        <v>3772</v>
      </c>
      <c r="X58" s="205" t="s">
        <v>3815</v>
      </c>
      <c r="Y58" s="272" t="s">
        <v>12</v>
      </c>
      <c r="Z58" s="273" t="s">
        <v>3992</v>
      </c>
      <c r="AA58" s="267"/>
      <c r="AB58" s="242"/>
      <c r="AC58" s="242"/>
      <c r="AD58" s="243"/>
      <c r="AE58" s="243"/>
      <c r="AF58" s="210"/>
      <c r="AG58" s="287"/>
      <c r="AH58" s="287"/>
    </row>
    <row r="59" ht="14.25" customHeight="1" spans="2:34">
      <c r="B59" s="97" t="s">
        <v>3993</v>
      </c>
      <c r="C59" s="98">
        <v>1</v>
      </c>
      <c r="D59" s="99">
        <v>0</v>
      </c>
      <c r="E59" s="99" t="s">
        <v>3994</v>
      </c>
      <c r="F59" s="99" t="s">
        <v>3995</v>
      </c>
      <c r="G59" s="98" t="s">
        <v>210</v>
      </c>
      <c r="H59" s="99" t="s">
        <v>3758</v>
      </c>
      <c r="I59" s="158" t="s">
        <v>3996</v>
      </c>
      <c r="J59" s="159" t="s">
        <v>3997</v>
      </c>
      <c r="K59" s="142"/>
      <c r="L59" s="142"/>
      <c r="M59" s="160"/>
      <c r="N59" s="160"/>
      <c r="O59" s="160"/>
      <c r="P59" s="110"/>
      <c r="Q59" s="185" t="s">
        <v>1344</v>
      </c>
      <c r="R59" s="186" t="s">
        <v>3911</v>
      </c>
      <c r="S59" s="206">
        <v>11</v>
      </c>
      <c r="T59" s="186">
        <v>8</v>
      </c>
      <c r="U59" s="186">
        <v>4</v>
      </c>
      <c r="V59" s="186" t="s">
        <v>3806</v>
      </c>
      <c r="W59" s="2768" t="s">
        <v>3772</v>
      </c>
      <c r="X59" s="191" t="s">
        <v>3815</v>
      </c>
      <c r="Y59" s="240" t="s">
        <v>3758</v>
      </c>
      <c r="Z59" s="273"/>
      <c r="AA59" s="267"/>
      <c r="AB59" s="242"/>
      <c r="AC59" s="242"/>
      <c r="AD59" s="243"/>
      <c r="AE59" s="243"/>
      <c r="AF59" s="210"/>
      <c r="AG59" s="287"/>
      <c r="AH59" s="287"/>
    </row>
    <row r="60" ht="14.25" customHeight="1" spans="2:34">
      <c r="B60" s="77" t="s">
        <v>3998</v>
      </c>
      <c r="C60" s="100">
        <v>2</v>
      </c>
      <c r="D60" s="73">
        <v>0</v>
      </c>
      <c r="E60" s="73" t="s">
        <v>3994</v>
      </c>
      <c r="F60" s="73" t="s">
        <v>3995</v>
      </c>
      <c r="G60" s="100" t="s">
        <v>2852</v>
      </c>
      <c r="H60" s="73" t="s">
        <v>12</v>
      </c>
      <c r="I60" s="126">
        <v>20</v>
      </c>
      <c r="J60" s="159"/>
      <c r="K60" s="142"/>
      <c r="L60" s="142"/>
      <c r="M60" s="160"/>
      <c r="N60" s="160"/>
      <c r="O60" s="160"/>
      <c r="P60" s="110"/>
      <c r="Q60" s="203" t="s">
        <v>3999</v>
      </c>
      <c r="R60" s="204" t="s">
        <v>3911</v>
      </c>
      <c r="S60" s="207" t="s">
        <v>4000</v>
      </c>
      <c r="T60" s="204">
        <v>6</v>
      </c>
      <c r="U60" s="204">
        <v>2</v>
      </c>
      <c r="V60" s="204" t="s">
        <v>4001</v>
      </c>
      <c r="W60" s="2775" t="s">
        <v>3772</v>
      </c>
      <c r="X60" s="205" t="s">
        <v>3815</v>
      </c>
      <c r="Y60" s="272" t="s">
        <v>12</v>
      </c>
      <c r="Z60" s="273"/>
      <c r="AA60" s="274" t="s">
        <v>4002</v>
      </c>
      <c r="AB60" s="275"/>
      <c r="AC60" s="275"/>
      <c r="AD60" s="275"/>
      <c r="AE60" s="276"/>
      <c r="AF60" s="210"/>
      <c r="AG60" s="287"/>
      <c r="AH60" s="287"/>
    </row>
    <row r="61" ht="14.25" customHeight="1" spans="2:34">
      <c r="B61" s="101" t="s">
        <v>4003</v>
      </c>
      <c r="C61" s="98">
        <v>1</v>
      </c>
      <c r="D61" s="102">
        <v>0</v>
      </c>
      <c r="E61" s="102" t="s">
        <v>3994</v>
      </c>
      <c r="F61" s="102" t="s">
        <v>3995</v>
      </c>
      <c r="G61" s="98" t="s">
        <v>210</v>
      </c>
      <c r="H61" s="102" t="s">
        <v>3758</v>
      </c>
      <c r="I61" s="2776" t="s">
        <v>3950</v>
      </c>
      <c r="J61" s="159"/>
      <c r="K61" s="142"/>
      <c r="L61" s="142"/>
      <c r="M61" s="160"/>
      <c r="N61" s="160"/>
      <c r="O61" s="160"/>
      <c r="P61" s="110"/>
      <c r="Q61" s="185" t="s">
        <v>4004</v>
      </c>
      <c r="R61" s="186" t="s">
        <v>886</v>
      </c>
      <c r="S61" s="206" t="s">
        <v>4005</v>
      </c>
      <c r="T61" s="186">
        <v>4</v>
      </c>
      <c r="U61" s="186">
        <v>2</v>
      </c>
      <c r="V61" s="206" t="s">
        <v>4006</v>
      </c>
      <c r="W61" s="186" t="s">
        <v>76</v>
      </c>
      <c r="X61" s="191" t="s">
        <v>3764</v>
      </c>
      <c r="Y61" s="240" t="s">
        <v>3758</v>
      </c>
      <c r="Z61" s="273"/>
      <c r="AA61" s="277" t="s">
        <v>430</v>
      </c>
      <c r="AB61" s="278">
        <v>5</v>
      </c>
      <c r="AC61" s="278">
        <v>6</v>
      </c>
      <c r="AD61" s="278">
        <v>7</v>
      </c>
      <c r="AE61" s="279">
        <v>8</v>
      </c>
      <c r="AF61" s="210"/>
      <c r="AG61" s="287"/>
      <c r="AH61" s="287"/>
    </row>
    <row r="62" ht="14.25" customHeight="1" spans="2:34">
      <c r="B62" s="77" t="s">
        <v>4007</v>
      </c>
      <c r="C62" s="75">
        <v>1</v>
      </c>
      <c r="D62" s="73">
        <v>0</v>
      </c>
      <c r="E62" s="73" t="s">
        <v>3994</v>
      </c>
      <c r="F62" s="73" t="s">
        <v>3995</v>
      </c>
      <c r="G62" s="75" t="s">
        <v>2852</v>
      </c>
      <c r="H62" s="73" t="s">
        <v>12</v>
      </c>
      <c r="I62" s="126" t="s">
        <v>3770</v>
      </c>
      <c r="J62" s="159"/>
      <c r="K62" s="142"/>
      <c r="L62" s="142"/>
      <c r="M62" s="160"/>
      <c r="N62" s="160"/>
      <c r="O62" s="160"/>
      <c r="P62" s="110"/>
      <c r="Q62" s="203" t="s">
        <v>4008</v>
      </c>
      <c r="R62" s="204" t="s">
        <v>3911</v>
      </c>
      <c r="S62" s="207" t="s">
        <v>4009</v>
      </c>
      <c r="T62" s="204">
        <v>35</v>
      </c>
      <c r="U62" s="204">
        <v>3</v>
      </c>
      <c r="V62" s="204" t="s">
        <v>3983</v>
      </c>
      <c r="W62" s="2775" t="s">
        <v>3772</v>
      </c>
      <c r="X62" s="205" t="s">
        <v>3815</v>
      </c>
      <c r="Y62" s="272" t="s">
        <v>12</v>
      </c>
      <c r="Z62" s="273"/>
      <c r="AA62" s="280" t="s">
        <v>4010</v>
      </c>
      <c r="AB62" s="281">
        <v>3</v>
      </c>
      <c r="AC62" s="282">
        <v>4</v>
      </c>
      <c r="AD62" s="282">
        <v>6</v>
      </c>
      <c r="AE62" s="283">
        <v>8</v>
      </c>
      <c r="AF62" s="210"/>
      <c r="AG62" s="287"/>
      <c r="AH62" s="287"/>
    </row>
    <row r="63" ht="14.25" customHeight="1" spans="2:34">
      <c r="B63" s="97" t="s">
        <v>4011</v>
      </c>
      <c r="C63" s="98">
        <v>2</v>
      </c>
      <c r="D63" s="99">
        <v>0</v>
      </c>
      <c r="E63" s="99" t="s">
        <v>3994</v>
      </c>
      <c r="F63" s="99" t="s">
        <v>3995</v>
      </c>
      <c r="G63" s="98" t="s">
        <v>2852</v>
      </c>
      <c r="H63" s="99" t="s">
        <v>3758</v>
      </c>
      <c r="I63" s="2776" t="s">
        <v>3950</v>
      </c>
      <c r="J63" s="159"/>
      <c r="K63" s="142"/>
      <c r="L63" s="142"/>
      <c r="M63" s="160"/>
      <c r="N63" s="160"/>
      <c r="O63" s="160"/>
      <c r="P63" s="110"/>
      <c r="Q63" s="185" t="s">
        <v>4012</v>
      </c>
      <c r="R63" s="186" t="s">
        <v>3911</v>
      </c>
      <c r="S63" s="206" t="s">
        <v>4013</v>
      </c>
      <c r="T63" s="186">
        <v>30</v>
      </c>
      <c r="U63" s="186">
        <v>3</v>
      </c>
      <c r="V63" s="206" t="s">
        <v>4014</v>
      </c>
      <c r="W63" s="2768" t="s">
        <v>3772</v>
      </c>
      <c r="X63" s="191" t="s">
        <v>3815</v>
      </c>
      <c r="Y63" s="240" t="s">
        <v>12</v>
      </c>
      <c r="Z63" s="273"/>
      <c r="AA63" s="277" t="s">
        <v>430</v>
      </c>
      <c r="AB63" s="278">
        <v>9</v>
      </c>
      <c r="AC63" s="278">
        <v>10</v>
      </c>
      <c r="AD63" s="278">
        <v>11</v>
      </c>
      <c r="AE63" s="279">
        <v>12</v>
      </c>
      <c r="AF63" s="210"/>
      <c r="AG63" s="287"/>
      <c r="AH63" s="287"/>
    </row>
    <row r="64" ht="14.25" customHeight="1" spans="2:34">
      <c r="B64" s="77" t="s">
        <v>4015</v>
      </c>
      <c r="C64" s="100">
        <v>2</v>
      </c>
      <c r="D64" s="73">
        <v>0</v>
      </c>
      <c r="E64" s="73" t="s">
        <v>3994</v>
      </c>
      <c r="F64" s="73" t="s">
        <v>3995</v>
      </c>
      <c r="G64" s="100" t="s">
        <v>2852</v>
      </c>
      <c r="H64" s="73" t="s">
        <v>3914</v>
      </c>
      <c r="I64" s="126" t="s">
        <v>3770</v>
      </c>
      <c r="J64" s="159"/>
      <c r="K64" s="142"/>
      <c r="L64" s="142"/>
      <c r="M64" s="160"/>
      <c r="N64" s="160"/>
      <c r="O64" s="160"/>
      <c r="P64" s="110"/>
      <c r="Q64" s="203" t="s">
        <v>4016</v>
      </c>
      <c r="R64" s="204" t="s">
        <v>3911</v>
      </c>
      <c r="S64" s="207" t="s">
        <v>4017</v>
      </c>
      <c r="T64" s="204">
        <v>16</v>
      </c>
      <c r="U64" s="204">
        <v>2</v>
      </c>
      <c r="V64" s="204" t="s">
        <v>4018</v>
      </c>
      <c r="W64" s="2775" t="s">
        <v>3772</v>
      </c>
      <c r="X64" s="205" t="s">
        <v>3764</v>
      </c>
      <c r="Y64" s="272" t="s">
        <v>12</v>
      </c>
      <c r="Z64" s="284"/>
      <c r="AA64" s="280" t="s">
        <v>4010</v>
      </c>
      <c r="AB64" s="281">
        <v>12</v>
      </c>
      <c r="AC64" s="282">
        <v>18</v>
      </c>
      <c r="AD64" s="282">
        <v>27</v>
      </c>
      <c r="AE64" s="283">
        <v>40</v>
      </c>
      <c r="AF64" s="210"/>
      <c r="AG64" s="287"/>
      <c r="AH64" s="287"/>
    </row>
    <row r="65" ht="14.25" customHeight="1" spans="2:34">
      <c r="B65" s="101" t="s">
        <v>4019</v>
      </c>
      <c r="C65" s="98">
        <v>1</v>
      </c>
      <c r="D65" s="102">
        <v>0</v>
      </c>
      <c r="E65" s="102" t="s">
        <v>4020</v>
      </c>
      <c r="F65" s="102" t="s">
        <v>4021</v>
      </c>
      <c r="G65" s="98" t="s">
        <v>210</v>
      </c>
      <c r="H65" s="102" t="s">
        <v>3758</v>
      </c>
      <c r="I65" s="313" t="s">
        <v>4022</v>
      </c>
      <c r="J65" s="159"/>
      <c r="K65" s="142"/>
      <c r="L65" s="142"/>
      <c r="M65" s="160"/>
      <c r="N65" s="160"/>
      <c r="O65" s="160"/>
      <c r="P65" s="110"/>
      <c r="Q65" s="334"/>
      <c r="R65" s="335"/>
      <c r="S65" s="335"/>
      <c r="T65" s="335"/>
      <c r="U65" s="335"/>
      <c r="V65" s="335"/>
      <c r="W65" s="335"/>
      <c r="X65" s="336"/>
      <c r="Y65" s="444"/>
      <c r="Z65" s="238"/>
      <c r="AA65" s="277" t="s">
        <v>430</v>
      </c>
      <c r="AB65" s="278">
        <v>13</v>
      </c>
      <c r="AC65" s="278">
        <v>14</v>
      </c>
      <c r="AD65" s="278">
        <v>15</v>
      </c>
      <c r="AE65" s="279">
        <v>16</v>
      </c>
      <c r="AF65" s="210"/>
      <c r="AG65" s="286"/>
      <c r="AH65" s="286"/>
    </row>
    <row r="66" ht="14.25" customHeight="1" spans="2:34">
      <c r="B66" s="77" t="s">
        <v>4023</v>
      </c>
      <c r="C66" s="75">
        <v>2</v>
      </c>
      <c r="D66" s="73">
        <v>1</v>
      </c>
      <c r="E66" s="73" t="s">
        <v>4020</v>
      </c>
      <c r="F66" s="73" t="s">
        <v>4021</v>
      </c>
      <c r="G66" s="75" t="s">
        <v>2852</v>
      </c>
      <c r="H66" s="73" t="s">
        <v>3914</v>
      </c>
      <c r="I66" s="126" t="s">
        <v>3770</v>
      </c>
      <c r="J66" s="159"/>
      <c r="K66" s="142"/>
      <c r="L66" s="142"/>
      <c r="M66" s="160"/>
      <c r="N66" s="160"/>
      <c r="O66" s="160"/>
      <c r="P66" s="110"/>
      <c r="Q66" s="337"/>
      <c r="R66" s="338"/>
      <c r="S66" s="338"/>
      <c r="T66" s="338"/>
      <c r="U66" s="338"/>
      <c r="V66" s="338"/>
      <c r="W66" s="338"/>
      <c r="X66" s="339"/>
      <c r="Y66" s="445"/>
      <c r="Z66" s="238"/>
      <c r="AA66" s="280" t="s">
        <v>4010</v>
      </c>
      <c r="AB66" s="281">
        <v>60</v>
      </c>
      <c r="AC66" s="282">
        <v>90</v>
      </c>
      <c r="AD66" s="282">
        <v>135</v>
      </c>
      <c r="AE66" s="283">
        <v>200</v>
      </c>
      <c r="AF66" s="210"/>
      <c r="AG66" s="286"/>
      <c r="AH66" s="286"/>
    </row>
    <row r="67" ht="14.25" customHeight="1" spans="2:34">
      <c r="B67" s="97" t="s">
        <v>4024</v>
      </c>
      <c r="C67" s="98">
        <v>2</v>
      </c>
      <c r="D67" s="99">
        <v>1</v>
      </c>
      <c r="E67" s="99" t="s">
        <v>4020</v>
      </c>
      <c r="F67" s="99" t="s">
        <v>4021</v>
      </c>
      <c r="G67" s="98" t="s">
        <v>210</v>
      </c>
      <c r="H67" s="99" t="s">
        <v>3758</v>
      </c>
      <c r="I67" s="2777" t="s">
        <v>4025</v>
      </c>
      <c r="J67" s="159"/>
      <c r="P67" s="110"/>
      <c r="Q67" s="334"/>
      <c r="R67" s="335"/>
      <c r="S67" s="335"/>
      <c r="T67" s="335"/>
      <c r="U67" s="335"/>
      <c r="V67" s="335"/>
      <c r="W67" s="336"/>
      <c r="X67" s="335"/>
      <c r="Y67" s="446"/>
      <c r="Z67" s="238"/>
      <c r="AA67" s="277" t="s">
        <v>430</v>
      </c>
      <c r="AB67" s="278">
        <v>17</v>
      </c>
      <c r="AC67" s="278">
        <v>18</v>
      </c>
      <c r="AD67" s="278">
        <v>19</v>
      </c>
      <c r="AE67" s="279">
        <v>20</v>
      </c>
      <c r="AF67" s="210"/>
      <c r="AG67" s="286"/>
      <c r="AH67" s="286"/>
    </row>
    <row r="68" ht="14.25" customHeight="1" spans="2:34">
      <c r="B68" s="288" t="s">
        <v>4026</v>
      </c>
      <c r="C68" s="289">
        <v>9</v>
      </c>
      <c r="D68" s="290">
        <v>1</v>
      </c>
      <c r="E68" s="290" t="s">
        <v>76</v>
      </c>
      <c r="F68" s="290" t="s">
        <v>4027</v>
      </c>
      <c r="G68" s="289" t="s">
        <v>2852</v>
      </c>
      <c r="H68" s="290" t="s">
        <v>12</v>
      </c>
      <c r="I68" s="315">
        <v>40</v>
      </c>
      <c r="J68" s="316" t="s">
        <v>4028</v>
      </c>
      <c r="K68" s="317" t="s">
        <v>4029</v>
      </c>
      <c r="L68" s="318" t="s">
        <v>4030</v>
      </c>
      <c r="M68" s="318"/>
      <c r="N68" s="318"/>
      <c r="O68" s="318"/>
      <c r="P68" s="110"/>
      <c r="Q68" s="340"/>
      <c r="R68" s="341"/>
      <c r="S68" s="341"/>
      <c r="T68" s="341"/>
      <c r="U68" s="341"/>
      <c r="V68" s="341"/>
      <c r="W68" s="342"/>
      <c r="X68" s="341"/>
      <c r="Y68" s="447"/>
      <c r="Z68" s="238"/>
      <c r="AA68" s="448" t="s">
        <v>4010</v>
      </c>
      <c r="AB68" s="449">
        <v>300</v>
      </c>
      <c r="AC68" s="449">
        <v>450</v>
      </c>
      <c r="AD68" s="449">
        <v>675</v>
      </c>
      <c r="AE68" s="450">
        <v>1000</v>
      </c>
      <c r="AF68" s="210"/>
      <c r="AG68" s="287"/>
      <c r="AH68" s="287"/>
    </row>
    <row r="69" ht="14.25" customHeight="1" spans="2:34">
      <c r="B69" s="291" t="s">
        <v>4031</v>
      </c>
      <c r="C69" s="100">
        <v>25</v>
      </c>
      <c r="D69" s="292">
        <v>1</v>
      </c>
      <c r="E69" s="292" t="s">
        <v>76</v>
      </c>
      <c r="F69" s="292" t="s">
        <v>4027</v>
      </c>
      <c r="G69" s="100" t="s">
        <v>2852</v>
      </c>
      <c r="H69" s="292" t="s">
        <v>12</v>
      </c>
      <c r="I69" s="319" t="s">
        <v>3770</v>
      </c>
      <c r="J69" s="316"/>
      <c r="K69" s="317"/>
      <c r="L69" s="318"/>
      <c r="M69" s="318"/>
      <c r="N69" s="318"/>
      <c r="O69" s="318"/>
      <c r="P69" s="110"/>
      <c r="Q69" s="343"/>
      <c r="R69" s="344"/>
      <c r="S69" s="344"/>
      <c r="T69" s="344"/>
      <c r="U69" s="344"/>
      <c r="V69" s="344"/>
      <c r="W69" s="344"/>
      <c r="X69" s="345"/>
      <c r="Y69" s="242"/>
      <c r="Z69" s="242"/>
      <c r="AA69" s="451" t="s">
        <v>4032</v>
      </c>
      <c r="AB69" s="451"/>
      <c r="AC69" s="451"/>
      <c r="AD69" s="451"/>
      <c r="AE69" s="451"/>
      <c r="AF69" s="210"/>
      <c r="AG69" s="287"/>
      <c r="AH69" s="287"/>
    </row>
    <row r="70" ht="14.25" customHeight="1" spans="2:34">
      <c r="B70" s="288" t="s">
        <v>4033</v>
      </c>
      <c r="C70" s="289">
        <v>30</v>
      </c>
      <c r="D70" s="290">
        <v>2</v>
      </c>
      <c r="E70" s="290" t="s">
        <v>76</v>
      </c>
      <c r="F70" s="290" t="s">
        <v>4027</v>
      </c>
      <c r="G70" s="289" t="s">
        <v>2852</v>
      </c>
      <c r="H70" s="290" t="s">
        <v>12</v>
      </c>
      <c r="I70" s="315" t="s">
        <v>3770</v>
      </c>
      <c r="J70" s="316"/>
      <c r="K70" s="317"/>
      <c r="L70" s="318"/>
      <c r="M70" s="318"/>
      <c r="N70" s="318"/>
      <c r="O70" s="318"/>
      <c r="P70" s="110"/>
      <c r="Q70" s="346" t="s">
        <v>4034</v>
      </c>
      <c r="R70" s="347"/>
      <c r="S70" s="347"/>
      <c r="T70" s="347"/>
      <c r="U70" s="347"/>
      <c r="V70" s="347"/>
      <c r="W70" s="347"/>
      <c r="X70" s="347"/>
      <c r="Y70" s="347"/>
      <c r="Z70" s="452"/>
      <c r="AA70" s="243"/>
      <c r="AB70" s="453"/>
      <c r="AC70" s="242"/>
      <c r="AD70" s="243"/>
      <c r="AE70" s="243"/>
      <c r="AF70" s="210"/>
      <c r="AG70" s="287"/>
      <c r="AH70" s="287"/>
    </row>
    <row r="71" ht="14.25" customHeight="1" spans="2:34">
      <c r="B71" s="293" t="s">
        <v>4035</v>
      </c>
      <c r="C71" s="294">
        <v>15</v>
      </c>
      <c r="D71" s="295">
        <v>0</v>
      </c>
      <c r="E71" s="295" t="s">
        <v>4036</v>
      </c>
      <c r="F71" s="295" t="s">
        <v>4037</v>
      </c>
      <c r="G71" s="294" t="s">
        <v>2852</v>
      </c>
      <c r="H71" s="295" t="s">
        <v>3914</v>
      </c>
      <c r="I71" s="320" t="s">
        <v>3770</v>
      </c>
      <c r="J71" s="316"/>
      <c r="K71" s="317"/>
      <c r="L71" s="318"/>
      <c r="M71" s="318"/>
      <c r="N71" s="318"/>
      <c r="O71" s="318"/>
      <c r="P71" s="110"/>
      <c r="Q71" s="348" t="s">
        <v>4038</v>
      </c>
      <c r="R71" s="349"/>
      <c r="S71" s="349"/>
      <c r="T71" s="349"/>
      <c r="U71" s="349"/>
      <c r="V71" s="349"/>
      <c r="W71" s="349"/>
      <c r="X71" s="349"/>
      <c r="Y71" s="349"/>
      <c r="Z71" s="454"/>
      <c r="AA71" s="243"/>
      <c r="AB71" s="453"/>
      <c r="AC71" s="242"/>
      <c r="AD71" s="243"/>
      <c r="AE71" s="243"/>
      <c r="AF71" s="210"/>
      <c r="AG71" s="287"/>
      <c r="AH71" s="287"/>
    </row>
    <row r="72" ht="14.25" customHeight="1" spans="2:34">
      <c r="B72" s="288" t="s">
        <v>4039</v>
      </c>
      <c r="C72" s="289">
        <v>10</v>
      </c>
      <c r="D72" s="290">
        <v>1</v>
      </c>
      <c r="E72" s="290" t="s">
        <v>76</v>
      </c>
      <c r="F72" s="290" t="s">
        <v>4027</v>
      </c>
      <c r="G72" s="289" t="s">
        <v>2852</v>
      </c>
      <c r="H72" s="290" t="s">
        <v>3914</v>
      </c>
      <c r="I72" s="315" t="s">
        <v>3770</v>
      </c>
      <c r="J72" s="316"/>
      <c r="K72" s="317"/>
      <c r="L72" s="321" t="s">
        <v>4040</v>
      </c>
      <c r="M72" s="321"/>
      <c r="N72" s="321"/>
      <c r="O72" s="321"/>
      <c r="P72" s="110"/>
      <c r="Q72" s="350"/>
      <c r="R72" s="351"/>
      <c r="S72" s="351"/>
      <c r="T72" s="351"/>
      <c r="U72" s="351"/>
      <c r="V72" s="351"/>
      <c r="W72" s="351"/>
      <c r="X72" s="351"/>
      <c r="Y72" s="351"/>
      <c r="Z72" s="455"/>
      <c r="AA72" s="243"/>
      <c r="AB72" s="453"/>
      <c r="AC72" s="242"/>
      <c r="AD72" s="243"/>
      <c r="AE72" s="243"/>
      <c r="AF72" s="210"/>
      <c r="AG72" s="287"/>
      <c r="AH72" s="287"/>
    </row>
    <row r="73" ht="14.25" customHeight="1" spans="2:34">
      <c r="B73" s="291" t="s">
        <v>4041</v>
      </c>
      <c r="C73" s="100">
        <v>15</v>
      </c>
      <c r="D73" s="292">
        <v>1</v>
      </c>
      <c r="E73" s="292" t="s">
        <v>76</v>
      </c>
      <c r="F73" s="292" t="s">
        <v>4027</v>
      </c>
      <c r="G73" s="100" t="s">
        <v>2852</v>
      </c>
      <c r="H73" s="292" t="s">
        <v>3914</v>
      </c>
      <c r="I73" s="319" t="s">
        <v>3770</v>
      </c>
      <c r="J73" s="316"/>
      <c r="K73" s="317"/>
      <c r="L73" s="321"/>
      <c r="M73" s="321"/>
      <c r="N73" s="321"/>
      <c r="O73" s="321"/>
      <c r="P73" s="110"/>
      <c r="Q73" s="352"/>
      <c r="R73" s="353"/>
      <c r="S73" s="353"/>
      <c r="T73" s="353"/>
      <c r="U73" s="353"/>
      <c r="V73" s="353"/>
      <c r="W73" s="353"/>
      <c r="X73" s="353"/>
      <c r="Y73" s="353"/>
      <c r="Z73" s="456"/>
      <c r="AA73" s="243"/>
      <c r="AB73" s="453"/>
      <c r="AC73" s="242"/>
      <c r="AD73" s="243"/>
      <c r="AE73" s="243"/>
      <c r="AF73" s="210"/>
      <c r="AG73" s="287"/>
      <c r="AH73" s="287"/>
    </row>
    <row r="74" ht="14.25" customHeight="1" spans="2:34">
      <c r="B74" s="288" t="s">
        <v>4042</v>
      </c>
      <c r="C74" s="289">
        <v>20</v>
      </c>
      <c r="D74" s="290">
        <v>2</v>
      </c>
      <c r="E74" s="290" t="s">
        <v>76</v>
      </c>
      <c r="F74" s="290" t="s">
        <v>4027</v>
      </c>
      <c r="G74" s="289" t="s">
        <v>2852</v>
      </c>
      <c r="H74" s="290" t="s">
        <v>3914</v>
      </c>
      <c r="I74" s="315" t="s">
        <v>3770</v>
      </c>
      <c r="J74" s="316"/>
      <c r="K74" s="317"/>
      <c r="L74" s="321"/>
      <c r="M74" s="321"/>
      <c r="N74" s="321"/>
      <c r="O74" s="321"/>
      <c r="P74" s="110"/>
      <c r="Q74" s="348" t="s">
        <v>4043</v>
      </c>
      <c r="R74" s="354"/>
      <c r="S74" s="354"/>
      <c r="T74" s="354"/>
      <c r="U74" s="354"/>
      <c r="V74" s="354"/>
      <c r="W74" s="354"/>
      <c r="X74" s="354"/>
      <c r="Y74" s="354"/>
      <c r="Z74" s="457"/>
      <c r="AA74" s="243"/>
      <c r="AB74" s="453"/>
      <c r="AC74" s="242"/>
      <c r="AD74" s="243"/>
      <c r="AE74" s="243"/>
      <c r="AF74" s="210"/>
      <c r="AG74" s="287"/>
      <c r="AH74" s="287"/>
    </row>
    <row r="75" ht="14.25" customHeight="1" spans="2:34">
      <c r="B75" s="296" t="s">
        <v>4044</v>
      </c>
      <c r="C75" s="297">
        <v>2</v>
      </c>
      <c r="D75" s="297" t="s">
        <v>76</v>
      </c>
      <c r="E75" s="297" t="s">
        <v>76</v>
      </c>
      <c r="F75" s="297" t="s">
        <v>660</v>
      </c>
      <c r="G75" s="297" t="s">
        <v>2852</v>
      </c>
      <c r="H75" s="297" t="s">
        <v>3914</v>
      </c>
      <c r="I75" s="322" t="s">
        <v>3770</v>
      </c>
      <c r="J75" s="316"/>
      <c r="K75" s="317"/>
      <c r="L75" s="321"/>
      <c r="M75" s="321"/>
      <c r="N75" s="321"/>
      <c r="O75" s="321"/>
      <c r="P75" s="110"/>
      <c r="Q75" s="355"/>
      <c r="R75" s="356"/>
      <c r="S75" s="356"/>
      <c r="T75" s="356"/>
      <c r="U75" s="356"/>
      <c r="V75" s="356"/>
      <c r="W75" s="356"/>
      <c r="X75" s="356"/>
      <c r="Y75" s="356"/>
      <c r="Z75" s="458"/>
      <c r="AA75" s="243"/>
      <c r="AB75" s="453"/>
      <c r="AC75" s="242"/>
      <c r="AD75" s="243"/>
      <c r="AE75" s="243"/>
      <c r="AF75" s="210"/>
      <c r="AG75" s="286"/>
      <c r="AH75" s="286"/>
    </row>
    <row r="76" ht="14.25" customHeight="1" spans="2:34">
      <c r="B76" s="298" t="s">
        <v>4045</v>
      </c>
      <c r="C76" s="299">
        <v>0</v>
      </c>
      <c r="D76" s="300"/>
      <c r="E76" s="300" t="s">
        <v>76</v>
      </c>
      <c r="F76" s="300"/>
      <c r="G76" s="299"/>
      <c r="H76" s="300"/>
      <c r="I76" s="300"/>
      <c r="J76" s="323" t="s">
        <v>95</v>
      </c>
      <c r="K76" s="324"/>
      <c r="L76" s="324"/>
      <c r="M76" s="160"/>
      <c r="N76" s="325"/>
      <c r="O76" s="160"/>
      <c r="P76" s="110"/>
      <c r="Q76" s="355"/>
      <c r="R76" s="356"/>
      <c r="S76" s="356"/>
      <c r="T76" s="356"/>
      <c r="U76" s="356"/>
      <c r="V76" s="356"/>
      <c r="W76" s="356"/>
      <c r="X76" s="356"/>
      <c r="Y76" s="356"/>
      <c r="Z76" s="458"/>
      <c r="AA76" s="243"/>
      <c r="AB76" s="453"/>
      <c r="AC76" s="242"/>
      <c r="AD76" s="243"/>
      <c r="AE76" s="243"/>
      <c r="AF76" s="210"/>
      <c r="AG76" s="286"/>
      <c r="AH76" s="286"/>
    </row>
    <row r="77" ht="14.25" customHeight="1" spans="2:34">
      <c r="B77" s="298"/>
      <c r="C77" s="300"/>
      <c r="D77" s="300"/>
      <c r="E77" s="300"/>
      <c r="F77" s="300"/>
      <c r="G77" s="300"/>
      <c r="H77" s="300"/>
      <c r="I77" s="300"/>
      <c r="J77" s="323"/>
      <c r="K77" s="324"/>
      <c r="L77" s="324"/>
      <c r="M77" s="160"/>
      <c r="N77" s="325"/>
      <c r="O77" s="160"/>
      <c r="P77" s="110"/>
      <c r="Q77" s="357" t="s">
        <v>4046</v>
      </c>
      <c r="R77" s="358"/>
      <c r="S77" s="358"/>
      <c r="T77" s="358"/>
      <c r="U77" s="358"/>
      <c r="V77" s="358"/>
      <c r="W77" s="358"/>
      <c r="X77" s="358"/>
      <c r="Y77" s="358"/>
      <c r="Z77" s="459"/>
      <c r="AA77" s="243"/>
      <c r="AB77" s="453"/>
      <c r="AC77" s="242"/>
      <c r="AD77" s="243"/>
      <c r="AE77" s="243"/>
      <c r="AF77" s="210"/>
      <c r="AG77" s="286"/>
      <c r="AH77" s="286"/>
    </row>
    <row r="78" ht="14.25" customHeight="1" spans="2:34">
      <c r="B78" s="298"/>
      <c r="C78" s="300"/>
      <c r="D78" s="300"/>
      <c r="E78" s="300"/>
      <c r="F78" s="300"/>
      <c r="G78" s="300"/>
      <c r="H78" s="300"/>
      <c r="I78" s="300"/>
      <c r="J78" s="323"/>
      <c r="K78" s="324"/>
      <c r="L78" s="324"/>
      <c r="M78" s="160"/>
      <c r="N78" s="325"/>
      <c r="O78" s="160"/>
      <c r="P78" s="110"/>
      <c r="Q78" s="359" t="s">
        <v>4047</v>
      </c>
      <c r="R78" s="360"/>
      <c r="S78" s="360"/>
      <c r="T78" s="360"/>
      <c r="U78" s="360"/>
      <c r="V78" s="360"/>
      <c r="W78" s="360"/>
      <c r="X78" s="360"/>
      <c r="Y78" s="360"/>
      <c r="Z78" s="460"/>
      <c r="AA78" s="242"/>
      <c r="AB78" s="453"/>
      <c r="AC78" s="242"/>
      <c r="AD78" s="243"/>
      <c r="AE78" s="243"/>
      <c r="AF78" s="210"/>
      <c r="AG78" s="286"/>
      <c r="AH78" s="286"/>
    </row>
    <row r="79" ht="14.25" customHeight="1" spans="2:34">
      <c r="B79" s="298"/>
      <c r="C79" s="300"/>
      <c r="D79" s="300"/>
      <c r="E79" s="300"/>
      <c r="F79" s="300"/>
      <c r="G79" s="300"/>
      <c r="H79" s="300"/>
      <c r="I79" s="300"/>
      <c r="J79" s="323"/>
      <c r="K79" s="142"/>
      <c r="L79" s="324"/>
      <c r="M79" s="324"/>
      <c r="N79" s="324"/>
      <c r="O79" s="324"/>
      <c r="P79" s="110"/>
      <c r="Q79" s="359"/>
      <c r="R79" s="360"/>
      <c r="S79" s="360"/>
      <c r="T79" s="360"/>
      <c r="U79" s="360"/>
      <c r="V79" s="360"/>
      <c r="W79" s="360"/>
      <c r="X79" s="360"/>
      <c r="Y79" s="360"/>
      <c r="Z79" s="460"/>
      <c r="AA79" s="242"/>
      <c r="AB79" s="453"/>
      <c r="AC79" s="242"/>
      <c r="AD79" s="243"/>
      <c r="AE79" s="243"/>
      <c r="AF79" s="210"/>
      <c r="AG79" s="286"/>
      <c r="AH79" s="286"/>
    </row>
    <row r="80" ht="14.25" customHeight="1" spans="2:34">
      <c r="B80" s="298"/>
      <c r="C80" s="300"/>
      <c r="D80" s="300"/>
      <c r="E80" s="300"/>
      <c r="F80" s="300"/>
      <c r="G80" s="300"/>
      <c r="H80" s="300"/>
      <c r="I80" s="300"/>
      <c r="J80" s="323"/>
      <c r="K80" s="142"/>
      <c r="L80" s="324"/>
      <c r="M80" s="324"/>
      <c r="N80" s="324"/>
      <c r="O80" s="324"/>
      <c r="P80" s="110"/>
      <c r="Q80" s="359"/>
      <c r="R80" s="360"/>
      <c r="S80" s="360"/>
      <c r="T80" s="360"/>
      <c r="U80" s="360"/>
      <c r="V80" s="360"/>
      <c r="W80" s="360"/>
      <c r="X80" s="360"/>
      <c r="Y80" s="360"/>
      <c r="Z80" s="460"/>
      <c r="AA80" s="242"/>
      <c r="AB80" s="453"/>
      <c r="AC80" s="242"/>
      <c r="AD80" s="243"/>
      <c r="AE80" s="243"/>
      <c r="AF80" s="210"/>
      <c r="AG80" s="286"/>
      <c r="AH80" s="286"/>
    </row>
    <row r="81" ht="14.25" customHeight="1" spans="2:31">
      <c r="B81" s="298"/>
      <c r="C81" s="300"/>
      <c r="D81" s="300"/>
      <c r="E81" s="300"/>
      <c r="F81" s="300"/>
      <c r="G81" s="300"/>
      <c r="H81" s="300"/>
      <c r="I81" s="300"/>
      <c r="J81" s="323"/>
      <c r="K81" s="142"/>
      <c r="L81" s="324"/>
      <c r="M81" s="324"/>
      <c r="N81" s="324"/>
      <c r="O81" s="324"/>
      <c r="P81" s="110"/>
      <c r="Q81" s="361" t="s">
        <v>4048</v>
      </c>
      <c r="R81" s="362"/>
      <c r="S81" s="362"/>
      <c r="T81" s="362"/>
      <c r="U81" s="362"/>
      <c r="V81" s="362"/>
      <c r="W81" s="362"/>
      <c r="X81" s="362"/>
      <c r="Y81" s="362"/>
      <c r="Z81" s="461"/>
      <c r="AA81" s="238"/>
      <c r="AB81" s="105"/>
      <c r="AC81" s="324"/>
      <c r="AD81" s="324"/>
      <c r="AE81" s="324"/>
    </row>
    <row r="82" ht="14.25" customHeight="1" spans="2:31">
      <c r="B82" s="298"/>
      <c r="C82" s="300"/>
      <c r="D82" s="300"/>
      <c r="E82" s="300"/>
      <c r="F82" s="300"/>
      <c r="G82" s="300"/>
      <c r="H82" s="300"/>
      <c r="I82" s="300"/>
      <c r="J82" s="323"/>
      <c r="K82" s="142"/>
      <c r="L82" s="324"/>
      <c r="M82" s="324"/>
      <c r="N82" s="324"/>
      <c r="O82" s="324"/>
      <c r="P82" s="110"/>
      <c r="Q82" s="359"/>
      <c r="R82" s="360"/>
      <c r="S82" s="360"/>
      <c r="T82" s="360"/>
      <c r="U82" s="360"/>
      <c r="V82" s="360"/>
      <c r="W82" s="360"/>
      <c r="X82" s="360"/>
      <c r="Y82" s="360"/>
      <c r="Z82" s="460"/>
      <c r="AA82" s="238"/>
      <c r="AB82" s="105"/>
      <c r="AC82" s="324"/>
      <c r="AD82" s="324"/>
      <c r="AE82" s="324"/>
    </row>
    <row r="83" ht="14.25" customHeight="1" spans="2:31">
      <c r="B83" s="301"/>
      <c r="C83" s="301"/>
      <c r="D83" s="301"/>
      <c r="E83" s="301"/>
      <c r="F83" s="301"/>
      <c r="G83" s="301"/>
      <c r="H83" s="301"/>
      <c r="I83" s="105"/>
      <c r="J83" s="326"/>
      <c r="K83" s="142"/>
      <c r="L83" s="105"/>
      <c r="M83" s="142"/>
      <c r="N83" s="325"/>
      <c r="O83" s="160"/>
      <c r="P83" s="110"/>
      <c r="Q83" s="363"/>
      <c r="R83" s="364"/>
      <c r="S83" s="364"/>
      <c r="T83" s="364"/>
      <c r="U83" s="364"/>
      <c r="V83" s="364"/>
      <c r="W83" s="364"/>
      <c r="X83" s="364"/>
      <c r="Y83" s="364"/>
      <c r="Z83" s="462"/>
      <c r="AA83" s="238"/>
      <c r="AB83" s="105"/>
      <c r="AC83" s="324"/>
      <c r="AD83" s="324"/>
      <c r="AE83" s="324"/>
    </row>
    <row r="84" ht="14.25" customHeight="1" spans="2:34">
      <c r="B84" s="302" t="s">
        <v>4049</v>
      </c>
      <c r="C84" s="303"/>
      <c r="D84" s="303"/>
      <c r="E84" s="303"/>
      <c r="F84" s="303"/>
      <c r="G84" s="303"/>
      <c r="H84" s="303"/>
      <c r="I84" s="303"/>
      <c r="J84" s="327"/>
      <c r="K84" s="142"/>
      <c r="L84" s="142"/>
      <c r="M84" s="142"/>
      <c r="N84" s="325"/>
      <c r="O84" s="160"/>
      <c r="P84" s="110"/>
      <c r="Q84" s="359" t="s">
        <v>4050</v>
      </c>
      <c r="R84" s="365"/>
      <c r="S84" s="365"/>
      <c r="T84" s="365"/>
      <c r="U84" s="365"/>
      <c r="V84" s="365"/>
      <c r="W84" s="365"/>
      <c r="X84" s="365"/>
      <c r="Y84" s="365"/>
      <c r="Z84" s="463"/>
      <c r="AA84" s="238"/>
      <c r="AB84" s="453"/>
      <c r="AC84" s="242"/>
      <c r="AD84" s="243"/>
      <c r="AE84" s="243"/>
      <c r="AF84" s="210"/>
      <c r="AG84" s="286"/>
      <c r="AH84" s="286"/>
    </row>
    <row r="85" ht="14.25" customHeight="1" spans="2:34">
      <c r="B85" s="304" t="s">
        <v>4051</v>
      </c>
      <c r="C85" s="305"/>
      <c r="D85" s="305"/>
      <c r="E85" s="305"/>
      <c r="F85" s="305"/>
      <c r="G85" s="305"/>
      <c r="H85" s="305"/>
      <c r="I85" s="305"/>
      <c r="J85" s="328"/>
      <c r="K85" s="142"/>
      <c r="L85" s="142"/>
      <c r="M85" s="142"/>
      <c r="N85" s="325"/>
      <c r="O85" s="160"/>
      <c r="P85" s="110"/>
      <c r="Q85" s="366"/>
      <c r="R85" s="367"/>
      <c r="S85" s="367"/>
      <c r="T85" s="367"/>
      <c r="U85" s="367"/>
      <c r="V85" s="367"/>
      <c r="W85" s="367"/>
      <c r="X85" s="367"/>
      <c r="Y85" s="367"/>
      <c r="Z85" s="464"/>
      <c r="AA85" s="238"/>
      <c r="AB85" s="453"/>
      <c r="AC85" s="242"/>
      <c r="AD85" s="243"/>
      <c r="AE85" s="243"/>
      <c r="AF85" s="210"/>
      <c r="AG85" s="286"/>
      <c r="AH85" s="286"/>
    </row>
    <row r="86" ht="14.25" customHeight="1" spans="2:34">
      <c r="B86" s="304" t="s">
        <v>4052</v>
      </c>
      <c r="C86" s="305"/>
      <c r="D86" s="305"/>
      <c r="E86" s="305"/>
      <c r="F86" s="305"/>
      <c r="G86" s="305"/>
      <c r="H86" s="305"/>
      <c r="I86" s="305"/>
      <c r="J86" s="328"/>
      <c r="K86" s="142"/>
      <c r="L86" s="142"/>
      <c r="M86" s="142"/>
      <c r="N86" s="325"/>
      <c r="O86" s="160"/>
      <c r="P86" s="110"/>
      <c r="Q86" s="359" t="s">
        <v>4053</v>
      </c>
      <c r="R86" s="365"/>
      <c r="S86" s="365"/>
      <c r="T86" s="365"/>
      <c r="U86" s="365"/>
      <c r="V86" s="365"/>
      <c r="W86" s="365"/>
      <c r="X86" s="365"/>
      <c r="Y86" s="365"/>
      <c r="Z86" s="463"/>
      <c r="AA86" s="238"/>
      <c r="AB86" s="453"/>
      <c r="AC86" s="242"/>
      <c r="AD86" s="243"/>
      <c r="AE86" s="243"/>
      <c r="AF86" s="210"/>
      <c r="AG86" s="286"/>
      <c r="AH86" s="286"/>
    </row>
    <row r="87" ht="14.25" customHeight="1" spans="2:34">
      <c r="B87" s="304" t="s">
        <v>4054</v>
      </c>
      <c r="C87" s="305"/>
      <c r="D87" s="305"/>
      <c r="E87" s="305"/>
      <c r="F87" s="305"/>
      <c r="G87" s="305"/>
      <c r="H87" s="305"/>
      <c r="I87" s="305"/>
      <c r="J87" s="328"/>
      <c r="K87" s="142"/>
      <c r="L87" s="142"/>
      <c r="M87" s="142"/>
      <c r="N87" s="325"/>
      <c r="O87" s="160"/>
      <c r="P87" s="110"/>
      <c r="Q87" s="368"/>
      <c r="R87" s="369"/>
      <c r="S87" s="369"/>
      <c r="T87" s="369"/>
      <c r="U87" s="369"/>
      <c r="V87" s="369"/>
      <c r="W87" s="369"/>
      <c r="X87" s="369"/>
      <c r="Y87" s="369"/>
      <c r="Z87" s="465"/>
      <c r="AA87" s="105"/>
      <c r="AB87" s="105"/>
      <c r="AC87" s="324"/>
      <c r="AD87" s="324"/>
      <c r="AE87" s="324"/>
      <c r="AF87" s="210"/>
      <c r="AG87" s="286"/>
      <c r="AH87" s="286"/>
    </row>
    <row r="88" ht="14.25" customHeight="1" spans="2:34">
      <c r="B88" s="304" t="s">
        <v>4055</v>
      </c>
      <c r="C88" s="305"/>
      <c r="D88" s="305"/>
      <c r="E88" s="305"/>
      <c r="F88" s="305"/>
      <c r="G88" s="305"/>
      <c r="H88" s="305"/>
      <c r="I88" s="305"/>
      <c r="J88" s="328"/>
      <c r="K88" s="142"/>
      <c r="L88" s="142"/>
      <c r="M88" s="142"/>
      <c r="N88" s="325"/>
      <c r="O88" s="160"/>
      <c r="P88" s="110"/>
      <c r="Q88" s="105"/>
      <c r="R88" s="105"/>
      <c r="S88" s="105"/>
      <c r="T88" s="105"/>
      <c r="U88" s="105"/>
      <c r="V88" s="105"/>
      <c r="W88" s="105"/>
      <c r="X88" s="105"/>
      <c r="Y88" s="105"/>
      <c r="Z88" s="105"/>
      <c r="AA88" s="105"/>
      <c r="AB88" s="105"/>
      <c r="AC88" s="324"/>
      <c r="AD88" s="324"/>
      <c r="AE88" s="324"/>
      <c r="AF88" s="210"/>
      <c r="AG88" s="286"/>
      <c r="AH88" s="286"/>
    </row>
    <row r="89" ht="14.25" customHeight="1" spans="2:34">
      <c r="B89" s="306" t="s">
        <v>4056</v>
      </c>
      <c r="C89" s="307"/>
      <c r="D89" s="307"/>
      <c r="E89" s="307"/>
      <c r="F89" s="307"/>
      <c r="G89" s="307"/>
      <c r="H89" s="307"/>
      <c r="I89" s="307"/>
      <c r="J89" s="329"/>
      <c r="K89" s="142"/>
      <c r="L89" s="142"/>
      <c r="M89" s="142"/>
      <c r="N89" s="325"/>
      <c r="O89" s="160"/>
      <c r="P89" s="110"/>
      <c r="Q89" s="105"/>
      <c r="R89" s="105"/>
      <c r="S89" s="105"/>
      <c r="T89" s="105"/>
      <c r="U89" s="105"/>
      <c r="V89" s="105"/>
      <c r="W89" s="105"/>
      <c r="X89" s="105"/>
      <c r="Y89" s="105"/>
      <c r="Z89" s="105"/>
      <c r="AA89" s="105"/>
      <c r="AB89" s="105"/>
      <c r="AC89" s="324"/>
      <c r="AD89" s="324"/>
      <c r="AE89" s="324"/>
      <c r="AF89" s="210"/>
      <c r="AG89" s="286"/>
      <c r="AH89" s="286"/>
    </row>
    <row r="90" ht="14.25" customHeight="1" spans="2:34">
      <c r="B90" s="308"/>
      <c r="C90" s="308"/>
      <c r="D90" s="308"/>
      <c r="E90" s="308"/>
      <c r="F90" s="308"/>
      <c r="G90" s="308"/>
      <c r="H90" s="308"/>
      <c r="I90" s="308"/>
      <c r="J90" s="308"/>
      <c r="K90" s="142"/>
      <c r="L90" s="142"/>
      <c r="M90" s="142"/>
      <c r="N90" s="325"/>
      <c r="O90" s="160"/>
      <c r="P90" s="110"/>
      <c r="Q90" s="370" t="s">
        <v>4057</v>
      </c>
      <c r="R90" s="371"/>
      <c r="S90" s="371"/>
      <c r="T90" s="371"/>
      <c r="U90" s="371"/>
      <c r="V90" s="371"/>
      <c r="W90" s="371"/>
      <c r="X90" s="371"/>
      <c r="Y90" s="371"/>
      <c r="Z90" s="371"/>
      <c r="AA90" s="371"/>
      <c r="AB90" s="371"/>
      <c r="AC90" s="371"/>
      <c r="AD90" s="371"/>
      <c r="AE90" s="466"/>
      <c r="AF90" s="210"/>
      <c r="AG90" s="287"/>
      <c r="AH90" s="287"/>
    </row>
    <row r="91" ht="14.25" customHeight="1" spans="2:34">
      <c r="B91" s="301"/>
      <c r="C91" s="301"/>
      <c r="D91" s="301"/>
      <c r="E91" s="301"/>
      <c r="F91" s="301"/>
      <c r="G91" s="301"/>
      <c r="H91" s="301"/>
      <c r="I91" s="105"/>
      <c r="J91" s="105"/>
      <c r="K91" s="142"/>
      <c r="L91" s="142"/>
      <c r="M91" s="160"/>
      <c r="N91" s="160"/>
      <c r="O91" s="160"/>
      <c r="P91" s="110"/>
      <c r="Q91" s="372"/>
      <c r="R91" s="373"/>
      <c r="S91" s="373"/>
      <c r="T91" s="373"/>
      <c r="U91" s="373"/>
      <c r="V91" s="373"/>
      <c r="W91" s="373"/>
      <c r="X91" s="373"/>
      <c r="Y91" s="373"/>
      <c r="Z91" s="373"/>
      <c r="AA91" s="373"/>
      <c r="AB91" s="373"/>
      <c r="AC91" s="373"/>
      <c r="AD91" s="373"/>
      <c r="AE91" s="467"/>
      <c r="AF91" s="210"/>
      <c r="AG91" s="287"/>
      <c r="AH91" s="287"/>
    </row>
    <row r="92" ht="14.25" customHeight="1" spans="2:34">
      <c r="B92" s="301"/>
      <c r="C92" s="301"/>
      <c r="D92" s="301"/>
      <c r="E92" s="301"/>
      <c r="F92" s="301"/>
      <c r="G92" s="301"/>
      <c r="H92" s="301"/>
      <c r="I92" s="105"/>
      <c r="J92" s="105"/>
      <c r="K92" s="142"/>
      <c r="L92" s="142"/>
      <c r="M92" s="160"/>
      <c r="N92" s="160"/>
      <c r="O92" s="160"/>
      <c r="P92" s="110"/>
      <c r="Q92" s="374"/>
      <c r="R92" s="375"/>
      <c r="S92" s="375"/>
      <c r="T92" s="375"/>
      <c r="U92" s="375"/>
      <c r="V92" s="375"/>
      <c r="W92" s="375"/>
      <c r="X92" s="375"/>
      <c r="Y92" s="375"/>
      <c r="Z92" s="375"/>
      <c r="AA92" s="375"/>
      <c r="AB92" s="375"/>
      <c r="AC92" s="375"/>
      <c r="AD92" s="375"/>
      <c r="AE92" s="468"/>
      <c r="AF92" s="210"/>
      <c r="AG92" s="287"/>
      <c r="AH92" s="287"/>
    </row>
    <row r="93" ht="14.25" customHeight="1" spans="2:34">
      <c r="B93" s="301"/>
      <c r="C93" s="301"/>
      <c r="D93" s="301"/>
      <c r="E93" s="301"/>
      <c r="F93" s="301"/>
      <c r="G93" s="301"/>
      <c r="H93" s="301"/>
      <c r="I93" s="105"/>
      <c r="J93" s="105"/>
      <c r="K93" s="142"/>
      <c r="L93" s="142"/>
      <c r="M93" s="160"/>
      <c r="N93" s="160"/>
      <c r="O93" s="160"/>
      <c r="P93" s="110"/>
      <c r="Q93" s="376"/>
      <c r="R93" s="376"/>
      <c r="S93" s="376"/>
      <c r="T93" s="376"/>
      <c r="U93" s="376"/>
      <c r="V93" s="376"/>
      <c r="W93" s="376"/>
      <c r="X93" s="376"/>
      <c r="Y93" s="376"/>
      <c r="Z93" s="376"/>
      <c r="AA93" s="376"/>
      <c r="AB93" s="376"/>
      <c r="AC93" s="376"/>
      <c r="AD93" s="376"/>
      <c r="AE93" s="376"/>
      <c r="AF93" s="210"/>
      <c r="AG93" s="287"/>
      <c r="AH93" s="287"/>
    </row>
    <row r="94" ht="14.25" customHeight="1" spans="2:32">
      <c r="B94" s="301"/>
      <c r="C94" s="301"/>
      <c r="D94" s="301"/>
      <c r="E94" s="301"/>
      <c r="F94" s="301"/>
      <c r="G94" s="301"/>
      <c r="H94" s="301"/>
      <c r="I94" s="105"/>
      <c r="J94" s="105"/>
      <c r="K94" s="142"/>
      <c r="L94" s="142"/>
      <c r="M94" s="160"/>
      <c r="N94" s="160"/>
      <c r="O94" s="160"/>
      <c r="P94" s="110"/>
      <c r="Q94" s="377" t="s">
        <v>4058</v>
      </c>
      <c r="R94" s="378"/>
      <c r="S94" s="378"/>
      <c r="T94" s="378"/>
      <c r="U94" s="378"/>
      <c r="V94" s="379"/>
      <c r="W94" s="380"/>
      <c r="X94" s="381" t="s">
        <v>4059</v>
      </c>
      <c r="Y94" s="469"/>
      <c r="Z94" s="469"/>
      <c r="AA94" s="469"/>
      <c r="AB94" s="469"/>
      <c r="AC94" s="469"/>
      <c r="AD94" s="469"/>
      <c r="AE94" s="470"/>
      <c r="AF94" s="210"/>
    </row>
    <row r="95" ht="14.25" customHeight="1" spans="2:32">
      <c r="B95" s="301"/>
      <c r="C95" s="301"/>
      <c r="D95" s="301"/>
      <c r="E95" s="301"/>
      <c r="F95" s="301"/>
      <c r="G95" s="301"/>
      <c r="H95" s="301"/>
      <c r="I95" s="105"/>
      <c r="J95" s="105"/>
      <c r="K95" s="142"/>
      <c r="L95" s="142"/>
      <c r="M95" s="160"/>
      <c r="N95" s="160"/>
      <c r="O95" s="160"/>
      <c r="P95" s="110"/>
      <c r="Q95" s="382"/>
      <c r="R95" s="383"/>
      <c r="S95" s="383"/>
      <c r="T95" s="383"/>
      <c r="U95" s="383"/>
      <c r="V95" s="384"/>
      <c r="W95" s="380"/>
      <c r="X95" s="385"/>
      <c r="Y95" s="471"/>
      <c r="Z95" s="471"/>
      <c r="AA95" s="471"/>
      <c r="AB95" s="471"/>
      <c r="AC95" s="471"/>
      <c r="AD95" s="471"/>
      <c r="AE95" s="472"/>
      <c r="AF95" s="210"/>
    </row>
    <row r="96" ht="14.25" customHeight="1" spans="2:32">
      <c r="B96" s="301"/>
      <c r="C96" s="301"/>
      <c r="D96" s="301"/>
      <c r="E96" s="301"/>
      <c r="F96" s="301"/>
      <c r="G96" s="301"/>
      <c r="H96" s="301"/>
      <c r="I96" s="105"/>
      <c r="J96" s="105"/>
      <c r="K96" s="142"/>
      <c r="L96" s="142"/>
      <c r="M96" s="160"/>
      <c r="N96" s="160"/>
      <c r="O96" s="160"/>
      <c r="P96" s="110"/>
      <c r="Q96" s="386" t="s">
        <v>4060</v>
      </c>
      <c r="R96" s="387"/>
      <c r="S96" s="387"/>
      <c r="T96" s="387"/>
      <c r="U96" s="387"/>
      <c r="V96" s="388"/>
      <c r="W96" s="389"/>
      <c r="X96" s="390" t="s">
        <v>4061</v>
      </c>
      <c r="Y96" s="473"/>
      <c r="Z96" s="473"/>
      <c r="AA96" s="473"/>
      <c r="AB96" s="474"/>
      <c r="AC96" s="475" t="s">
        <v>4062</v>
      </c>
      <c r="AD96" s="473"/>
      <c r="AE96" s="476"/>
      <c r="AF96" s="210"/>
    </row>
    <row r="97" ht="14.25" customHeight="1" spans="2:32">
      <c r="B97" s="301"/>
      <c r="C97" s="301"/>
      <c r="D97" s="301"/>
      <c r="E97" s="301"/>
      <c r="F97" s="301"/>
      <c r="G97" s="301"/>
      <c r="H97" s="301"/>
      <c r="I97" s="105"/>
      <c r="J97" s="105"/>
      <c r="K97" s="142"/>
      <c r="L97" s="142"/>
      <c r="M97" s="160"/>
      <c r="N97" s="160"/>
      <c r="O97" s="160"/>
      <c r="P97" s="110"/>
      <c r="Q97" s="391"/>
      <c r="R97" s="392"/>
      <c r="S97" s="392"/>
      <c r="T97" s="392"/>
      <c r="U97" s="392"/>
      <c r="V97" s="393"/>
      <c r="W97" s="389"/>
      <c r="X97" s="394"/>
      <c r="Y97" s="477"/>
      <c r="Z97" s="477"/>
      <c r="AA97" s="477"/>
      <c r="AB97" s="478"/>
      <c r="AC97" s="475" t="s">
        <v>4063</v>
      </c>
      <c r="AD97" s="475" t="s">
        <v>4064</v>
      </c>
      <c r="AE97" s="476"/>
      <c r="AF97" s="210"/>
    </row>
    <row r="98" ht="14.25" customHeight="1" spans="2:32">
      <c r="B98" s="301"/>
      <c r="C98" s="301"/>
      <c r="D98" s="301"/>
      <c r="E98" s="301"/>
      <c r="F98" s="301"/>
      <c r="G98" s="301"/>
      <c r="H98" s="301"/>
      <c r="I98" s="105"/>
      <c r="J98" s="105"/>
      <c r="K98" s="330"/>
      <c r="L98" s="330"/>
      <c r="M98" s="160"/>
      <c r="N98" s="330"/>
      <c r="O98" s="330"/>
      <c r="P98" s="110"/>
      <c r="Q98" s="391"/>
      <c r="R98" s="392"/>
      <c r="S98" s="392"/>
      <c r="T98" s="392"/>
      <c r="U98" s="392"/>
      <c r="V98" s="393"/>
      <c r="W98" s="389"/>
      <c r="X98" s="394"/>
      <c r="Y98" s="477"/>
      <c r="Z98" s="477"/>
      <c r="AA98" s="477"/>
      <c r="AB98" s="479"/>
      <c r="AC98" s="480" t="s">
        <v>4065</v>
      </c>
      <c r="AD98" s="480" t="s">
        <v>4066</v>
      </c>
      <c r="AE98" s="481"/>
      <c r="AF98" s="210"/>
    </row>
    <row r="99" ht="14.25" customHeight="1" spans="2:32">
      <c r="B99" s="301"/>
      <c r="C99" s="301"/>
      <c r="D99" s="301"/>
      <c r="E99" s="301"/>
      <c r="F99" s="301"/>
      <c r="G99" s="301"/>
      <c r="H99" s="301"/>
      <c r="I99" s="105"/>
      <c r="J99" s="105"/>
      <c r="K99" s="330"/>
      <c r="L99" s="330"/>
      <c r="M99" s="160"/>
      <c r="N99" s="330"/>
      <c r="O99" s="330"/>
      <c r="P99" s="110"/>
      <c r="Q99" s="391"/>
      <c r="R99" s="392"/>
      <c r="S99" s="392"/>
      <c r="T99" s="392"/>
      <c r="U99" s="392"/>
      <c r="V99" s="393"/>
      <c r="W99" s="389"/>
      <c r="X99" s="394"/>
      <c r="Y99" s="477"/>
      <c r="Z99" s="477"/>
      <c r="AA99" s="477"/>
      <c r="AB99" s="479"/>
      <c r="AC99" s="482" t="s">
        <v>4067</v>
      </c>
      <c r="AD99" s="482" t="s">
        <v>4068</v>
      </c>
      <c r="AE99" s="483"/>
      <c r="AF99" s="210"/>
    </row>
    <row r="100" ht="14.25" customHeight="1" spans="2:32">
      <c r="B100" s="301"/>
      <c r="C100" s="301"/>
      <c r="D100" s="301"/>
      <c r="E100" s="301"/>
      <c r="F100" s="301"/>
      <c r="G100" s="301"/>
      <c r="H100" s="301"/>
      <c r="I100" s="105"/>
      <c r="J100" s="105"/>
      <c r="K100" s="330"/>
      <c r="L100" s="330"/>
      <c r="M100" s="160"/>
      <c r="N100" s="330"/>
      <c r="O100" s="330"/>
      <c r="P100" s="110"/>
      <c r="Q100" s="395"/>
      <c r="R100" s="396"/>
      <c r="S100" s="396"/>
      <c r="T100" s="396"/>
      <c r="U100" s="396"/>
      <c r="V100" s="397"/>
      <c r="W100" s="389"/>
      <c r="X100" s="398"/>
      <c r="Y100" s="484"/>
      <c r="Z100" s="484"/>
      <c r="AA100" s="484"/>
      <c r="AB100" s="478"/>
      <c r="AC100" s="482" t="s">
        <v>4069</v>
      </c>
      <c r="AD100" s="482" t="s">
        <v>4070</v>
      </c>
      <c r="AE100" s="483"/>
      <c r="AF100" s="210"/>
    </row>
    <row r="101" ht="14.25" customHeight="1" spans="2:32">
      <c r="B101" s="301"/>
      <c r="C101" s="301"/>
      <c r="D101" s="301"/>
      <c r="E101" s="301"/>
      <c r="F101" s="301"/>
      <c r="G101" s="301"/>
      <c r="H101" s="301"/>
      <c r="I101" s="105"/>
      <c r="J101" s="105"/>
      <c r="K101" s="330"/>
      <c r="L101" s="330"/>
      <c r="M101" s="160"/>
      <c r="N101" s="330"/>
      <c r="O101" s="330"/>
      <c r="P101" s="110"/>
      <c r="Q101" s="399"/>
      <c r="R101" s="399"/>
      <c r="S101" s="399"/>
      <c r="T101" s="399"/>
      <c r="U101" s="399"/>
      <c r="V101" s="399"/>
      <c r="W101" s="389"/>
      <c r="X101" s="400" t="s">
        <v>4071</v>
      </c>
      <c r="Y101" s="485"/>
      <c r="Z101" s="485"/>
      <c r="AA101" s="485"/>
      <c r="AB101" s="486"/>
      <c r="AC101" s="485"/>
      <c r="AD101" s="485"/>
      <c r="AE101" s="487"/>
      <c r="AF101" s="210"/>
    </row>
    <row r="102" ht="14.25" customHeight="1" spans="2:32">
      <c r="B102" s="301"/>
      <c r="C102" s="301"/>
      <c r="D102" s="301"/>
      <c r="E102" s="301"/>
      <c r="F102" s="301"/>
      <c r="G102" s="301"/>
      <c r="H102" s="301"/>
      <c r="I102" s="105"/>
      <c r="J102" s="105"/>
      <c r="K102" s="330"/>
      <c r="L102" s="330"/>
      <c r="M102" s="160"/>
      <c r="N102" s="330"/>
      <c r="O102" s="330"/>
      <c r="P102" s="110"/>
      <c r="Q102" s="401" t="s">
        <v>4072</v>
      </c>
      <c r="R102" s="402"/>
      <c r="S102" s="402"/>
      <c r="T102" s="402"/>
      <c r="U102" s="402"/>
      <c r="V102" s="403"/>
      <c r="W102" s="404"/>
      <c r="X102" s="405"/>
      <c r="Y102" s="488"/>
      <c r="Z102" s="488"/>
      <c r="AA102" s="488"/>
      <c r="AB102" s="489"/>
      <c r="AC102" s="488"/>
      <c r="AD102" s="488"/>
      <c r="AE102" s="490"/>
      <c r="AF102" s="210"/>
    </row>
    <row r="103" ht="27.1" customHeight="1" spans="2:32">
      <c r="B103" s="301"/>
      <c r="C103" s="301"/>
      <c r="D103" s="301"/>
      <c r="E103" s="301"/>
      <c r="F103" s="301"/>
      <c r="G103" s="301"/>
      <c r="H103" s="301"/>
      <c r="I103" s="105"/>
      <c r="J103" s="105"/>
      <c r="K103" s="330"/>
      <c r="L103" s="330"/>
      <c r="M103" s="160"/>
      <c r="N103" s="330"/>
      <c r="O103" s="330"/>
      <c r="P103" s="110"/>
      <c r="Q103" s="406"/>
      <c r="R103" s="407"/>
      <c r="S103" s="407"/>
      <c r="T103" s="407"/>
      <c r="U103" s="407"/>
      <c r="V103" s="408"/>
      <c r="W103" s="404"/>
      <c r="X103" s="404"/>
      <c r="Y103" s="404"/>
      <c r="Z103" s="404"/>
      <c r="AA103" s="404"/>
      <c r="AB103" s="404"/>
      <c r="AC103" s="404"/>
      <c r="AD103" s="491"/>
      <c r="AE103" s="491"/>
      <c r="AF103" s="210"/>
    </row>
    <row r="104" ht="27.1" customHeight="1" spans="2:32">
      <c r="B104" s="301"/>
      <c r="C104" s="301"/>
      <c r="D104" s="301"/>
      <c r="E104" s="301"/>
      <c r="F104" s="301"/>
      <c r="G104" s="301"/>
      <c r="H104" s="301"/>
      <c r="I104" s="105"/>
      <c r="J104" s="105"/>
      <c r="K104" s="330"/>
      <c r="L104" s="330"/>
      <c r="M104" s="160"/>
      <c r="N104" s="330"/>
      <c r="O104" s="330"/>
      <c r="P104" s="110"/>
      <c r="Q104" s="409" t="s">
        <v>4073</v>
      </c>
      <c r="R104" s="376"/>
      <c r="S104" s="376"/>
      <c r="T104" s="376"/>
      <c r="U104" s="376"/>
      <c r="V104" s="410"/>
      <c r="W104" s="411"/>
      <c r="X104" s="381" t="s">
        <v>4074</v>
      </c>
      <c r="Y104" s="469"/>
      <c r="Z104" s="469"/>
      <c r="AA104" s="469"/>
      <c r="AB104" s="469"/>
      <c r="AC104" s="469"/>
      <c r="AD104" s="469"/>
      <c r="AE104" s="470"/>
      <c r="AF104" s="210"/>
    </row>
    <row r="105" ht="27.1" customHeight="1" spans="1:32">
      <c r="A105" s="309"/>
      <c r="B105" s="301"/>
      <c r="C105" s="301"/>
      <c r="D105" s="301"/>
      <c r="E105" s="301"/>
      <c r="F105" s="301"/>
      <c r="G105" s="301"/>
      <c r="H105" s="301"/>
      <c r="I105" s="105"/>
      <c r="J105" s="105"/>
      <c r="K105" s="330"/>
      <c r="L105" s="330"/>
      <c r="M105" s="160"/>
      <c r="N105" s="330"/>
      <c r="O105" s="330"/>
      <c r="P105" s="110"/>
      <c r="Q105" s="412"/>
      <c r="R105" s="413"/>
      <c r="S105" s="413"/>
      <c r="T105" s="413"/>
      <c r="U105" s="413"/>
      <c r="V105" s="414"/>
      <c r="W105" s="411"/>
      <c r="X105" s="385"/>
      <c r="Y105" s="471"/>
      <c r="Z105" s="471"/>
      <c r="AA105" s="471"/>
      <c r="AB105" s="471"/>
      <c r="AC105" s="492"/>
      <c r="AD105" s="492"/>
      <c r="AE105" s="493"/>
      <c r="AF105" s="210"/>
    </row>
    <row r="106" ht="27.1" customHeight="1" spans="1:32">
      <c r="A106" s="309"/>
      <c r="B106" s="301"/>
      <c r="C106" s="301"/>
      <c r="D106" s="301"/>
      <c r="E106" s="301"/>
      <c r="F106" s="301"/>
      <c r="G106" s="301"/>
      <c r="H106" s="301"/>
      <c r="I106" s="105"/>
      <c r="J106" s="105"/>
      <c r="K106" s="331"/>
      <c r="L106" s="331"/>
      <c r="M106" s="331"/>
      <c r="N106" s="331"/>
      <c r="O106" s="331"/>
      <c r="P106" s="110"/>
      <c r="Q106" s="415" t="s">
        <v>4075</v>
      </c>
      <c r="R106" s="416"/>
      <c r="S106" s="417" t="s">
        <v>4076</v>
      </c>
      <c r="T106" s="418"/>
      <c r="U106" s="418"/>
      <c r="V106" s="419"/>
      <c r="W106" s="389"/>
      <c r="X106" s="390" t="s">
        <v>4077</v>
      </c>
      <c r="Y106" s="473"/>
      <c r="Z106" s="473"/>
      <c r="AA106" s="474"/>
      <c r="AB106" s="475" t="s">
        <v>4078</v>
      </c>
      <c r="AC106" s="477" t="s">
        <v>4079</v>
      </c>
      <c r="AD106" s="477"/>
      <c r="AE106" s="494"/>
      <c r="AF106" s="210"/>
    </row>
    <row r="107" ht="27.1" customHeight="1" spans="1:32">
      <c r="A107" s="309"/>
      <c r="B107" s="301"/>
      <c r="C107" s="301"/>
      <c r="D107" s="301"/>
      <c r="E107" s="301"/>
      <c r="F107" s="301"/>
      <c r="G107" s="301"/>
      <c r="H107" s="301"/>
      <c r="I107" s="105"/>
      <c r="J107" s="105"/>
      <c r="K107" s="160"/>
      <c r="L107" s="160"/>
      <c r="M107" s="160"/>
      <c r="N107" s="160"/>
      <c r="O107" s="160"/>
      <c r="P107" s="160"/>
      <c r="Q107" s="415"/>
      <c r="R107" s="416"/>
      <c r="S107" s="417"/>
      <c r="T107" s="418"/>
      <c r="U107" s="418"/>
      <c r="V107" s="419"/>
      <c r="W107" s="389"/>
      <c r="X107" s="394"/>
      <c r="Y107" s="477"/>
      <c r="Z107" s="477"/>
      <c r="AA107" s="479"/>
      <c r="AB107" s="482"/>
      <c r="AC107" s="477"/>
      <c r="AD107" s="477"/>
      <c r="AE107" s="494"/>
      <c r="AF107" s="210"/>
    </row>
    <row r="108" ht="15" customHeight="1" spans="1:32">
      <c r="A108" s="309"/>
      <c r="B108" s="301"/>
      <c r="C108" s="301"/>
      <c r="D108" s="301"/>
      <c r="E108" s="301"/>
      <c r="F108" s="301"/>
      <c r="G108" s="301"/>
      <c r="H108" s="301"/>
      <c r="I108" s="105"/>
      <c r="J108" s="105"/>
      <c r="K108" s="331"/>
      <c r="L108" s="331"/>
      <c r="M108" s="331"/>
      <c r="N108" s="331"/>
      <c r="O108" s="331"/>
      <c r="P108" s="160"/>
      <c r="Q108" s="415"/>
      <c r="R108" s="416"/>
      <c r="S108" s="420"/>
      <c r="T108" s="421"/>
      <c r="U108" s="421"/>
      <c r="V108" s="422"/>
      <c r="W108" s="389"/>
      <c r="X108" s="394"/>
      <c r="Y108" s="477"/>
      <c r="Z108" s="477"/>
      <c r="AA108" s="495"/>
      <c r="AB108" s="496" t="s">
        <v>4080</v>
      </c>
      <c r="AC108" s="497" t="s">
        <v>4081</v>
      </c>
      <c r="AD108" s="473"/>
      <c r="AE108" s="476"/>
      <c r="AF108" s="210"/>
    </row>
    <row r="109" ht="16.5" spans="1:32">
      <c r="A109" s="309"/>
      <c r="B109" s="301"/>
      <c r="C109" s="301"/>
      <c r="D109" s="301"/>
      <c r="E109" s="301"/>
      <c r="F109" s="301"/>
      <c r="G109" s="301"/>
      <c r="H109" s="301"/>
      <c r="I109" s="105"/>
      <c r="J109" s="105"/>
      <c r="K109" s="331"/>
      <c r="L109" s="331"/>
      <c r="M109" s="160"/>
      <c r="N109" s="331"/>
      <c r="O109" s="331"/>
      <c r="P109" s="160"/>
      <c r="Q109" s="415"/>
      <c r="R109" s="416"/>
      <c r="S109" s="423" t="s">
        <v>4082</v>
      </c>
      <c r="T109" s="392"/>
      <c r="U109" s="392" t="s">
        <v>4083</v>
      </c>
      <c r="V109" s="393" t="s">
        <v>4084</v>
      </c>
      <c r="W109" s="389"/>
      <c r="X109" s="394"/>
      <c r="Y109" s="477"/>
      <c r="Z109" s="477"/>
      <c r="AA109" s="495"/>
      <c r="AB109" s="496"/>
      <c r="AC109" s="498"/>
      <c r="AD109" s="484"/>
      <c r="AE109" s="483"/>
      <c r="AF109" s="210"/>
    </row>
    <row r="110" ht="16.5" spans="1:32">
      <c r="A110" s="309"/>
      <c r="B110" s="301"/>
      <c r="C110" s="301"/>
      <c r="D110" s="301"/>
      <c r="E110" s="301"/>
      <c r="F110" s="301"/>
      <c r="G110" s="301"/>
      <c r="H110" s="301"/>
      <c r="I110" s="105"/>
      <c r="J110" s="105"/>
      <c r="K110" s="331"/>
      <c r="L110" s="331"/>
      <c r="M110" s="331"/>
      <c r="N110" s="331"/>
      <c r="O110" s="331"/>
      <c r="P110" s="160"/>
      <c r="Q110" s="415"/>
      <c r="R110" s="416"/>
      <c r="S110" s="423"/>
      <c r="T110" s="392"/>
      <c r="U110" s="392"/>
      <c r="V110" s="393"/>
      <c r="W110" s="389"/>
      <c r="X110" s="424" t="s">
        <v>4085</v>
      </c>
      <c r="Y110" s="499"/>
      <c r="Z110" s="499"/>
      <c r="AA110" s="500"/>
      <c r="AB110" s="501" t="s">
        <v>4086</v>
      </c>
      <c r="AC110" s="496" t="s">
        <v>4087</v>
      </c>
      <c r="AD110" s="477"/>
      <c r="AE110" s="494"/>
      <c r="AF110" s="210"/>
    </row>
    <row r="111" ht="16.05" customHeight="1" spans="1:32">
      <c r="A111" s="309"/>
      <c r="B111" s="301"/>
      <c r="C111" s="301"/>
      <c r="D111" s="301"/>
      <c r="E111" s="301"/>
      <c r="F111" s="301"/>
      <c r="G111" s="301"/>
      <c r="H111" s="301"/>
      <c r="I111" s="105"/>
      <c r="J111" s="105"/>
      <c r="K111" s="331"/>
      <c r="L111" s="331"/>
      <c r="M111" s="331"/>
      <c r="N111" s="331"/>
      <c r="O111" s="331"/>
      <c r="P111" s="160"/>
      <c r="Q111" s="415"/>
      <c r="R111" s="416"/>
      <c r="S111" s="423"/>
      <c r="T111" s="392"/>
      <c r="U111" s="392"/>
      <c r="V111" s="393"/>
      <c r="W111" s="389"/>
      <c r="X111" s="424"/>
      <c r="Y111" s="499"/>
      <c r="Z111" s="499"/>
      <c r="AA111" s="500"/>
      <c r="AB111" s="502"/>
      <c r="AC111" s="496"/>
      <c r="AD111" s="477"/>
      <c r="AE111" s="494"/>
      <c r="AF111" s="210"/>
    </row>
    <row r="112" ht="16.5" spans="1:32">
      <c r="A112" s="309"/>
      <c r="B112" s="301"/>
      <c r="C112" s="301"/>
      <c r="D112" s="301"/>
      <c r="E112" s="301"/>
      <c r="F112" s="301"/>
      <c r="G112" s="301"/>
      <c r="H112" s="301"/>
      <c r="I112" s="105"/>
      <c r="J112" s="105"/>
      <c r="K112" s="331"/>
      <c r="L112" s="331"/>
      <c r="M112" s="331"/>
      <c r="N112" s="331"/>
      <c r="O112" s="331"/>
      <c r="P112" s="160"/>
      <c r="Q112" s="425"/>
      <c r="R112" s="426"/>
      <c r="S112" s="427"/>
      <c r="T112" s="428"/>
      <c r="U112" s="428"/>
      <c r="V112" s="429"/>
      <c r="W112" s="389"/>
      <c r="X112" s="424"/>
      <c r="Y112" s="499"/>
      <c r="Z112" s="499"/>
      <c r="AA112" s="500"/>
      <c r="AB112" s="503"/>
      <c r="AC112" s="504"/>
      <c r="AD112" s="505"/>
      <c r="AE112" s="481"/>
      <c r="AF112" s="210"/>
    </row>
    <row r="113" ht="16.5" spans="1:32">
      <c r="A113" s="309"/>
      <c r="B113" s="301"/>
      <c r="C113" s="301"/>
      <c r="D113" s="301"/>
      <c r="E113" s="301"/>
      <c r="F113" s="301"/>
      <c r="G113" s="301"/>
      <c r="H113" s="301"/>
      <c r="I113" s="105"/>
      <c r="J113" s="105"/>
      <c r="K113" s="331"/>
      <c r="L113" s="331"/>
      <c r="M113" s="331"/>
      <c r="N113" s="331"/>
      <c r="O113" s="331"/>
      <c r="P113" s="160"/>
      <c r="Q113" s="391" t="s">
        <v>4088</v>
      </c>
      <c r="R113" s="392"/>
      <c r="S113" s="392"/>
      <c r="T113" s="392"/>
      <c r="U113" s="392"/>
      <c r="V113" s="393"/>
      <c r="W113" s="389"/>
      <c r="X113" s="424"/>
      <c r="Y113" s="499"/>
      <c r="Z113" s="499"/>
      <c r="AA113" s="500"/>
      <c r="AB113" s="506" t="s">
        <v>4089</v>
      </c>
      <c r="AC113" s="502"/>
      <c r="AD113" s="502"/>
      <c r="AE113" s="507"/>
      <c r="AF113" s="210"/>
    </row>
    <row r="114" ht="16.5" spans="1:32">
      <c r="A114" s="309"/>
      <c r="B114" s="301"/>
      <c r="C114" s="301"/>
      <c r="D114" s="301"/>
      <c r="E114" s="301"/>
      <c r="F114" s="301"/>
      <c r="G114" s="301"/>
      <c r="H114" s="301"/>
      <c r="I114" s="105"/>
      <c r="J114" s="105"/>
      <c r="K114" s="332"/>
      <c r="L114" s="332"/>
      <c r="M114" s="332"/>
      <c r="N114" s="332"/>
      <c r="O114" s="332"/>
      <c r="P114" s="333"/>
      <c r="Q114" s="391"/>
      <c r="R114" s="392"/>
      <c r="S114" s="392"/>
      <c r="T114" s="392"/>
      <c r="U114" s="392"/>
      <c r="V114" s="393"/>
      <c r="W114" s="389"/>
      <c r="X114" s="430" t="s">
        <v>4090</v>
      </c>
      <c r="Y114" s="508"/>
      <c r="Z114" s="508"/>
      <c r="AA114" s="509"/>
      <c r="AB114" s="510"/>
      <c r="AC114" s="503"/>
      <c r="AD114" s="503"/>
      <c r="AE114" s="511"/>
      <c r="AF114" s="210"/>
    </row>
    <row r="115" ht="17.25" spans="1:32">
      <c r="A115" s="309"/>
      <c r="B115" s="301"/>
      <c r="C115" s="301"/>
      <c r="D115" s="301"/>
      <c r="E115" s="301"/>
      <c r="F115" s="301"/>
      <c r="G115" s="301"/>
      <c r="H115" s="301"/>
      <c r="I115" s="105"/>
      <c r="J115" s="105"/>
      <c r="K115" s="332"/>
      <c r="L115" s="332"/>
      <c r="M115" s="332"/>
      <c r="N115" s="332"/>
      <c r="O115" s="332"/>
      <c r="P115" s="333"/>
      <c r="Q115" s="395"/>
      <c r="R115" s="396"/>
      <c r="S115" s="396"/>
      <c r="T115" s="396"/>
      <c r="U115" s="396"/>
      <c r="V115" s="397"/>
      <c r="W115" s="389"/>
      <c r="X115" s="390" t="s">
        <v>4091</v>
      </c>
      <c r="Y115" s="473" t="s">
        <v>4092</v>
      </c>
      <c r="Z115" s="473" t="s">
        <v>4093</v>
      </c>
      <c r="AA115" s="473"/>
      <c r="AB115" s="473"/>
      <c r="AC115" s="474"/>
      <c r="AD115" s="497" t="s">
        <v>4094</v>
      </c>
      <c r="AE115" s="476"/>
      <c r="AF115" s="210"/>
    </row>
    <row r="116" ht="16.5" spans="1:32">
      <c r="A116" s="309"/>
      <c r="B116" s="301"/>
      <c r="C116" s="301"/>
      <c r="D116" s="301"/>
      <c r="E116" s="301"/>
      <c r="F116" s="301"/>
      <c r="G116" s="301"/>
      <c r="H116" s="301"/>
      <c r="I116" s="105"/>
      <c r="J116" s="105"/>
      <c r="K116" s="332"/>
      <c r="L116" s="332"/>
      <c r="M116" s="332"/>
      <c r="N116" s="332"/>
      <c r="O116" s="332"/>
      <c r="P116" s="333"/>
      <c r="Q116" s="376"/>
      <c r="R116" s="376"/>
      <c r="S116" s="376"/>
      <c r="T116" s="376"/>
      <c r="U116" s="376"/>
      <c r="V116" s="376"/>
      <c r="W116" s="431"/>
      <c r="X116" s="398"/>
      <c r="Y116" s="484"/>
      <c r="Z116" s="484"/>
      <c r="AA116" s="484"/>
      <c r="AB116" s="484"/>
      <c r="AC116" s="478"/>
      <c r="AD116" s="496"/>
      <c r="AE116" s="494"/>
      <c r="AF116" s="210"/>
    </row>
    <row r="117" ht="16.5" spans="1:32">
      <c r="A117" s="309"/>
      <c r="B117" s="301"/>
      <c r="C117" s="301"/>
      <c r="D117" s="301"/>
      <c r="E117" s="301"/>
      <c r="F117" s="301"/>
      <c r="G117" s="301"/>
      <c r="H117" s="301"/>
      <c r="I117" s="105"/>
      <c r="J117" s="105"/>
      <c r="K117" s="332"/>
      <c r="L117" s="332"/>
      <c r="M117" s="332"/>
      <c r="N117" s="332"/>
      <c r="O117" s="332"/>
      <c r="P117" s="333"/>
      <c r="Q117" s="376"/>
      <c r="R117" s="376"/>
      <c r="S117" s="376"/>
      <c r="T117" s="376"/>
      <c r="U117" s="376"/>
      <c r="V117" s="376"/>
      <c r="W117" s="431"/>
      <c r="X117" s="390" t="s">
        <v>4095</v>
      </c>
      <c r="Y117" s="473" t="s">
        <v>4096</v>
      </c>
      <c r="Z117" s="473" t="s">
        <v>4097</v>
      </c>
      <c r="AA117" s="473"/>
      <c r="AB117" s="473"/>
      <c r="AC117" s="474"/>
      <c r="AD117" s="496"/>
      <c r="AE117" s="494"/>
      <c r="AF117" s="210"/>
    </row>
    <row r="118" ht="16.5" spans="1:32">
      <c r="A118" s="309"/>
      <c r="B118" s="301"/>
      <c r="C118" s="301"/>
      <c r="D118" s="301"/>
      <c r="E118" s="301"/>
      <c r="F118" s="301"/>
      <c r="G118" s="301"/>
      <c r="H118" s="301"/>
      <c r="I118" s="105"/>
      <c r="J118" s="105"/>
      <c r="K118" s="333"/>
      <c r="L118" s="333"/>
      <c r="M118" s="333"/>
      <c r="N118" s="333"/>
      <c r="O118" s="333"/>
      <c r="P118" s="333"/>
      <c r="Q118" s="376"/>
      <c r="R118" s="376"/>
      <c r="S118" s="376"/>
      <c r="T118" s="376"/>
      <c r="U118" s="376"/>
      <c r="V118" s="376"/>
      <c r="W118" s="431"/>
      <c r="X118" s="398"/>
      <c r="Y118" s="484"/>
      <c r="Z118" s="484"/>
      <c r="AA118" s="484"/>
      <c r="AB118" s="484"/>
      <c r="AC118" s="478"/>
      <c r="AD118" s="496"/>
      <c r="AE118" s="494"/>
      <c r="AF118" s="210"/>
    </row>
    <row r="119" ht="16.5" spans="1:31">
      <c r="A119" s="309"/>
      <c r="B119" s="301"/>
      <c r="C119" s="301"/>
      <c r="D119" s="301"/>
      <c r="E119" s="301"/>
      <c r="F119" s="301"/>
      <c r="G119" s="301"/>
      <c r="H119" s="301"/>
      <c r="I119" s="105"/>
      <c r="J119" s="105"/>
      <c r="K119" s="333"/>
      <c r="L119" s="333"/>
      <c r="M119" s="333"/>
      <c r="N119" s="333"/>
      <c r="O119" s="333"/>
      <c r="P119" s="333"/>
      <c r="Q119" s="376"/>
      <c r="R119" s="376"/>
      <c r="S119" s="376"/>
      <c r="T119" s="376"/>
      <c r="U119" s="376"/>
      <c r="V119" s="376"/>
      <c r="W119" s="431"/>
      <c r="X119" s="390" t="s">
        <v>4098</v>
      </c>
      <c r="Y119" s="473" t="s">
        <v>568</v>
      </c>
      <c r="Z119" s="473" t="s">
        <v>4099</v>
      </c>
      <c r="AA119" s="473"/>
      <c r="AB119" s="473"/>
      <c r="AC119" s="474"/>
      <c r="AD119" s="496"/>
      <c r="AE119" s="494"/>
    </row>
    <row r="120" ht="17.25" spans="1:31">
      <c r="A120" s="309"/>
      <c r="B120" s="310"/>
      <c r="C120" s="310"/>
      <c r="D120" s="310"/>
      <c r="E120" s="310"/>
      <c r="F120" s="310"/>
      <c r="G120" s="310"/>
      <c r="H120" s="310"/>
      <c r="I120" s="333"/>
      <c r="J120" s="333"/>
      <c r="K120" s="333"/>
      <c r="L120" s="333"/>
      <c r="M120" s="333"/>
      <c r="N120" s="333"/>
      <c r="O120" s="333"/>
      <c r="P120" s="333"/>
      <c r="Q120" s="376"/>
      <c r="R120" s="376"/>
      <c r="S120" s="376"/>
      <c r="T120" s="376"/>
      <c r="U120" s="376"/>
      <c r="V120" s="376"/>
      <c r="W120" s="431"/>
      <c r="X120" s="432"/>
      <c r="Y120" s="512"/>
      <c r="Z120" s="512"/>
      <c r="AA120" s="512"/>
      <c r="AB120" s="512"/>
      <c r="AC120" s="513"/>
      <c r="AD120" s="514"/>
      <c r="AE120" s="515"/>
    </row>
    <row r="121" ht="17.25" spans="1:31">
      <c r="A121" s="309"/>
      <c r="B121" s="310"/>
      <c r="C121" s="310"/>
      <c r="D121" s="310"/>
      <c r="E121" s="310"/>
      <c r="F121" s="310"/>
      <c r="G121" s="310"/>
      <c r="H121" s="310"/>
      <c r="I121" s="310"/>
      <c r="J121" s="333"/>
      <c r="K121" s="333"/>
      <c r="L121" s="333"/>
      <c r="M121" s="333"/>
      <c r="N121" s="333"/>
      <c r="O121" s="333"/>
      <c r="P121" s="333"/>
      <c r="Q121" s="243"/>
      <c r="R121" s="243"/>
      <c r="S121" s="243"/>
      <c r="T121" s="243"/>
      <c r="U121" s="243"/>
      <c r="V121" s="243"/>
      <c r="W121" s="243"/>
      <c r="X121" s="243"/>
      <c r="Y121" s="243"/>
      <c r="Z121" s="243"/>
      <c r="AA121" s="242"/>
      <c r="AB121" s="242"/>
      <c r="AC121" s="242"/>
      <c r="AD121" s="242"/>
      <c r="AE121" s="242"/>
    </row>
    <row r="122" ht="16.5" spans="1:31">
      <c r="A122" s="309"/>
      <c r="B122" s="310"/>
      <c r="C122" s="310"/>
      <c r="D122" s="310"/>
      <c r="E122" s="310"/>
      <c r="F122" s="310"/>
      <c r="G122" s="310"/>
      <c r="H122" s="310"/>
      <c r="I122" s="310"/>
      <c r="J122" s="333"/>
      <c r="K122" s="333"/>
      <c r="L122" s="333"/>
      <c r="M122" s="333"/>
      <c r="N122" s="333"/>
      <c r="O122" s="333"/>
      <c r="P122" s="333"/>
      <c r="Q122" s="433" t="s">
        <v>4100</v>
      </c>
      <c r="R122" s="434"/>
      <c r="S122" s="434"/>
      <c r="T122" s="434"/>
      <c r="U122" s="434"/>
      <c r="V122" s="434"/>
      <c r="W122" s="434"/>
      <c r="X122" s="434"/>
      <c r="Y122" s="434"/>
      <c r="Z122" s="434"/>
      <c r="AA122" s="434"/>
      <c r="AB122" s="434"/>
      <c r="AC122" s="434"/>
      <c r="AD122" s="434"/>
      <c r="AE122" s="516"/>
    </row>
    <row r="123" ht="16.5" spans="1:31">
      <c r="A123" s="309"/>
      <c r="B123" s="311"/>
      <c r="C123" s="310"/>
      <c r="D123" s="310"/>
      <c r="E123" s="312"/>
      <c r="F123" s="312"/>
      <c r="G123" s="312"/>
      <c r="H123" s="312"/>
      <c r="I123" s="312"/>
      <c r="J123" s="333"/>
      <c r="K123" s="333"/>
      <c r="L123" s="333"/>
      <c r="M123" s="333"/>
      <c r="N123" s="333"/>
      <c r="O123" s="333"/>
      <c r="P123" s="333"/>
      <c r="Q123" s="435"/>
      <c r="R123" s="436"/>
      <c r="S123" s="436"/>
      <c r="T123" s="436"/>
      <c r="U123" s="436"/>
      <c r="V123" s="436"/>
      <c r="W123" s="436"/>
      <c r="X123" s="436"/>
      <c r="Y123" s="436"/>
      <c r="Z123" s="436"/>
      <c r="AA123" s="436"/>
      <c r="AB123" s="436"/>
      <c r="AC123" s="436"/>
      <c r="AD123" s="436"/>
      <c r="AE123" s="517"/>
    </row>
    <row r="124" ht="16.5" spans="1:31">
      <c r="A124" s="309"/>
      <c r="B124" s="311"/>
      <c r="C124" s="310"/>
      <c r="D124" s="310"/>
      <c r="E124" s="312"/>
      <c r="F124" s="312"/>
      <c r="G124" s="312"/>
      <c r="H124" s="312"/>
      <c r="I124" s="312"/>
      <c r="J124" s="333"/>
      <c r="K124" s="333"/>
      <c r="L124" s="312"/>
      <c r="M124" s="312"/>
      <c r="N124" s="312"/>
      <c r="O124" s="312"/>
      <c r="P124" s="312"/>
      <c r="Q124" s="435"/>
      <c r="R124" s="436"/>
      <c r="S124" s="436"/>
      <c r="T124" s="436"/>
      <c r="U124" s="436"/>
      <c r="V124" s="436"/>
      <c r="W124" s="436"/>
      <c r="X124" s="436"/>
      <c r="Y124" s="436"/>
      <c r="Z124" s="436"/>
      <c r="AA124" s="436"/>
      <c r="AB124" s="436"/>
      <c r="AC124" s="436"/>
      <c r="AD124" s="436"/>
      <c r="AE124" s="517"/>
    </row>
    <row r="125" ht="16.5" spans="1:31">
      <c r="A125" s="309"/>
      <c r="B125" s="311"/>
      <c r="C125" s="310"/>
      <c r="D125" s="310"/>
      <c r="E125" s="312"/>
      <c r="F125" s="312"/>
      <c r="G125" s="312"/>
      <c r="H125" s="312"/>
      <c r="I125" s="312"/>
      <c r="J125" s="333"/>
      <c r="K125" s="333"/>
      <c r="L125" s="312"/>
      <c r="M125" s="312"/>
      <c r="N125" s="312"/>
      <c r="O125" s="312"/>
      <c r="P125" s="312"/>
      <c r="Q125" s="437" t="s">
        <v>4101</v>
      </c>
      <c r="R125" s="438"/>
      <c r="S125" s="438"/>
      <c r="T125" s="438"/>
      <c r="U125" s="438"/>
      <c r="V125" s="439" t="s">
        <v>200</v>
      </c>
      <c r="W125" s="439"/>
      <c r="X125" s="439" t="s">
        <v>4102</v>
      </c>
      <c r="Y125" s="439"/>
      <c r="Z125" s="439"/>
      <c r="AA125" s="439"/>
      <c r="AB125" s="439"/>
      <c r="AC125" s="439"/>
      <c r="AD125" s="439"/>
      <c r="AE125" s="518"/>
    </row>
    <row r="126" ht="16.5" spans="1:31">
      <c r="A126" s="309"/>
      <c r="B126" s="311"/>
      <c r="C126" s="310"/>
      <c r="D126" s="310"/>
      <c r="E126" s="312"/>
      <c r="F126" s="312"/>
      <c r="G126" s="312"/>
      <c r="H126" s="312"/>
      <c r="I126" s="312"/>
      <c r="J126" s="333"/>
      <c r="K126" s="333"/>
      <c r="L126" s="312"/>
      <c r="M126" s="312"/>
      <c r="N126" s="312"/>
      <c r="O126" s="312"/>
      <c r="P126" s="312"/>
      <c r="Q126" s="440" t="s">
        <v>4103</v>
      </c>
      <c r="R126" s="441"/>
      <c r="S126" s="441"/>
      <c r="T126" s="441"/>
      <c r="U126" s="441"/>
      <c r="V126" s="442" t="s">
        <v>4104</v>
      </c>
      <c r="W126" s="443"/>
      <c r="X126" s="443" t="s">
        <v>4105</v>
      </c>
      <c r="Y126" s="443"/>
      <c r="Z126" s="443"/>
      <c r="AA126" s="443"/>
      <c r="AB126" s="443"/>
      <c r="AC126" s="443"/>
      <c r="AD126" s="443"/>
      <c r="AE126" s="519"/>
    </row>
    <row r="127" ht="16.5" spans="1:31">
      <c r="A127" s="309"/>
      <c r="B127" s="311"/>
      <c r="C127" s="310"/>
      <c r="D127" s="310"/>
      <c r="E127" s="312"/>
      <c r="F127" s="312"/>
      <c r="G127" s="312"/>
      <c r="H127" s="312"/>
      <c r="I127" s="312"/>
      <c r="J127" s="333"/>
      <c r="K127" s="333"/>
      <c r="L127" s="312"/>
      <c r="M127" s="312"/>
      <c r="N127" s="312"/>
      <c r="O127" s="312"/>
      <c r="P127" s="312"/>
      <c r="Q127" s="440"/>
      <c r="R127" s="441"/>
      <c r="S127" s="441"/>
      <c r="T127" s="441"/>
      <c r="U127" s="441"/>
      <c r="V127" s="443"/>
      <c r="W127" s="443"/>
      <c r="X127" s="443"/>
      <c r="Y127" s="443"/>
      <c r="Z127" s="443"/>
      <c r="AA127" s="443"/>
      <c r="AB127" s="443"/>
      <c r="AC127" s="443"/>
      <c r="AD127" s="443"/>
      <c r="AE127" s="519"/>
    </row>
    <row r="128" ht="16.5" spans="1:31">
      <c r="A128" s="309"/>
      <c r="B128" s="311"/>
      <c r="C128" s="310"/>
      <c r="D128" s="310"/>
      <c r="E128" s="312"/>
      <c r="F128" s="312"/>
      <c r="G128" s="312"/>
      <c r="H128" s="312"/>
      <c r="I128" s="312"/>
      <c r="J128" s="333"/>
      <c r="K128" s="333"/>
      <c r="L128" s="312"/>
      <c r="M128" s="312"/>
      <c r="N128" s="312"/>
      <c r="O128" s="312"/>
      <c r="P128" s="312"/>
      <c r="Q128" s="440"/>
      <c r="R128" s="441"/>
      <c r="S128" s="441"/>
      <c r="T128" s="441"/>
      <c r="U128" s="441"/>
      <c r="V128" s="443"/>
      <c r="W128" s="443"/>
      <c r="X128" s="443"/>
      <c r="Y128" s="443"/>
      <c r="Z128" s="443"/>
      <c r="AA128" s="443"/>
      <c r="AB128" s="443"/>
      <c r="AC128" s="443"/>
      <c r="AD128" s="443"/>
      <c r="AE128" s="519"/>
    </row>
    <row r="129" ht="16.5" spans="1:31">
      <c r="A129" s="309"/>
      <c r="B129" s="311"/>
      <c r="C129" s="310"/>
      <c r="D129" s="310"/>
      <c r="E129" s="312"/>
      <c r="F129" s="312"/>
      <c r="G129" s="312"/>
      <c r="H129" s="312"/>
      <c r="I129" s="312"/>
      <c r="J129" s="333"/>
      <c r="K129" s="333"/>
      <c r="L129" s="312"/>
      <c r="M129" s="312"/>
      <c r="N129" s="312"/>
      <c r="O129" s="312"/>
      <c r="P129" s="312"/>
      <c r="Q129" s="543" t="s">
        <v>4106</v>
      </c>
      <c r="R129" s="544"/>
      <c r="S129" s="544"/>
      <c r="T129" s="544"/>
      <c r="U129" s="544"/>
      <c r="V129" s="545" t="s">
        <v>4107</v>
      </c>
      <c r="W129" s="546"/>
      <c r="X129" s="546" t="s">
        <v>4108</v>
      </c>
      <c r="Y129" s="546"/>
      <c r="Z129" s="546"/>
      <c r="AA129" s="546"/>
      <c r="AB129" s="546"/>
      <c r="AC129" s="546"/>
      <c r="AD129" s="546"/>
      <c r="AE129" s="553"/>
    </row>
    <row r="130" ht="16.5" spans="1:31">
      <c r="A130" s="309"/>
      <c r="B130" s="311"/>
      <c r="C130" s="310"/>
      <c r="D130" s="310"/>
      <c r="E130" s="312"/>
      <c r="F130" s="312"/>
      <c r="G130" s="312"/>
      <c r="H130" s="312"/>
      <c r="I130" s="312"/>
      <c r="J130" s="333"/>
      <c r="K130" s="333"/>
      <c r="L130" s="312"/>
      <c r="M130" s="312"/>
      <c r="N130" s="312"/>
      <c r="O130" s="312"/>
      <c r="P130" s="312"/>
      <c r="Q130" s="543"/>
      <c r="R130" s="544"/>
      <c r="S130" s="544"/>
      <c r="T130" s="544"/>
      <c r="U130" s="544"/>
      <c r="V130" s="546"/>
      <c r="W130" s="546"/>
      <c r="X130" s="546"/>
      <c r="Y130" s="546"/>
      <c r="Z130" s="546"/>
      <c r="AA130" s="546"/>
      <c r="AB130" s="546"/>
      <c r="AC130" s="546"/>
      <c r="AD130" s="546"/>
      <c r="AE130" s="553"/>
    </row>
    <row r="131" ht="16.5" spans="1:31">
      <c r="A131" s="309"/>
      <c r="B131" s="311"/>
      <c r="C131" s="310"/>
      <c r="D131" s="310"/>
      <c r="E131" s="312"/>
      <c r="F131" s="312"/>
      <c r="G131" s="312"/>
      <c r="H131" s="312"/>
      <c r="I131" s="312"/>
      <c r="J131" s="333"/>
      <c r="K131" s="333"/>
      <c r="L131" s="312"/>
      <c r="M131" s="312"/>
      <c r="N131" s="312"/>
      <c r="O131" s="312"/>
      <c r="P131" s="312"/>
      <c r="Q131" s="543"/>
      <c r="R131" s="544"/>
      <c r="S131" s="544"/>
      <c r="T131" s="544"/>
      <c r="U131" s="544"/>
      <c r="V131" s="546"/>
      <c r="W131" s="546"/>
      <c r="X131" s="546"/>
      <c r="Y131" s="546"/>
      <c r="Z131" s="546"/>
      <c r="AA131" s="546"/>
      <c r="AB131" s="546"/>
      <c r="AC131" s="546"/>
      <c r="AD131" s="546"/>
      <c r="AE131" s="553"/>
    </row>
    <row r="132" ht="16.5" spans="1:31">
      <c r="A132" s="309"/>
      <c r="B132" s="310"/>
      <c r="C132" s="310"/>
      <c r="D132" s="310"/>
      <c r="E132" s="333"/>
      <c r="F132" s="333"/>
      <c r="G132" s="333"/>
      <c r="H132" s="333"/>
      <c r="I132" s="333"/>
      <c r="J132" s="333"/>
      <c r="K132" s="333"/>
      <c r="L132" s="312"/>
      <c r="M132" s="312"/>
      <c r="N132" s="312"/>
      <c r="O132" s="312"/>
      <c r="P132" s="312"/>
      <c r="Q132" s="440" t="s">
        <v>4109</v>
      </c>
      <c r="R132" s="441"/>
      <c r="S132" s="441"/>
      <c r="T132" s="441"/>
      <c r="U132" s="441"/>
      <c r="V132" s="442" t="s">
        <v>4110</v>
      </c>
      <c r="W132" s="443"/>
      <c r="X132" s="443" t="s">
        <v>4111</v>
      </c>
      <c r="Y132" s="443"/>
      <c r="Z132" s="443"/>
      <c r="AA132" s="443"/>
      <c r="AB132" s="443"/>
      <c r="AC132" s="443"/>
      <c r="AD132" s="443"/>
      <c r="AE132" s="519"/>
    </row>
    <row r="133" ht="16.5" spans="1:31">
      <c r="A133" s="309"/>
      <c r="B133" s="310"/>
      <c r="C133" s="310"/>
      <c r="D133" s="310"/>
      <c r="E133" s="333"/>
      <c r="F133" s="333"/>
      <c r="G133" s="333"/>
      <c r="H133" s="333"/>
      <c r="I133" s="333"/>
      <c r="J133" s="333"/>
      <c r="K133" s="333"/>
      <c r="L133" s="312"/>
      <c r="M133" s="312"/>
      <c r="N133" s="312"/>
      <c r="O133" s="312"/>
      <c r="P133" s="312"/>
      <c r="Q133" s="440"/>
      <c r="R133" s="441"/>
      <c r="S133" s="441"/>
      <c r="T133" s="441"/>
      <c r="U133" s="441"/>
      <c r="V133" s="443"/>
      <c r="W133" s="443"/>
      <c r="X133" s="443"/>
      <c r="Y133" s="443"/>
      <c r="Z133" s="443"/>
      <c r="AA133" s="443"/>
      <c r="AB133" s="443"/>
      <c r="AC133" s="443"/>
      <c r="AD133" s="443"/>
      <c r="AE133" s="519"/>
    </row>
    <row r="134" ht="16.5" spans="1:31">
      <c r="A134" s="309"/>
      <c r="B134" s="310"/>
      <c r="C134" s="310"/>
      <c r="D134" s="310"/>
      <c r="E134" s="333"/>
      <c r="F134" s="333"/>
      <c r="G134" s="333"/>
      <c r="H134" s="333"/>
      <c r="I134" s="333"/>
      <c r="J134" s="333"/>
      <c r="K134" s="333"/>
      <c r="L134" s="312"/>
      <c r="M134" s="312"/>
      <c r="N134" s="312"/>
      <c r="O134" s="312"/>
      <c r="P134" s="312"/>
      <c r="Q134" s="440"/>
      <c r="R134" s="441"/>
      <c r="S134" s="441"/>
      <c r="T134" s="441"/>
      <c r="U134" s="441"/>
      <c r="V134" s="443"/>
      <c r="W134" s="443"/>
      <c r="X134" s="443"/>
      <c r="Y134" s="443"/>
      <c r="Z134" s="443"/>
      <c r="AA134" s="443"/>
      <c r="AB134" s="443"/>
      <c r="AC134" s="443"/>
      <c r="AD134" s="443"/>
      <c r="AE134" s="519"/>
    </row>
    <row r="135" ht="16.5" spans="1:31">
      <c r="A135" s="309"/>
      <c r="B135" s="310"/>
      <c r="C135" s="310"/>
      <c r="D135" s="310"/>
      <c r="E135" s="333"/>
      <c r="F135" s="333"/>
      <c r="G135" s="333"/>
      <c r="H135" s="333"/>
      <c r="I135" s="333"/>
      <c r="J135" s="333"/>
      <c r="K135" s="333"/>
      <c r="L135" s="312"/>
      <c r="M135" s="312"/>
      <c r="N135" s="312"/>
      <c r="O135" s="312"/>
      <c r="P135" s="312"/>
      <c r="Q135" s="543" t="s">
        <v>4112</v>
      </c>
      <c r="R135" s="544"/>
      <c r="S135" s="544"/>
      <c r="T135" s="544"/>
      <c r="U135" s="544"/>
      <c r="V135" s="545" t="s">
        <v>4113</v>
      </c>
      <c r="W135" s="546"/>
      <c r="X135" s="546" t="s">
        <v>4114</v>
      </c>
      <c r="Y135" s="546"/>
      <c r="Z135" s="546"/>
      <c r="AA135" s="546"/>
      <c r="AB135" s="546"/>
      <c r="AC135" s="546"/>
      <c r="AD135" s="546"/>
      <c r="AE135" s="553"/>
    </row>
    <row r="136" ht="16.5" spans="1:31">
      <c r="A136" s="309"/>
      <c r="B136" s="310"/>
      <c r="C136" s="310"/>
      <c r="D136" s="310"/>
      <c r="E136" s="333"/>
      <c r="F136" s="333"/>
      <c r="G136" s="333"/>
      <c r="H136" s="333"/>
      <c r="I136" s="333"/>
      <c r="J136" s="333"/>
      <c r="K136" s="333"/>
      <c r="L136" s="312"/>
      <c r="M136" s="312"/>
      <c r="N136" s="312"/>
      <c r="O136" s="312"/>
      <c r="P136" s="312"/>
      <c r="Q136" s="543"/>
      <c r="R136" s="544"/>
      <c r="S136" s="544"/>
      <c r="T136" s="544"/>
      <c r="U136" s="544"/>
      <c r="V136" s="546"/>
      <c r="W136" s="546"/>
      <c r="X136" s="546"/>
      <c r="Y136" s="546"/>
      <c r="Z136" s="546"/>
      <c r="AA136" s="546"/>
      <c r="AB136" s="546"/>
      <c r="AC136" s="546"/>
      <c r="AD136" s="546"/>
      <c r="AE136" s="553"/>
    </row>
    <row r="137" ht="16.5" spans="1:31">
      <c r="A137" s="309"/>
      <c r="B137" s="310"/>
      <c r="C137" s="310"/>
      <c r="D137" s="310"/>
      <c r="E137" s="333"/>
      <c r="F137" s="333"/>
      <c r="G137" s="333"/>
      <c r="H137" s="333"/>
      <c r="I137" s="333"/>
      <c r="J137" s="333"/>
      <c r="K137" s="333"/>
      <c r="L137" s="312"/>
      <c r="M137" s="312"/>
      <c r="N137" s="312"/>
      <c r="O137" s="312"/>
      <c r="P137" s="312"/>
      <c r="Q137" s="543"/>
      <c r="R137" s="544"/>
      <c r="S137" s="544"/>
      <c r="T137" s="544"/>
      <c r="U137" s="544"/>
      <c r="V137" s="546"/>
      <c r="W137" s="546"/>
      <c r="X137" s="546"/>
      <c r="Y137" s="546"/>
      <c r="Z137" s="546"/>
      <c r="AA137" s="546"/>
      <c r="AB137" s="546"/>
      <c r="AC137" s="546"/>
      <c r="AD137" s="546"/>
      <c r="AE137" s="553"/>
    </row>
    <row r="138" ht="16.5" spans="1:31">
      <c r="A138" s="309"/>
      <c r="B138" s="310"/>
      <c r="C138" s="310"/>
      <c r="D138" s="310"/>
      <c r="E138" s="333"/>
      <c r="F138" s="333"/>
      <c r="G138" s="333"/>
      <c r="H138" s="333"/>
      <c r="I138" s="333"/>
      <c r="J138" s="333"/>
      <c r="K138" s="333"/>
      <c r="L138" s="312"/>
      <c r="M138" s="312"/>
      <c r="N138" s="312"/>
      <c r="O138" s="312"/>
      <c r="P138" s="312"/>
      <c r="Q138" s="440" t="s">
        <v>4115</v>
      </c>
      <c r="R138" s="441"/>
      <c r="S138" s="441"/>
      <c r="T138" s="441"/>
      <c r="U138" s="441"/>
      <c r="V138" s="442" t="s">
        <v>4116</v>
      </c>
      <c r="W138" s="443"/>
      <c r="X138" s="443" t="s">
        <v>4117</v>
      </c>
      <c r="Y138" s="443"/>
      <c r="Z138" s="443"/>
      <c r="AA138" s="443"/>
      <c r="AB138" s="443"/>
      <c r="AC138" s="443"/>
      <c r="AD138" s="443"/>
      <c r="AE138" s="519"/>
    </row>
    <row r="139" ht="16.5" spans="1:31">
      <c r="A139" s="309"/>
      <c r="B139" s="310"/>
      <c r="C139" s="310"/>
      <c r="D139" s="310"/>
      <c r="E139" s="333"/>
      <c r="F139" s="333"/>
      <c r="G139" s="333"/>
      <c r="H139" s="333"/>
      <c r="I139" s="333"/>
      <c r="J139" s="333"/>
      <c r="K139" s="333"/>
      <c r="L139" s="312"/>
      <c r="M139" s="312"/>
      <c r="N139" s="312"/>
      <c r="O139" s="312"/>
      <c r="P139" s="312"/>
      <c r="Q139" s="440"/>
      <c r="R139" s="441"/>
      <c r="S139" s="441"/>
      <c r="T139" s="441"/>
      <c r="U139" s="441"/>
      <c r="V139" s="443"/>
      <c r="W139" s="443"/>
      <c r="X139" s="443"/>
      <c r="Y139" s="443"/>
      <c r="Z139" s="443"/>
      <c r="AA139" s="443"/>
      <c r="AB139" s="443"/>
      <c r="AC139" s="443"/>
      <c r="AD139" s="443"/>
      <c r="AE139" s="519"/>
    </row>
    <row r="140" ht="17.25" spans="1:31">
      <c r="A140" s="309"/>
      <c r="B140" s="310"/>
      <c r="C140" s="310"/>
      <c r="D140" s="310"/>
      <c r="E140" s="333"/>
      <c r="F140" s="333"/>
      <c r="G140" s="333"/>
      <c r="H140" s="333"/>
      <c r="I140" s="333"/>
      <c r="J140" s="333"/>
      <c r="K140" s="333"/>
      <c r="L140" s="312"/>
      <c r="M140" s="312"/>
      <c r="N140" s="312"/>
      <c r="O140" s="312"/>
      <c r="P140" s="312"/>
      <c r="Q140" s="547"/>
      <c r="R140" s="548"/>
      <c r="S140" s="548"/>
      <c r="T140" s="548"/>
      <c r="U140" s="548"/>
      <c r="V140" s="549"/>
      <c r="W140" s="549"/>
      <c r="X140" s="549"/>
      <c r="Y140" s="549"/>
      <c r="Z140" s="549"/>
      <c r="AA140" s="549"/>
      <c r="AB140" s="549"/>
      <c r="AC140" s="549"/>
      <c r="AD140" s="549"/>
      <c r="AE140" s="554"/>
    </row>
    <row r="141" spans="1:17">
      <c r="A141" s="309"/>
      <c r="B141" s="287"/>
      <c r="C141" s="287"/>
      <c r="D141" s="287"/>
      <c r="E141" s="287"/>
      <c r="F141" s="287"/>
      <c r="G141" s="287"/>
      <c r="H141" s="287"/>
      <c r="I141" s="287"/>
      <c r="J141" s="287"/>
      <c r="K141" s="287"/>
      <c r="L141" s="287"/>
      <c r="M141" s="287"/>
      <c r="N141" s="287"/>
      <c r="O141" s="287"/>
      <c r="P141" s="287"/>
      <c r="Q141" s="287"/>
    </row>
    <row r="142" ht="40" spans="1:17">
      <c r="A142" s="309"/>
      <c r="B142" s="520"/>
      <c r="C142" s="520"/>
      <c r="D142" s="520"/>
      <c r="E142" s="520"/>
      <c r="F142" s="520"/>
      <c r="G142" s="520"/>
      <c r="H142" s="520"/>
      <c r="I142" s="520"/>
      <c r="J142" s="520"/>
      <c r="K142" s="520"/>
      <c r="L142" s="520"/>
      <c r="M142" s="520"/>
      <c r="N142" s="520"/>
      <c r="O142" s="520"/>
      <c r="P142" s="520"/>
      <c r="Q142" s="520"/>
    </row>
    <row r="143" ht="40" spans="1:17">
      <c r="A143" s="309"/>
      <c r="B143" s="520"/>
      <c r="C143" s="520"/>
      <c r="D143" s="520"/>
      <c r="E143" s="520"/>
      <c r="F143" s="520"/>
      <c r="G143" s="520"/>
      <c r="H143" s="520"/>
      <c r="I143" s="520"/>
      <c r="J143" s="520"/>
      <c r="K143" s="520"/>
      <c r="L143" s="520"/>
      <c r="M143" s="520"/>
      <c r="N143" s="520"/>
      <c r="O143" s="520"/>
      <c r="P143" s="520"/>
      <c r="Q143" s="520"/>
    </row>
    <row r="144" ht="40" spans="1:17">
      <c r="A144" s="309"/>
      <c r="B144" s="520"/>
      <c r="C144" s="520"/>
      <c r="D144" s="520"/>
      <c r="E144" s="520"/>
      <c r="F144" s="520"/>
      <c r="G144" s="520"/>
      <c r="H144" s="520"/>
      <c r="I144" s="520"/>
      <c r="J144" s="520"/>
      <c r="K144" s="520"/>
      <c r="L144" s="520"/>
      <c r="M144" s="520"/>
      <c r="N144" s="520"/>
      <c r="O144" s="520"/>
      <c r="P144" s="520"/>
      <c r="Q144" s="520"/>
    </row>
    <row r="145" ht="16.5" spans="1:17">
      <c r="A145" s="309"/>
      <c r="B145" s="521"/>
      <c r="C145" s="521"/>
      <c r="D145" s="521"/>
      <c r="E145" s="521"/>
      <c r="F145" s="521"/>
      <c r="G145" s="522"/>
      <c r="H145" s="522"/>
      <c r="I145" s="538"/>
      <c r="J145" s="538"/>
      <c r="K145" s="538"/>
      <c r="L145" s="538"/>
      <c r="M145" s="538"/>
      <c r="N145" s="538"/>
      <c r="O145" s="538"/>
      <c r="P145" s="538"/>
      <c r="Q145" s="538"/>
    </row>
    <row r="146" ht="23" customHeight="1" spans="1:17">
      <c r="A146" s="309"/>
      <c r="B146" s="523"/>
      <c r="C146" s="521"/>
      <c r="D146" s="523"/>
      <c r="E146" s="523"/>
      <c r="F146" s="523"/>
      <c r="G146" s="523"/>
      <c r="H146" s="522"/>
      <c r="I146" s="530"/>
      <c r="J146" s="530"/>
      <c r="K146" s="538"/>
      <c r="L146" s="530"/>
      <c r="M146" s="530"/>
      <c r="N146" s="538"/>
      <c r="O146" s="530"/>
      <c r="P146" s="530"/>
      <c r="Q146" s="530"/>
    </row>
    <row r="147" ht="16.5" spans="1:17">
      <c r="A147" s="309"/>
      <c r="B147" s="524"/>
      <c r="C147" s="521"/>
      <c r="D147" s="524"/>
      <c r="E147" s="525"/>
      <c r="F147" s="524"/>
      <c r="G147" s="524"/>
      <c r="H147" s="521"/>
      <c r="I147" s="533"/>
      <c r="J147" s="533"/>
      <c r="K147" s="538"/>
      <c r="L147" s="533"/>
      <c r="M147" s="533"/>
      <c r="N147" s="538"/>
      <c r="O147" s="533"/>
      <c r="P147" s="528"/>
      <c r="Q147" s="528"/>
    </row>
    <row r="148" ht="16.5" spans="1:17">
      <c r="A148" s="309"/>
      <c r="B148" s="526"/>
      <c r="C148" s="521"/>
      <c r="D148" s="525"/>
      <c r="E148" s="525"/>
      <c r="F148" s="524"/>
      <c r="G148" s="524"/>
      <c r="H148" s="521"/>
      <c r="I148" s="533"/>
      <c r="J148" s="533"/>
      <c r="K148" s="538"/>
      <c r="L148" s="533"/>
      <c r="M148" s="533"/>
      <c r="N148" s="538"/>
      <c r="O148" s="528"/>
      <c r="P148" s="528"/>
      <c r="Q148" s="528"/>
    </row>
    <row r="149" ht="16.5" spans="1:17">
      <c r="A149" s="309"/>
      <c r="B149" s="526"/>
      <c r="C149" s="521"/>
      <c r="D149" s="525"/>
      <c r="E149" s="525"/>
      <c r="F149" s="524"/>
      <c r="G149" s="524"/>
      <c r="H149" s="521"/>
      <c r="I149" s="533"/>
      <c r="J149" s="533"/>
      <c r="K149" s="538"/>
      <c r="L149" s="533"/>
      <c r="M149" s="533"/>
      <c r="N149" s="538"/>
      <c r="O149" s="528"/>
      <c r="P149" s="528"/>
      <c r="Q149" s="528"/>
    </row>
    <row r="150" ht="16.5" spans="1:17">
      <c r="A150" s="309"/>
      <c r="B150" s="526"/>
      <c r="C150" s="521"/>
      <c r="D150" s="525"/>
      <c r="E150" s="525"/>
      <c r="F150" s="524"/>
      <c r="G150" s="524"/>
      <c r="H150" s="521"/>
      <c r="I150" s="533"/>
      <c r="J150" s="533"/>
      <c r="K150" s="538"/>
      <c r="L150" s="533"/>
      <c r="M150" s="533"/>
      <c r="N150" s="538"/>
      <c r="O150" s="528"/>
      <c r="P150" s="528"/>
      <c r="Q150" s="528"/>
    </row>
    <row r="151" ht="16.5" spans="1:17">
      <c r="A151" s="309"/>
      <c r="B151" s="526"/>
      <c r="C151" s="521"/>
      <c r="D151" s="525"/>
      <c r="E151" s="525"/>
      <c r="F151" s="524"/>
      <c r="G151" s="524"/>
      <c r="H151" s="521"/>
      <c r="I151" s="533"/>
      <c r="J151" s="533"/>
      <c r="K151" s="538"/>
      <c r="L151" s="533"/>
      <c r="M151" s="533"/>
      <c r="N151" s="538"/>
      <c r="O151" s="528"/>
      <c r="P151" s="528"/>
      <c r="Q151" s="528"/>
    </row>
    <row r="152" ht="16.5" spans="1:17">
      <c r="A152" s="309"/>
      <c r="B152" s="526"/>
      <c r="C152" s="521"/>
      <c r="D152" s="525"/>
      <c r="E152" s="525"/>
      <c r="F152" s="524"/>
      <c r="G152" s="524"/>
      <c r="H152" s="521"/>
      <c r="I152" s="533"/>
      <c r="J152" s="533"/>
      <c r="K152" s="538"/>
      <c r="L152" s="533"/>
      <c r="M152" s="533"/>
      <c r="N152" s="538"/>
      <c r="O152" s="528"/>
      <c r="P152" s="528"/>
      <c r="Q152" s="528"/>
    </row>
    <row r="153" ht="16.5" spans="1:17">
      <c r="A153" s="309"/>
      <c r="B153" s="526"/>
      <c r="C153" s="521"/>
      <c r="D153" s="525"/>
      <c r="E153" s="525"/>
      <c r="F153" s="524"/>
      <c r="G153" s="524"/>
      <c r="H153" s="521"/>
      <c r="I153" s="533"/>
      <c r="J153" s="533"/>
      <c r="K153" s="538"/>
      <c r="L153" s="533"/>
      <c r="M153" s="533"/>
      <c r="N153" s="538"/>
      <c r="O153" s="528"/>
      <c r="P153" s="528"/>
      <c r="Q153" s="528"/>
    </row>
    <row r="154" ht="16.5" spans="1:17">
      <c r="A154" s="309"/>
      <c r="B154" s="526"/>
      <c r="C154" s="521"/>
      <c r="D154" s="525"/>
      <c r="E154" s="525"/>
      <c r="F154" s="524"/>
      <c r="G154" s="524"/>
      <c r="H154" s="521"/>
      <c r="I154" s="533"/>
      <c r="J154" s="533"/>
      <c r="K154" s="538"/>
      <c r="L154" s="533"/>
      <c r="M154" s="533"/>
      <c r="N154" s="538"/>
      <c r="O154" s="528"/>
      <c r="P154" s="528"/>
      <c r="Q154" s="528"/>
    </row>
    <row r="155" ht="16.5" spans="1:17">
      <c r="A155" s="309"/>
      <c r="B155" s="521"/>
      <c r="C155" s="521"/>
      <c r="D155" s="521"/>
      <c r="E155" s="521"/>
      <c r="F155" s="521"/>
      <c r="G155" s="521"/>
      <c r="H155" s="521"/>
      <c r="I155" s="538"/>
      <c r="J155" s="538"/>
      <c r="K155" s="538"/>
      <c r="L155" s="538"/>
      <c r="M155" s="538"/>
      <c r="N155" s="538"/>
      <c r="O155" s="538"/>
      <c r="P155" s="538"/>
      <c r="Q155" s="538"/>
    </row>
    <row r="156" ht="16.5" spans="1:17">
      <c r="A156" s="309"/>
      <c r="B156" s="521"/>
      <c r="C156" s="521"/>
      <c r="D156" s="521"/>
      <c r="E156" s="521"/>
      <c r="F156" s="521"/>
      <c r="G156" s="521"/>
      <c r="H156" s="521"/>
      <c r="I156" s="538"/>
      <c r="J156" s="538"/>
      <c r="K156" s="538"/>
      <c r="L156" s="538"/>
      <c r="M156" s="538"/>
      <c r="N156" s="538"/>
      <c r="O156" s="538"/>
      <c r="P156" s="538"/>
      <c r="Q156" s="538"/>
    </row>
    <row r="157" ht="16.5" spans="1:19">
      <c r="A157" s="309"/>
      <c r="B157" s="523"/>
      <c r="C157" s="523"/>
      <c r="D157" s="523"/>
      <c r="E157" s="521"/>
      <c r="F157" s="523"/>
      <c r="G157" s="523"/>
      <c r="H157" s="523"/>
      <c r="I157" s="523"/>
      <c r="J157" s="538"/>
      <c r="K157" s="530"/>
      <c r="L157" s="530"/>
      <c r="M157" s="530"/>
      <c r="N157" s="530"/>
      <c r="O157" s="530"/>
      <c r="P157" s="530"/>
      <c r="Q157" s="530"/>
      <c r="S157" s="550"/>
    </row>
    <row r="158" ht="16.5" spans="1:19">
      <c r="A158" s="309"/>
      <c r="B158" s="523"/>
      <c r="C158" s="523"/>
      <c r="D158" s="523"/>
      <c r="E158" s="521"/>
      <c r="F158" s="523"/>
      <c r="G158" s="523"/>
      <c r="H158" s="523"/>
      <c r="I158" s="523"/>
      <c r="J158" s="538"/>
      <c r="K158" s="530"/>
      <c r="L158" s="530"/>
      <c r="M158" s="530"/>
      <c r="N158" s="530"/>
      <c r="O158" s="530"/>
      <c r="P158" s="530"/>
      <c r="Q158" s="530"/>
      <c r="S158" s="550"/>
    </row>
    <row r="159" ht="16.5" spans="1:19">
      <c r="A159" s="309"/>
      <c r="B159" s="527"/>
      <c r="C159" s="524"/>
      <c r="D159" s="524"/>
      <c r="E159" s="521"/>
      <c r="F159" s="524"/>
      <c r="G159" s="524"/>
      <c r="H159" s="527"/>
      <c r="I159" s="527"/>
      <c r="J159" s="538"/>
      <c r="K159" s="533"/>
      <c r="L159" s="533"/>
      <c r="M159" s="533"/>
      <c r="N159" s="533"/>
      <c r="O159" s="539"/>
      <c r="P159" s="539"/>
      <c r="Q159" s="539"/>
      <c r="R159" s="551"/>
      <c r="S159" s="550"/>
    </row>
    <row r="160" ht="16.5" spans="1:19">
      <c r="A160" s="309"/>
      <c r="B160" s="527"/>
      <c r="C160" s="524"/>
      <c r="D160" s="524"/>
      <c r="E160" s="521"/>
      <c r="F160" s="524"/>
      <c r="G160" s="524"/>
      <c r="H160" s="527"/>
      <c r="I160" s="527"/>
      <c r="J160" s="538"/>
      <c r="K160" s="533"/>
      <c r="L160" s="533"/>
      <c r="M160" s="533"/>
      <c r="N160" s="533"/>
      <c r="O160" s="539"/>
      <c r="P160" s="539"/>
      <c r="Q160" s="539"/>
      <c r="R160" s="551"/>
      <c r="S160" s="550"/>
    </row>
    <row r="161" ht="16.5" spans="2:19">
      <c r="B161" s="527"/>
      <c r="C161" s="524"/>
      <c r="D161" s="524"/>
      <c r="E161" s="522"/>
      <c r="F161" s="524"/>
      <c r="G161" s="524"/>
      <c r="H161" s="527"/>
      <c r="I161" s="527"/>
      <c r="J161" s="538"/>
      <c r="K161" s="540"/>
      <c r="L161" s="540"/>
      <c r="M161" s="540"/>
      <c r="N161" s="540"/>
      <c r="O161" s="540"/>
      <c r="P161" s="540"/>
      <c r="Q161" s="540"/>
      <c r="S161" s="550"/>
    </row>
    <row r="162" ht="16.5" spans="2:19">
      <c r="B162" s="527"/>
      <c r="C162" s="524"/>
      <c r="D162" s="524"/>
      <c r="E162" s="522"/>
      <c r="F162" s="524"/>
      <c r="G162" s="524"/>
      <c r="H162" s="527"/>
      <c r="I162" s="527"/>
      <c r="J162" s="538"/>
      <c r="K162" s="540"/>
      <c r="L162" s="540"/>
      <c r="M162" s="540"/>
      <c r="N162" s="540"/>
      <c r="O162" s="540"/>
      <c r="P162" s="540"/>
      <c r="Q162" s="540"/>
      <c r="S162" s="550"/>
    </row>
    <row r="163" ht="16.5" spans="2:17">
      <c r="B163" s="527"/>
      <c r="C163" s="524"/>
      <c r="D163" s="524"/>
      <c r="E163" s="522"/>
      <c r="F163" s="524"/>
      <c r="G163" s="524"/>
      <c r="H163" s="527"/>
      <c r="I163" s="527"/>
      <c r="J163" s="538"/>
      <c r="K163" s="533"/>
      <c r="L163" s="533"/>
      <c r="M163" s="533"/>
      <c r="N163" s="533"/>
      <c r="O163" s="533"/>
      <c r="P163" s="533"/>
      <c r="Q163" s="533"/>
    </row>
    <row r="164" ht="16.5" spans="2:17">
      <c r="B164" s="527"/>
      <c r="C164" s="524"/>
      <c r="D164" s="524"/>
      <c r="E164" s="522"/>
      <c r="F164" s="524"/>
      <c r="G164" s="524"/>
      <c r="H164" s="527"/>
      <c r="I164" s="527"/>
      <c r="J164" s="538"/>
      <c r="K164" s="533"/>
      <c r="L164" s="533"/>
      <c r="M164" s="533"/>
      <c r="N164" s="533"/>
      <c r="O164" s="533"/>
      <c r="P164" s="533"/>
      <c r="Q164" s="533"/>
    </row>
    <row r="165" ht="16.5" spans="2:17">
      <c r="B165" s="527"/>
      <c r="C165" s="524"/>
      <c r="D165" s="524"/>
      <c r="E165" s="522"/>
      <c r="F165" s="524"/>
      <c r="G165" s="524"/>
      <c r="H165" s="527"/>
      <c r="I165" s="527"/>
      <c r="J165" s="538"/>
      <c r="K165" s="533"/>
      <c r="L165" s="533"/>
      <c r="M165" s="533"/>
      <c r="N165" s="533"/>
      <c r="O165" s="533"/>
      <c r="P165" s="533"/>
      <c r="Q165" s="533"/>
    </row>
    <row r="166" ht="16.5" spans="2:17">
      <c r="B166" s="527"/>
      <c r="C166" s="524"/>
      <c r="D166" s="524"/>
      <c r="E166" s="522"/>
      <c r="F166" s="524"/>
      <c r="G166" s="524"/>
      <c r="H166" s="527"/>
      <c r="I166" s="527"/>
      <c r="J166" s="538"/>
      <c r="K166" s="533"/>
      <c r="L166" s="533"/>
      <c r="M166" s="533"/>
      <c r="N166" s="533"/>
      <c r="O166" s="533"/>
      <c r="P166" s="533"/>
      <c r="Q166" s="533"/>
    </row>
    <row r="167" ht="16.5" spans="2:18">
      <c r="B167" s="527"/>
      <c r="C167" s="528"/>
      <c r="D167" s="524"/>
      <c r="E167" s="522"/>
      <c r="F167" s="524"/>
      <c r="G167" s="524"/>
      <c r="H167" s="527"/>
      <c r="I167" s="527"/>
      <c r="J167" s="538"/>
      <c r="K167" s="533"/>
      <c r="L167" s="533"/>
      <c r="M167" s="533"/>
      <c r="N167" s="533"/>
      <c r="O167" s="533"/>
      <c r="P167" s="533"/>
      <c r="Q167" s="533"/>
      <c r="R167" s="552"/>
    </row>
    <row r="168" ht="16.5" spans="2:18">
      <c r="B168" s="522"/>
      <c r="C168" s="529"/>
      <c r="D168" s="522"/>
      <c r="E168" s="522"/>
      <c r="F168" s="522"/>
      <c r="G168" s="522"/>
      <c r="H168" s="522"/>
      <c r="I168" s="538"/>
      <c r="J168" s="538"/>
      <c r="K168" s="541"/>
      <c r="L168" s="541"/>
      <c r="M168" s="541"/>
      <c r="N168" s="541"/>
      <c r="O168" s="542"/>
      <c r="P168" s="542"/>
      <c r="Q168" s="542"/>
      <c r="R168" s="552"/>
    </row>
    <row r="169" ht="16.5" spans="2:18">
      <c r="B169" s="522"/>
      <c r="C169" s="522"/>
      <c r="D169" s="522"/>
      <c r="E169" s="522"/>
      <c r="F169" s="522"/>
      <c r="G169" s="522"/>
      <c r="H169" s="522"/>
      <c r="I169" s="538"/>
      <c r="J169" s="538"/>
      <c r="K169" s="541"/>
      <c r="L169" s="541"/>
      <c r="M169" s="541"/>
      <c r="N169" s="541"/>
      <c r="O169" s="542"/>
      <c r="P169" s="542"/>
      <c r="Q169" s="542"/>
      <c r="R169" s="552"/>
    </row>
    <row r="170" ht="16.5" spans="2:18">
      <c r="B170" s="530"/>
      <c r="C170" s="530"/>
      <c r="D170" s="530"/>
      <c r="E170" s="522"/>
      <c r="F170" s="531"/>
      <c r="G170" s="531"/>
      <c r="H170" s="522"/>
      <c r="I170" s="530"/>
      <c r="J170" s="530"/>
      <c r="K170" s="530"/>
      <c r="L170" s="530"/>
      <c r="M170" s="530"/>
      <c r="N170" s="530"/>
      <c r="O170" s="530"/>
      <c r="P170" s="530"/>
      <c r="Q170" s="530"/>
      <c r="R170" s="552"/>
    </row>
    <row r="171" ht="16.5" spans="2:18">
      <c r="B171" s="530"/>
      <c r="C171" s="530"/>
      <c r="D171" s="530"/>
      <c r="E171" s="522"/>
      <c r="F171" s="531"/>
      <c r="G171" s="531"/>
      <c r="H171" s="522"/>
      <c r="I171" s="530"/>
      <c r="J171" s="530"/>
      <c r="K171" s="530"/>
      <c r="L171" s="530"/>
      <c r="M171" s="530"/>
      <c r="N171" s="530"/>
      <c r="O171" s="530"/>
      <c r="P171" s="530"/>
      <c r="Q171" s="530"/>
      <c r="R171" s="552"/>
    </row>
    <row r="172" ht="16.5" spans="2:18">
      <c r="B172" s="532"/>
      <c r="C172" s="533"/>
      <c r="D172" s="533"/>
      <c r="E172" s="522"/>
      <c r="F172" s="533"/>
      <c r="G172" s="533"/>
      <c r="H172" s="522"/>
      <c r="I172" s="533"/>
      <c r="J172" s="533"/>
      <c r="K172" s="533"/>
      <c r="L172" s="533"/>
      <c r="M172" s="533"/>
      <c r="N172" s="533"/>
      <c r="O172" s="533"/>
      <c r="P172" s="533"/>
      <c r="Q172" s="533"/>
      <c r="R172" s="552"/>
    </row>
    <row r="173" ht="16.5" spans="2:18">
      <c r="B173" s="532"/>
      <c r="C173" s="533"/>
      <c r="D173" s="533"/>
      <c r="E173" s="522"/>
      <c r="F173" s="533"/>
      <c r="G173" s="533"/>
      <c r="H173" s="529"/>
      <c r="I173" s="533"/>
      <c r="J173" s="533"/>
      <c r="K173" s="533"/>
      <c r="L173" s="533"/>
      <c r="M173" s="533"/>
      <c r="N173" s="533"/>
      <c r="O173" s="533"/>
      <c r="P173" s="533"/>
      <c r="Q173" s="533"/>
      <c r="R173" s="552"/>
    </row>
    <row r="174" ht="16.5" spans="2:18">
      <c r="B174" s="532"/>
      <c r="C174" s="533"/>
      <c r="D174" s="533"/>
      <c r="E174" s="522"/>
      <c r="F174" s="533"/>
      <c r="G174" s="533"/>
      <c r="H174" s="529"/>
      <c r="I174" s="528"/>
      <c r="J174" s="533"/>
      <c r="K174" s="533"/>
      <c r="L174" s="533"/>
      <c r="M174" s="533"/>
      <c r="N174" s="533"/>
      <c r="O174" s="533"/>
      <c r="P174" s="533"/>
      <c r="Q174" s="533"/>
      <c r="R174" s="552"/>
    </row>
    <row r="175" ht="14.5" spans="2:17">
      <c r="B175" s="532"/>
      <c r="C175" s="533"/>
      <c r="D175" s="533"/>
      <c r="E175" s="522"/>
      <c r="F175" s="533"/>
      <c r="G175" s="533"/>
      <c r="H175" s="522"/>
      <c r="I175" s="528"/>
      <c r="J175" s="533"/>
      <c r="K175" s="533"/>
      <c r="L175" s="533"/>
      <c r="M175" s="533"/>
      <c r="N175" s="533"/>
      <c r="O175" s="533"/>
      <c r="P175" s="533"/>
      <c r="Q175" s="533"/>
    </row>
    <row r="176" ht="14.5" spans="2:17">
      <c r="B176" s="532"/>
      <c r="C176" s="533"/>
      <c r="D176" s="533"/>
      <c r="E176" s="522"/>
      <c r="F176" s="533"/>
      <c r="G176" s="533"/>
      <c r="H176" s="522"/>
      <c r="I176" s="528"/>
      <c r="J176" s="533"/>
      <c r="K176" s="533"/>
      <c r="L176" s="533"/>
      <c r="M176" s="533"/>
      <c r="N176" s="533"/>
      <c r="O176" s="533"/>
      <c r="P176" s="533"/>
      <c r="Q176" s="533"/>
    </row>
    <row r="177" ht="16.5" spans="2:17">
      <c r="B177" s="532"/>
      <c r="C177" s="533"/>
      <c r="D177" s="533"/>
      <c r="E177" s="522"/>
      <c r="F177" s="533"/>
      <c r="G177" s="533"/>
      <c r="H177" s="522"/>
      <c r="I177" s="528"/>
      <c r="J177" s="528"/>
      <c r="K177" s="528"/>
      <c r="L177" s="528"/>
      <c r="M177" s="533"/>
      <c r="N177" s="533"/>
      <c r="O177" s="533"/>
      <c r="P177" s="533"/>
      <c r="Q177" s="533"/>
    </row>
    <row r="178" ht="16.5" spans="2:17">
      <c r="B178" s="532"/>
      <c r="C178" s="533"/>
      <c r="D178" s="533"/>
      <c r="E178" s="522"/>
      <c r="F178" s="533"/>
      <c r="G178" s="533"/>
      <c r="H178" s="522"/>
      <c r="I178" s="528"/>
      <c r="J178" s="528"/>
      <c r="K178" s="528"/>
      <c r="L178" s="528"/>
      <c r="M178" s="533"/>
      <c r="N178" s="533"/>
      <c r="O178" s="533"/>
      <c r="P178" s="533"/>
      <c r="Q178" s="533"/>
    </row>
    <row r="179" ht="16.5" spans="2:17">
      <c r="B179" s="532"/>
      <c r="C179" s="533"/>
      <c r="D179" s="533"/>
      <c r="E179" s="522"/>
      <c r="F179" s="533"/>
      <c r="G179" s="533"/>
      <c r="H179" s="522"/>
      <c r="I179" s="528"/>
      <c r="J179" s="528"/>
      <c r="K179" s="528"/>
      <c r="L179" s="528"/>
      <c r="M179" s="533"/>
      <c r="N179" s="533"/>
      <c r="O179" s="533"/>
      <c r="P179" s="533"/>
      <c r="Q179" s="533"/>
    </row>
    <row r="180" ht="16.5" spans="2:17">
      <c r="B180" s="532"/>
      <c r="C180" s="533"/>
      <c r="D180" s="533"/>
      <c r="E180" s="522"/>
      <c r="F180" s="533"/>
      <c r="G180" s="533"/>
      <c r="H180" s="522"/>
      <c r="I180" s="528"/>
      <c r="J180" s="528"/>
      <c r="K180" s="528"/>
      <c r="L180" s="528"/>
      <c r="M180" s="533"/>
      <c r="N180" s="533"/>
      <c r="O180" s="533"/>
      <c r="P180" s="533"/>
      <c r="Q180" s="533"/>
    </row>
    <row r="181" ht="14.5" spans="2:17">
      <c r="B181" s="522"/>
      <c r="C181" s="522"/>
      <c r="D181" s="522"/>
      <c r="E181" s="522"/>
      <c r="F181" s="522"/>
      <c r="G181" s="522"/>
      <c r="H181" s="522"/>
      <c r="I181" s="533"/>
      <c r="J181" s="533"/>
      <c r="K181" s="533"/>
      <c r="L181" s="533"/>
      <c r="M181" s="533"/>
      <c r="N181" s="533"/>
      <c r="O181" s="533"/>
      <c r="P181" s="533"/>
      <c r="Q181" s="533"/>
    </row>
    <row r="182" ht="14.5" spans="2:17">
      <c r="B182" s="522"/>
      <c r="C182" s="522"/>
      <c r="D182" s="522"/>
      <c r="E182" s="522"/>
      <c r="F182" s="522"/>
      <c r="G182" s="522"/>
      <c r="H182" s="522"/>
      <c r="I182" s="533"/>
      <c r="J182" s="533"/>
      <c r="K182" s="533"/>
      <c r="L182" s="533"/>
      <c r="M182" s="533"/>
      <c r="N182" s="533"/>
      <c r="O182" s="533"/>
      <c r="P182" s="533"/>
      <c r="Q182" s="533"/>
    </row>
    <row r="183" ht="14.5" spans="2:17">
      <c r="B183" s="522"/>
      <c r="C183" s="522"/>
      <c r="D183" s="522"/>
      <c r="E183" s="522"/>
      <c r="F183" s="522"/>
      <c r="G183" s="522"/>
      <c r="H183" s="522"/>
      <c r="I183" s="533"/>
      <c r="J183" s="533"/>
      <c r="K183" s="533"/>
      <c r="L183" s="533"/>
      <c r="M183" s="533"/>
      <c r="N183" s="533"/>
      <c r="O183" s="533"/>
      <c r="P183" s="533"/>
      <c r="Q183" s="533"/>
    </row>
    <row r="184" ht="16.5" spans="2:17">
      <c r="B184" s="522"/>
      <c r="C184" s="522"/>
      <c r="D184" s="522"/>
      <c r="E184" s="522"/>
      <c r="F184" s="522"/>
      <c r="G184" s="522"/>
      <c r="H184" s="522"/>
      <c r="I184" s="538"/>
      <c r="J184" s="538"/>
      <c r="K184" s="538"/>
      <c r="L184" s="538"/>
      <c r="M184" s="538"/>
      <c r="N184" s="538"/>
      <c r="O184" s="538"/>
      <c r="P184" s="538"/>
      <c r="Q184" s="538"/>
    </row>
    <row r="185" ht="15" customHeight="1" spans="2:17">
      <c r="B185" s="534"/>
      <c r="C185" s="534"/>
      <c r="D185" s="534"/>
      <c r="E185" s="534"/>
      <c r="F185" s="534"/>
      <c r="G185" s="534"/>
      <c r="H185" s="534"/>
      <c r="I185" s="534"/>
      <c r="J185" s="534"/>
      <c r="K185" s="534"/>
      <c r="L185" s="534"/>
      <c r="M185" s="534"/>
      <c r="N185" s="534"/>
      <c r="O185" s="534"/>
      <c r="P185" s="534"/>
      <c r="Q185" s="534"/>
    </row>
    <row r="186" ht="15" customHeight="1" spans="2:17">
      <c r="B186" s="534"/>
      <c r="C186" s="534"/>
      <c r="D186" s="534"/>
      <c r="E186" s="534"/>
      <c r="F186" s="534"/>
      <c r="G186" s="534"/>
      <c r="H186" s="534"/>
      <c r="I186" s="534"/>
      <c r="J186" s="534"/>
      <c r="K186" s="534"/>
      <c r="L186" s="534"/>
      <c r="M186" s="534"/>
      <c r="N186" s="534"/>
      <c r="O186" s="534"/>
      <c r="P186" s="534"/>
      <c r="Q186" s="534"/>
    </row>
    <row r="187" ht="16.95" customHeight="1" spans="2:17">
      <c r="B187" s="535"/>
      <c r="C187" s="535"/>
      <c r="D187" s="535"/>
      <c r="E187" s="535"/>
      <c r="F187" s="535"/>
      <c r="G187" s="535"/>
      <c r="H187" s="535"/>
      <c r="I187" s="535"/>
      <c r="J187" s="535"/>
      <c r="K187" s="535"/>
      <c r="L187" s="535"/>
      <c r="M187" s="535"/>
      <c r="N187" s="535"/>
      <c r="O187" s="535"/>
      <c r="P187" s="535"/>
      <c r="Q187" s="535"/>
    </row>
    <row r="188" ht="16.95" customHeight="1" spans="2:17">
      <c r="B188" s="535"/>
      <c r="C188" s="535"/>
      <c r="D188" s="536"/>
      <c r="E188" s="537"/>
      <c r="F188" s="537"/>
      <c r="G188" s="537"/>
      <c r="H188" s="537"/>
      <c r="I188" s="537"/>
      <c r="J188" s="537"/>
      <c r="K188" s="537"/>
      <c r="L188" s="537"/>
      <c r="M188" s="537"/>
      <c r="N188" s="537"/>
      <c r="O188" s="537"/>
      <c r="P188" s="537"/>
      <c r="Q188" s="537"/>
    </row>
    <row r="189" ht="16.95" customHeight="1" spans="2:17">
      <c r="B189" s="535"/>
      <c r="C189" s="535"/>
      <c r="D189" s="537"/>
      <c r="E189" s="537"/>
      <c r="F189" s="537"/>
      <c r="G189" s="537"/>
      <c r="H189" s="537"/>
      <c r="I189" s="537"/>
      <c r="J189" s="537"/>
      <c r="K189" s="537"/>
      <c r="L189" s="537"/>
      <c r="M189" s="537"/>
      <c r="N189" s="537"/>
      <c r="O189" s="537"/>
      <c r="P189" s="537"/>
      <c r="Q189" s="537"/>
    </row>
    <row r="190" ht="16.95" customHeight="1" spans="2:17">
      <c r="B190" s="535"/>
      <c r="C190" s="535"/>
      <c r="D190" s="537"/>
      <c r="E190" s="537"/>
      <c r="F190" s="537"/>
      <c r="G190" s="537"/>
      <c r="H190" s="537"/>
      <c r="I190" s="537"/>
      <c r="J190" s="537"/>
      <c r="K190" s="537"/>
      <c r="L190" s="537"/>
      <c r="M190" s="537"/>
      <c r="N190" s="537"/>
      <c r="O190" s="537"/>
      <c r="P190" s="537"/>
      <c r="Q190" s="537"/>
    </row>
    <row r="191" ht="16.95" customHeight="1" spans="2:17">
      <c r="B191" s="535"/>
      <c r="C191" s="535"/>
      <c r="D191" s="537"/>
      <c r="E191" s="537"/>
      <c r="F191" s="537"/>
      <c r="G191" s="537"/>
      <c r="H191" s="537"/>
      <c r="I191" s="537"/>
      <c r="J191" s="537"/>
      <c r="K191" s="537"/>
      <c r="L191" s="537"/>
      <c r="M191" s="537"/>
      <c r="N191" s="537"/>
      <c r="O191" s="537"/>
      <c r="P191" s="537"/>
      <c r="Q191" s="537"/>
    </row>
    <row r="192" ht="16.95" customHeight="1" spans="2:17">
      <c r="B192" s="535"/>
      <c r="C192" s="535"/>
      <c r="D192" s="536"/>
      <c r="E192" s="537"/>
      <c r="F192" s="537"/>
      <c r="G192" s="537"/>
      <c r="H192" s="537"/>
      <c r="I192" s="537"/>
      <c r="J192" s="537"/>
      <c r="K192" s="537"/>
      <c r="L192" s="537"/>
      <c r="M192" s="537"/>
      <c r="N192" s="537"/>
      <c r="O192" s="537"/>
      <c r="P192" s="537"/>
      <c r="Q192" s="537"/>
    </row>
    <row r="193" ht="16.95" customHeight="1" spans="2:17">
      <c r="B193" s="535"/>
      <c r="C193" s="535"/>
      <c r="D193" s="537"/>
      <c r="E193" s="537"/>
      <c r="F193" s="537"/>
      <c r="G193" s="537"/>
      <c r="H193" s="537"/>
      <c r="I193" s="537"/>
      <c r="J193" s="537"/>
      <c r="K193" s="537"/>
      <c r="L193" s="537"/>
      <c r="M193" s="537"/>
      <c r="N193" s="537"/>
      <c r="O193" s="537"/>
      <c r="P193" s="537"/>
      <c r="Q193" s="537"/>
    </row>
    <row r="194" ht="16.95" customHeight="1" spans="2:17">
      <c r="B194" s="535"/>
      <c r="C194" s="535"/>
      <c r="D194" s="537"/>
      <c r="E194" s="537"/>
      <c r="F194" s="537"/>
      <c r="G194" s="537"/>
      <c r="H194" s="537"/>
      <c r="I194" s="537"/>
      <c r="J194" s="537"/>
      <c r="K194" s="537"/>
      <c r="L194" s="537"/>
      <c r="M194" s="537"/>
      <c r="N194" s="537"/>
      <c r="O194" s="537"/>
      <c r="P194" s="537"/>
      <c r="Q194" s="537"/>
    </row>
    <row r="195" ht="16.95" customHeight="1" spans="2:17">
      <c r="B195" s="535"/>
      <c r="C195" s="535"/>
      <c r="D195" s="537"/>
      <c r="E195" s="537"/>
      <c r="F195" s="537"/>
      <c r="G195" s="537"/>
      <c r="H195" s="537"/>
      <c r="I195" s="537"/>
      <c r="J195" s="537"/>
      <c r="K195" s="537"/>
      <c r="L195" s="537"/>
      <c r="M195" s="537"/>
      <c r="N195" s="537"/>
      <c r="O195" s="537"/>
      <c r="P195" s="537"/>
      <c r="Q195" s="537"/>
    </row>
    <row r="196" ht="16.95" customHeight="1" spans="2:17">
      <c r="B196" s="535"/>
      <c r="C196" s="535"/>
      <c r="D196" s="536"/>
      <c r="E196" s="537"/>
      <c r="F196" s="537"/>
      <c r="G196" s="537"/>
      <c r="H196" s="537"/>
      <c r="I196" s="537"/>
      <c r="J196" s="537"/>
      <c r="K196" s="537"/>
      <c r="L196" s="537"/>
      <c r="M196" s="537"/>
      <c r="N196" s="537"/>
      <c r="O196" s="537"/>
      <c r="P196" s="537"/>
      <c r="Q196" s="537"/>
    </row>
    <row r="197" ht="16.95" customHeight="1" spans="2:17">
      <c r="B197" s="535"/>
      <c r="C197" s="535"/>
      <c r="D197" s="537"/>
      <c r="E197" s="537"/>
      <c r="F197" s="537"/>
      <c r="G197" s="537"/>
      <c r="H197" s="537"/>
      <c r="I197" s="537"/>
      <c r="J197" s="537"/>
      <c r="K197" s="537"/>
      <c r="L197" s="537"/>
      <c r="M197" s="537"/>
      <c r="N197" s="537"/>
      <c r="O197" s="537"/>
      <c r="P197" s="537"/>
      <c r="Q197" s="537"/>
    </row>
    <row r="198" ht="16.95" customHeight="1" spans="2:17">
      <c r="B198" s="535"/>
      <c r="C198" s="535"/>
      <c r="D198" s="537"/>
      <c r="E198" s="537"/>
      <c r="F198" s="537"/>
      <c r="G198" s="537"/>
      <c r="H198" s="537"/>
      <c r="I198" s="537"/>
      <c r="J198" s="537"/>
      <c r="K198" s="537"/>
      <c r="L198" s="537"/>
      <c r="M198" s="537"/>
      <c r="N198" s="537"/>
      <c r="O198" s="537"/>
      <c r="P198" s="537"/>
      <c r="Q198" s="537"/>
    </row>
    <row r="199" ht="16.95" customHeight="1" spans="2:17">
      <c r="B199" s="535"/>
      <c r="C199" s="535"/>
      <c r="D199" s="537"/>
      <c r="E199" s="537"/>
      <c r="F199" s="537"/>
      <c r="G199" s="537"/>
      <c r="H199" s="537"/>
      <c r="I199" s="537"/>
      <c r="J199" s="537"/>
      <c r="K199" s="537"/>
      <c r="L199" s="537"/>
      <c r="M199" s="537"/>
      <c r="N199" s="537"/>
      <c r="O199" s="537"/>
      <c r="P199" s="537"/>
      <c r="Q199" s="537"/>
    </row>
    <row r="200" ht="16.95" customHeight="1" spans="2:17">
      <c r="B200" s="535"/>
      <c r="C200" s="535"/>
      <c r="D200" s="536"/>
      <c r="E200" s="537"/>
      <c r="F200" s="537"/>
      <c r="G200" s="537"/>
      <c r="H200" s="537"/>
      <c r="I200" s="537"/>
      <c r="J200" s="537"/>
      <c r="K200" s="537"/>
      <c r="L200" s="537"/>
      <c r="M200" s="537"/>
      <c r="N200" s="537"/>
      <c r="O200" s="537"/>
      <c r="P200" s="537"/>
      <c r="Q200" s="537"/>
    </row>
    <row r="201" ht="16.95" customHeight="1" spans="2:17">
      <c r="B201" s="535"/>
      <c r="C201" s="535"/>
      <c r="D201" s="537"/>
      <c r="E201" s="537"/>
      <c r="F201" s="537"/>
      <c r="G201" s="537"/>
      <c r="H201" s="537"/>
      <c r="I201" s="537"/>
      <c r="J201" s="537"/>
      <c r="K201" s="537"/>
      <c r="L201" s="537"/>
      <c r="M201" s="537"/>
      <c r="N201" s="537"/>
      <c r="O201" s="537"/>
      <c r="P201" s="537"/>
      <c r="Q201" s="537"/>
    </row>
    <row r="202" ht="16.95" customHeight="1" spans="2:17">
      <c r="B202" s="535"/>
      <c r="C202" s="535"/>
      <c r="D202" s="537"/>
      <c r="E202" s="537"/>
      <c r="F202" s="537"/>
      <c r="G202" s="537"/>
      <c r="H202" s="537"/>
      <c r="I202" s="537"/>
      <c r="J202" s="537"/>
      <c r="K202" s="537"/>
      <c r="L202" s="537"/>
      <c r="M202" s="537"/>
      <c r="N202" s="537"/>
      <c r="O202" s="537"/>
      <c r="P202" s="537"/>
      <c r="Q202" s="537"/>
    </row>
    <row r="203" ht="16.95" customHeight="1" spans="2:17">
      <c r="B203" s="535"/>
      <c r="C203" s="535"/>
      <c r="D203" s="537"/>
      <c r="E203" s="537"/>
      <c r="F203" s="537"/>
      <c r="G203" s="537"/>
      <c r="H203" s="537"/>
      <c r="I203" s="537"/>
      <c r="J203" s="537"/>
      <c r="K203" s="537"/>
      <c r="L203" s="537"/>
      <c r="M203" s="537"/>
      <c r="N203" s="537"/>
      <c r="O203" s="537"/>
      <c r="P203" s="537"/>
      <c r="Q203" s="537"/>
    </row>
    <row r="204" ht="16.95" customHeight="1" spans="2:17">
      <c r="B204" s="535"/>
      <c r="C204" s="535"/>
      <c r="D204" s="536"/>
      <c r="E204" s="537"/>
      <c r="F204" s="537"/>
      <c r="G204" s="537"/>
      <c r="H204" s="537"/>
      <c r="I204" s="537"/>
      <c r="J204" s="537"/>
      <c r="K204" s="537"/>
      <c r="L204" s="537"/>
      <c r="M204" s="537"/>
      <c r="N204" s="537"/>
      <c r="O204" s="537"/>
      <c r="P204" s="537"/>
      <c r="Q204" s="537"/>
    </row>
    <row r="205" ht="16.95" customHeight="1" spans="2:17">
      <c r="B205" s="535"/>
      <c r="C205" s="535"/>
      <c r="D205" s="537"/>
      <c r="E205" s="537"/>
      <c r="F205" s="537"/>
      <c r="G205" s="537"/>
      <c r="H205" s="537"/>
      <c r="I205" s="537"/>
      <c r="J205" s="537"/>
      <c r="K205" s="537"/>
      <c r="L205" s="537"/>
      <c r="M205" s="537"/>
      <c r="N205" s="537"/>
      <c r="O205" s="537"/>
      <c r="P205" s="537"/>
      <c r="Q205" s="537"/>
    </row>
    <row r="206" ht="16.95" customHeight="1" spans="2:17">
      <c r="B206" s="535"/>
      <c r="C206" s="535"/>
      <c r="D206" s="537"/>
      <c r="E206" s="537"/>
      <c r="F206" s="537"/>
      <c r="G206" s="537"/>
      <c r="H206" s="537"/>
      <c r="I206" s="537"/>
      <c r="J206" s="537"/>
      <c r="K206" s="537"/>
      <c r="L206" s="537"/>
      <c r="M206" s="537"/>
      <c r="N206" s="537"/>
      <c r="O206" s="537"/>
      <c r="P206" s="537"/>
      <c r="Q206" s="537"/>
    </row>
    <row r="207" ht="16.95" customHeight="1" spans="2:17">
      <c r="B207" s="535"/>
      <c r="C207" s="535"/>
      <c r="D207" s="537"/>
      <c r="E207" s="537"/>
      <c r="F207" s="537"/>
      <c r="G207" s="537"/>
      <c r="H207" s="537"/>
      <c r="I207" s="537"/>
      <c r="J207" s="537"/>
      <c r="K207" s="537"/>
      <c r="L207" s="537"/>
      <c r="M207" s="537"/>
      <c r="N207" s="537"/>
      <c r="O207" s="537"/>
      <c r="P207" s="537"/>
      <c r="Q207" s="537"/>
    </row>
    <row r="208" ht="16.95" customHeight="1" spans="2:17">
      <c r="B208" s="535"/>
      <c r="C208" s="535"/>
      <c r="D208" s="536"/>
      <c r="E208" s="537"/>
      <c r="F208" s="537"/>
      <c r="G208" s="537"/>
      <c r="H208" s="537"/>
      <c r="I208" s="537"/>
      <c r="J208" s="537"/>
      <c r="K208" s="537"/>
      <c r="L208" s="537"/>
      <c r="M208" s="537"/>
      <c r="N208" s="537"/>
      <c r="O208" s="537"/>
      <c r="P208" s="537"/>
      <c r="Q208" s="537"/>
    </row>
    <row r="209" ht="16.95" customHeight="1" spans="2:17">
      <c r="B209" s="535"/>
      <c r="C209" s="535"/>
      <c r="D209" s="537"/>
      <c r="E209" s="537"/>
      <c r="F209" s="537"/>
      <c r="G209" s="537"/>
      <c r="H209" s="537"/>
      <c r="I209" s="537"/>
      <c r="J209" s="537"/>
      <c r="K209" s="537"/>
      <c r="L209" s="537"/>
      <c r="M209" s="537"/>
      <c r="N209" s="537"/>
      <c r="O209" s="537"/>
      <c r="P209" s="537"/>
      <c r="Q209" s="537"/>
    </row>
    <row r="210" ht="16.95" customHeight="1" spans="2:17">
      <c r="B210" s="555"/>
      <c r="C210" s="555"/>
      <c r="D210" s="555"/>
      <c r="E210" s="555"/>
      <c r="F210" s="555"/>
      <c r="G210" s="555"/>
      <c r="H210" s="555"/>
      <c r="I210" s="555"/>
      <c r="J210" s="555"/>
      <c r="K210" s="555"/>
      <c r="L210" s="555"/>
      <c r="M210" s="555"/>
      <c r="N210" s="555"/>
      <c r="O210" s="555"/>
      <c r="P210" s="555"/>
      <c r="Q210" s="555"/>
    </row>
    <row r="211" ht="16.95" customHeight="1" spans="2:24">
      <c r="B211" s="555"/>
      <c r="C211" s="555"/>
      <c r="D211" s="555"/>
      <c r="E211" s="555"/>
      <c r="F211" s="555"/>
      <c r="G211" s="555"/>
      <c r="H211" s="555"/>
      <c r="I211" s="555"/>
      <c r="J211" s="555"/>
      <c r="K211" s="555"/>
      <c r="L211" s="555"/>
      <c r="M211" s="555"/>
      <c r="N211" s="555"/>
      <c r="O211" s="555"/>
      <c r="P211" s="555"/>
      <c r="Q211" s="555"/>
      <c r="R211" s="550"/>
      <c r="S211" s="550"/>
      <c r="T211" s="550"/>
      <c r="U211" s="550"/>
      <c r="V211" s="550"/>
      <c r="W211" s="550"/>
      <c r="X211" s="550"/>
    </row>
    <row r="212" ht="18" customHeight="1" spans="2:24">
      <c r="B212" s="556"/>
      <c r="C212" s="556"/>
      <c r="D212" s="556"/>
      <c r="E212" s="556"/>
      <c r="F212" s="556"/>
      <c r="G212" s="556"/>
      <c r="H212" s="556"/>
      <c r="I212" s="556"/>
      <c r="J212" s="556"/>
      <c r="K212" s="556"/>
      <c r="L212" s="556"/>
      <c r="M212" s="556"/>
      <c r="N212" s="556"/>
      <c r="O212" s="556"/>
      <c r="P212" s="556"/>
      <c r="Q212" s="556"/>
      <c r="R212" s="564"/>
      <c r="S212" s="564"/>
      <c r="T212" s="564"/>
      <c r="U212" s="564"/>
      <c r="V212" s="564"/>
      <c r="W212" s="564"/>
      <c r="X212" s="564"/>
    </row>
    <row r="213" ht="18" customHeight="1" spans="2:24">
      <c r="B213" s="556"/>
      <c r="C213" s="556"/>
      <c r="D213" s="556"/>
      <c r="E213" s="556"/>
      <c r="F213" s="556"/>
      <c r="G213" s="556"/>
      <c r="H213" s="556"/>
      <c r="I213" s="556"/>
      <c r="J213" s="556"/>
      <c r="K213" s="556"/>
      <c r="L213" s="556"/>
      <c r="M213" s="556"/>
      <c r="N213" s="556"/>
      <c r="O213" s="556"/>
      <c r="P213" s="556"/>
      <c r="Q213" s="556"/>
      <c r="R213" s="564"/>
      <c r="S213" s="564"/>
      <c r="T213" s="564"/>
      <c r="U213" s="564"/>
      <c r="V213" s="564"/>
      <c r="W213" s="564"/>
      <c r="X213" s="564"/>
    </row>
    <row r="214" ht="18" customHeight="1" spans="2:24">
      <c r="B214" s="556"/>
      <c r="C214" s="556"/>
      <c r="D214" s="556"/>
      <c r="E214" s="556"/>
      <c r="F214" s="556"/>
      <c r="G214" s="556"/>
      <c r="H214" s="556"/>
      <c r="I214" s="556"/>
      <c r="J214" s="556"/>
      <c r="K214" s="556"/>
      <c r="L214" s="556"/>
      <c r="M214" s="556"/>
      <c r="N214" s="556"/>
      <c r="O214" s="556"/>
      <c r="P214" s="556"/>
      <c r="Q214" s="556"/>
      <c r="R214" s="564"/>
      <c r="S214" s="564"/>
      <c r="T214" s="564"/>
      <c r="U214" s="564"/>
      <c r="V214" s="564"/>
      <c r="W214" s="564"/>
      <c r="X214" s="564"/>
    </row>
    <row r="215" ht="18" customHeight="1" spans="2:24">
      <c r="B215" s="557"/>
      <c r="C215" s="557"/>
      <c r="D215" s="557"/>
      <c r="E215" s="557"/>
      <c r="F215" s="557"/>
      <c r="G215" s="557"/>
      <c r="H215" s="557"/>
      <c r="I215" s="557"/>
      <c r="J215" s="557"/>
      <c r="K215" s="557"/>
      <c r="L215" s="557"/>
      <c r="M215" s="557"/>
      <c r="N215" s="557"/>
      <c r="O215" s="557"/>
      <c r="P215" s="557"/>
      <c r="Q215" s="557"/>
      <c r="R215" s="565"/>
      <c r="S215" s="565"/>
      <c r="T215" s="565"/>
      <c r="U215" s="565"/>
      <c r="V215" s="565"/>
      <c r="W215" s="565"/>
      <c r="X215" s="565"/>
    </row>
    <row r="216" ht="18" customHeight="1" spans="2:17">
      <c r="B216" s="558"/>
      <c r="C216" s="558"/>
      <c r="D216" s="558"/>
      <c r="E216" s="558"/>
      <c r="F216" s="558"/>
      <c r="G216" s="558"/>
      <c r="H216" s="529"/>
      <c r="I216" s="287"/>
      <c r="J216" s="558"/>
      <c r="K216" s="558"/>
      <c r="L216" s="558"/>
      <c r="M216" s="558"/>
      <c r="N216" s="558"/>
      <c r="O216" s="558"/>
      <c r="P216" s="558"/>
      <c r="Q216" s="558"/>
    </row>
    <row r="217" ht="18" customHeight="1" spans="2:17">
      <c r="B217" s="558"/>
      <c r="C217" s="558"/>
      <c r="D217" s="558"/>
      <c r="E217" s="558"/>
      <c r="F217" s="558"/>
      <c r="G217" s="558"/>
      <c r="H217" s="529"/>
      <c r="I217" s="287"/>
      <c r="J217" s="558"/>
      <c r="K217" s="558"/>
      <c r="L217" s="558"/>
      <c r="M217" s="558"/>
      <c r="N217" s="558"/>
      <c r="O217" s="558"/>
      <c r="P217" s="558"/>
      <c r="Q217" s="558"/>
    </row>
    <row r="218" ht="18" customHeight="1" spans="2:17">
      <c r="B218" s="559"/>
      <c r="C218" s="559"/>
      <c r="D218" s="559"/>
      <c r="E218" s="559"/>
      <c r="F218" s="559"/>
      <c r="G218" s="560"/>
      <c r="H218" s="529"/>
      <c r="I218" s="287"/>
      <c r="J218" s="560"/>
      <c r="K218" s="560"/>
      <c r="L218" s="560"/>
      <c r="M218" s="560"/>
      <c r="N218" s="562"/>
      <c r="O218" s="562"/>
      <c r="P218" s="562"/>
      <c r="Q218" s="562"/>
    </row>
    <row r="219" ht="18" customHeight="1" spans="2:17">
      <c r="B219" s="559"/>
      <c r="C219" s="559"/>
      <c r="D219" s="559"/>
      <c r="E219" s="559"/>
      <c r="F219" s="559"/>
      <c r="G219" s="560"/>
      <c r="H219" s="529"/>
      <c r="I219" s="287"/>
      <c r="J219" s="560"/>
      <c r="K219" s="560"/>
      <c r="L219" s="560"/>
      <c r="M219" s="560"/>
      <c r="N219" s="560"/>
      <c r="O219" s="560"/>
      <c r="P219" s="560"/>
      <c r="Q219" s="560"/>
    </row>
    <row r="220" ht="18" customHeight="1" spans="2:17">
      <c r="B220" s="559"/>
      <c r="C220" s="559"/>
      <c r="D220" s="559"/>
      <c r="E220" s="559"/>
      <c r="F220" s="559"/>
      <c r="G220" s="560"/>
      <c r="H220" s="529"/>
      <c r="I220" s="287"/>
      <c r="J220" s="560"/>
      <c r="K220" s="560"/>
      <c r="L220" s="560"/>
      <c r="M220" s="560"/>
      <c r="N220" s="560"/>
      <c r="O220" s="560"/>
      <c r="P220" s="560"/>
      <c r="Q220" s="560"/>
    </row>
    <row r="221" ht="18" customHeight="1" spans="2:17">
      <c r="B221" s="559"/>
      <c r="C221" s="559"/>
      <c r="D221" s="559"/>
      <c r="E221" s="559"/>
      <c r="F221" s="559"/>
      <c r="G221" s="560"/>
      <c r="H221" s="529"/>
      <c r="I221" s="287"/>
      <c r="J221" s="560"/>
      <c r="K221" s="560"/>
      <c r="L221" s="560"/>
      <c r="M221" s="560"/>
      <c r="N221" s="562"/>
      <c r="O221" s="562"/>
      <c r="P221" s="562"/>
      <c r="Q221" s="562"/>
    </row>
    <row r="222" ht="18" customHeight="1" spans="2:17">
      <c r="B222" s="559"/>
      <c r="C222" s="559"/>
      <c r="D222" s="559"/>
      <c r="E222" s="559"/>
      <c r="F222" s="559"/>
      <c r="G222" s="560"/>
      <c r="H222" s="529"/>
      <c r="I222" s="287"/>
      <c r="J222" s="560"/>
      <c r="K222" s="560"/>
      <c r="L222" s="560"/>
      <c r="M222" s="560"/>
      <c r="N222" s="560"/>
      <c r="O222" s="560"/>
      <c r="P222" s="560"/>
      <c r="Q222" s="560"/>
    </row>
    <row r="223" ht="18" customHeight="1" spans="2:17">
      <c r="B223" s="559"/>
      <c r="C223" s="559"/>
      <c r="D223" s="559"/>
      <c r="E223" s="559"/>
      <c r="F223" s="559"/>
      <c r="G223" s="560"/>
      <c r="H223" s="529"/>
      <c r="I223" s="287"/>
      <c r="J223" s="560"/>
      <c r="K223" s="560"/>
      <c r="L223" s="560"/>
      <c r="M223" s="560"/>
      <c r="N223" s="560"/>
      <c r="O223" s="560"/>
      <c r="P223" s="560"/>
      <c r="Q223" s="560"/>
    </row>
    <row r="224" ht="18" customHeight="1" spans="2:17">
      <c r="B224" s="559"/>
      <c r="C224" s="559"/>
      <c r="D224" s="559"/>
      <c r="E224" s="559"/>
      <c r="F224" s="559"/>
      <c r="G224" s="560"/>
      <c r="H224" s="529"/>
      <c r="I224" s="287"/>
      <c r="J224" s="563"/>
      <c r="K224" s="563"/>
      <c r="L224" s="563"/>
      <c r="M224" s="563"/>
      <c r="N224" s="563"/>
      <c r="O224" s="563"/>
      <c r="P224" s="563"/>
      <c r="Q224" s="563"/>
    </row>
    <row r="225" ht="18" customHeight="1" spans="2:17">
      <c r="B225" s="559"/>
      <c r="C225" s="559"/>
      <c r="D225" s="559"/>
      <c r="E225" s="559"/>
      <c r="F225" s="559"/>
      <c r="G225" s="560"/>
      <c r="H225" s="529"/>
      <c r="I225" s="287"/>
      <c r="J225" s="563"/>
      <c r="K225" s="563"/>
      <c r="L225" s="563"/>
      <c r="M225" s="563"/>
      <c r="N225" s="563"/>
      <c r="O225" s="563"/>
      <c r="P225" s="563"/>
      <c r="Q225" s="563"/>
    </row>
    <row r="226" ht="18" customHeight="1" spans="2:17">
      <c r="B226" s="559"/>
      <c r="C226" s="559"/>
      <c r="D226" s="559"/>
      <c r="E226" s="559"/>
      <c r="F226" s="559"/>
      <c r="G226" s="560"/>
      <c r="H226" s="529"/>
      <c r="I226" s="287"/>
      <c r="J226" s="563"/>
      <c r="K226" s="563"/>
      <c r="L226" s="563"/>
      <c r="M226" s="563"/>
      <c r="N226" s="563"/>
      <c r="O226" s="563"/>
      <c r="P226" s="563"/>
      <c r="Q226" s="563"/>
    </row>
    <row r="227" ht="18" customHeight="1" spans="2:17">
      <c r="B227" s="559"/>
      <c r="C227" s="559"/>
      <c r="D227" s="559"/>
      <c r="E227" s="559"/>
      <c r="F227" s="559"/>
      <c r="G227" s="560"/>
      <c r="H227" s="529"/>
      <c r="I227" s="287"/>
      <c r="J227" s="563"/>
      <c r="K227" s="563"/>
      <c r="L227" s="563"/>
      <c r="M227" s="563"/>
      <c r="N227" s="563"/>
      <c r="O227" s="563"/>
      <c r="P227" s="563"/>
      <c r="Q227" s="563"/>
    </row>
    <row r="228" ht="18" customHeight="1" spans="2:17">
      <c r="B228" s="561"/>
      <c r="C228" s="561"/>
      <c r="D228" s="561"/>
      <c r="E228" s="561"/>
      <c r="F228" s="561"/>
      <c r="G228" s="557"/>
      <c r="H228" s="529"/>
      <c r="I228" s="287"/>
      <c r="J228" s="563"/>
      <c r="K228" s="563"/>
      <c r="L228" s="563"/>
      <c r="M228" s="563"/>
      <c r="N228" s="563"/>
      <c r="O228" s="563"/>
      <c r="P228" s="563"/>
      <c r="Q228" s="563"/>
    </row>
    <row r="229" ht="18" customHeight="1" spans="2:17">
      <c r="B229" s="561"/>
      <c r="C229" s="561"/>
      <c r="D229" s="561"/>
      <c r="E229" s="561"/>
      <c r="F229" s="561"/>
      <c r="G229" s="557"/>
      <c r="H229" s="557"/>
      <c r="I229" s="557"/>
      <c r="J229" s="557"/>
      <c r="K229" s="557"/>
      <c r="L229" s="557"/>
      <c r="M229" s="557"/>
      <c r="N229" s="557"/>
      <c r="O229" s="557"/>
      <c r="P229" s="557"/>
      <c r="Q229" s="287"/>
    </row>
    <row r="230" ht="18" customHeight="1" spans="2:17">
      <c r="B230" s="529"/>
      <c r="C230" s="287"/>
      <c r="D230" s="287"/>
      <c r="E230" s="287"/>
      <c r="F230" s="287"/>
      <c r="G230" s="287"/>
      <c r="H230" s="287"/>
      <c r="I230" s="287"/>
      <c r="J230" s="558"/>
      <c r="K230" s="558"/>
      <c r="L230" s="558"/>
      <c r="M230" s="558"/>
      <c r="N230" s="558"/>
      <c r="O230" s="558"/>
      <c r="P230" s="558"/>
      <c r="Q230" s="558"/>
    </row>
    <row r="231" ht="18" customHeight="1" spans="2:17">
      <c r="B231" s="529"/>
      <c r="C231" s="287"/>
      <c r="D231" s="287"/>
      <c r="E231" s="287"/>
      <c r="F231" s="287"/>
      <c r="G231" s="287"/>
      <c r="H231" s="287"/>
      <c r="I231" s="287"/>
      <c r="J231" s="558"/>
      <c r="K231" s="558"/>
      <c r="L231" s="558"/>
      <c r="M231" s="558"/>
      <c r="N231" s="558"/>
      <c r="O231" s="558"/>
      <c r="P231" s="558"/>
      <c r="Q231" s="558"/>
    </row>
    <row r="232" ht="18" customHeight="1" spans="2:17">
      <c r="B232" s="529"/>
      <c r="C232" s="287"/>
      <c r="D232" s="287"/>
      <c r="E232" s="287"/>
      <c r="F232" s="287"/>
      <c r="G232" s="287"/>
      <c r="H232" s="287"/>
      <c r="I232" s="287"/>
      <c r="J232" s="560"/>
      <c r="K232" s="560"/>
      <c r="L232" s="560"/>
      <c r="M232" s="560"/>
      <c r="N232" s="560"/>
      <c r="O232" s="560"/>
      <c r="P232" s="560"/>
      <c r="Q232" s="560"/>
    </row>
    <row r="233" ht="18" customHeight="1" spans="2:17">
      <c r="B233" s="529"/>
      <c r="C233" s="287"/>
      <c r="D233" s="287"/>
      <c r="E233" s="287"/>
      <c r="F233" s="287"/>
      <c r="G233" s="287"/>
      <c r="H233" s="287"/>
      <c r="I233" s="287"/>
      <c r="J233" s="560"/>
      <c r="K233" s="560"/>
      <c r="L233" s="560"/>
      <c r="M233" s="560"/>
      <c r="N233" s="560"/>
      <c r="O233" s="560"/>
      <c r="P233" s="560"/>
      <c r="Q233" s="560"/>
    </row>
    <row r="234" ht="18" customHeight="1" spans="2:17">
      <c r="B234" s="529"/>
      <c r="C234" s="287"/>
      <c r="D234" s="287"/>
      <c r="E234" s="287"/>
      <c r="F234" s="287"/>
      <c r="G234" s="287"/>
      <c r="H234" s="287"/>
      <c r="I234" s="287"/>
      <c r="J234" s="563"/>
      <c r="K234" s="563"/>
      <c r="L234" s="563"/>
      <c r="M234" s="563"/>
      <c r="N234" s="563"/>
      <c r="O234" s="563"/>
      <c r="P234" s="563"/>
      <c r="Q234" s="563"/>
    </row>
    <row r="235" ht="18" customHeight="1" spans="2:17">
      <c r="B235" s="529"/>
      <c r="C235" s="287"/>
      <c r="D235" s="287"/>
      <c r="E235" s="287"/>
      <c r="F235" s="287"/>
      <c r="G235" s="287"/>
      <c r="H235" s="287"/>
      <c r="I235" s="287"/>
      <c r="J235" s="563"/>
      <c r="K235" s="563"/>
      <c r="L235" s="563"/>
      <c r="M235" s="563"/>
      <c r="N235" s="563"/>
      <c r="O235" s="563"/>
      <c r="P235" s="563"/>
      <c r="Q235" s="563"/>
    </row>
    <row r="236" ht="18" customHeight="1" spans="2:17">
      <c r="B236" s="529"/>
      <c r="C236" s="287"/>
      <c r="D236" s="287"/>
      <c r="E236" s="287"/>
      <c r="F236" s="287"/>
      <c r="G236" s="287"/>
      <c r="H236" s="287"/>
      <c r="I236" s="287"/>
      <c r="J236" s="563"/>
      <c r="K236" s="563"/>
      <c r="L236" s="563"/>
      <c r="M236" s="563"/>
      <c r="N236" s="563"/>
      <c r="O236" s="563"/>
      <c r="P236" s="563"/>
      <c r="Q236" s="563"/>
    </row>
    <row r="237" ht="18" customHeight="1" spans="2:17">
      <c r="B237" s="529"/>
      <c r="C237" s="287"/>
      <c r="D237" s="287"/>
      <c r="E237" s="287"/>
      <c r="F237" s="287"/>
      <c r="G237" s="287"/>
      <c r="H237" s="287"/>
      <c r="I237" s="287"/>
      <c r="J237" s="563"/>
      <c r="K237" s="563"/>
      <c r="L237" s="563"/>
      <c r="M237" s="563"/>
      <c r="N237" s="563"/>
      <c r="O237" s="563"/>
      <c r="P237" s="563"/>
      <c r="Q237" s="563"/>
    </row>
    <row r="238" ht="18" customHeight="1" spans="2:17">
      <c r="B238" s="529"/>
      <c r="C238" s="287"/>
      <c r="D238" s="287"/>
      <c r="E238" s="287"/>
      <c r="F238" s="287"/>
      <c r="G238" s="287"/>
      <c r="H238" s="287"/>
      <c r="I238" s="287"/>
      <c r="J238" s="563"/>
      <c r="K238" s="563"/>
      <c r="L238" s="563"/>
      <c r="M238" s="563"/>
      <c r="N238" s="563"/>
      <c r="O238" s="563"/>
      <c r="P238" s="563"/>
      <c r="Q238" s="563"/>
    </row>
    <row r="239" ht="18" customHeight="1" spans="2:24">
      <c r="B239" s="529"/>
      <c r="C239" s="287"/>
      <c r="D239" s="287"/>
      <c r="E239" s="287"/>
      <c r="F239" s="287"/>
      <c r="G239" s="287"/>
      <c r="H239" s="287"/>
      <c r="I239" s="287"/>
      <c r="J239" s="563"/>
      <c r="K239" s="563"/>
      <c r="L239" s="563"/>
      <c r="M239" s="563"/>
      <c r="N239" s="563"/>
      <c r="O239" s="563"/>
      <c r="P239" s="563"/>
      <c r="Q239" s="563"/>
      <c r="R239" s="565"/>
      <c r="S239" s="565"/>
      <c r="T239" s="565"/>
      <c r="U239" s="565"/>
      <c r="V239" s="565"/>
      <c r="W239" s="565"/>
      <c r="X239" s="565"/>
    </row>
    <row r="240" ht="18" customHeight="1" spans="2:17">
      <c r="B240" s="522"/>
      <c r="C240" s="287"/>
      <c r="D240" s="287"/>
      <c r="E240" s="287"/>
      <c r="F240" s="287"/>
      <c r="G240" s="287"/>
      <c r="H240" s="287"/>
      <c r="I240" s="538"/>
      <c r="J240" s="538"/>
      <c r="K240" s="538"/>
      <c r="L240" s="538"/>
      <c r="M240" s="538"/>
      <c r="N240" s="538"/>
      <c r="O240" s="538"/>
      <c r="P240" s="538"/>
      <c r="Q240" s="538"/>
    </row>
    <row r="241" ht="18" customHeight="1" spans="2:17">
      <c r="B241" s="529"/>
      <c r="C241" s="287"/>
      <c r="D241" s="287"/>
      <c r="E241" s="287"/>
      <c r="F241" s="287"/>
      <c r="G241" s="287"/>
      <c r="H241" s="287"/>
      <c r="I241" s="287"/>
      <c r="J241" s="558"/>
      <c r="K241" s="558"/>
      <c r="L241" s="558"/>
      <c r="M241" s="558"/>
      <c r="N241" s="558"/>
      <c r="O241" s="558"/>
      <c r="P241" s="558"/>
      <c r="Q241" s="558"/>
    </row>
    <row r="242" ht="18" customHeight="1" spans="2:17">
      <c r="B242" s="529"/>
      <c r="C242" s="287"/>
      <c r="D242" s="287"/>
      <c r="E242" s="287"/>
      <c r="F242" s="287"/>
      <c r="G242" s="287"/>
      <c r="H242" s="287"/>
      <c r="I242" s="287"/>
      <c r="J242" s="558"/>
      <c r="K242" s="558"/>
      <c r="L242" s="558"/>
      <c r="M242" s="558"/>
      <c r="N242" s="558"/>
      <c r="O242" s="558"/>
      <c r="P242" s="558"/>
      <c r="Q242" s="558"/>
    </row>
    <row r="243" ht="18" customHeight="1" spans="2:17">
      <c r="B243" s="529"/>
      <c r="C243" s="287"/>
      <c r="D243" s="287"/>
      <c r="E243" s="287"/>
      <c r="F243" s="287"/>
      <c r="G243" s="287"/>
      <c r="H243" s="287"/>
      <c r="I243" s="287"/>
      <c r="J243" s="560"/>
      <c r="K243" s="560"/>
      <c r="L243" s="560"/>
      <c r="M243" s="560"/>
      <c r="N243" s="562"/>
      <c r="O243" s="562"/>
      <c r="P243" s="562"/>
      <c r="Q243" s="562"/>
    </row>
    <row r="244" ht="18" customHeight="1" spans="2:17">
      <c r="B244" s="529"/>
      <c r="C244" s="529"/>
      <c r="D244" s="529"/>
      <c r="E244" s="529"/>
      <c r="F244" s="529"/>
      <c r="G244" s="529"/>
      <c r="H244" s="529"/>
      <c r="I244" s="287"/>
      <c r="J244" s="560"/>
      <c r="K244" s="560"/>
      <c r="L244" s="560"/>
      <c r="M244" s="560"/>
      <c r="N244" s="560"/>
      <c r="O244" s="560"/>
      <c r="P244" s="560"/>
      <c r="Q244" s="560"/>
    </row>
    <row r="245" ht="18" customHeight="1" spans="2:17">
      <c r="B245" s="529"/>
      <c r="C245" s="529"/>
      <c r="D245" s="529"/>
      <c r="E245" s="529"/>
      <c r="F245" s="529"/>
      <c r="G245" s="529"/>
      <c r="H245" s="529"/>
      <c r="I245" s="287"/>
      <c r="J245" s="560"/>
      <c r="K245" s="560"/>
      <c r="L245" s="560"/>
      <c r="M245" s="560"/>
      <c r="N245" s="560"/>
      <c r="O245" s="560"/>
      <c r="P245" s="560"/>
      <c r="Q245" s="560"/>
    </row>
    <row r="246" ht="18" customHeight="1" spans="2:17">
      <c r="B246" s="529"/>
      <c r="C246" s="529"/>
      <c r="D246" s="529"/>
      <c r="E246" s="529"/>
      <c r="F246" s="529"/>
      <c r="G246" s="529"/>
      <c r="H246" s="529"/>
      <c r="I246" s="287"/>
      <c r="J246" s="560"/>
      <c r="K246" s="560"/>
      <c r="L246" s="560"/>
      <c r="M246" s="560"/>
      <c r="N246" s="562"/>
      <c r="O246" s="562"/>
      <c r="P246" s="562"/>
      <c r="Q246" s="562"/>
    </row>
    <row r="247" ht="18" customHeight="1" spans="2:17">
      <c r="B247" s="529"/>
      <c r="C247" s="529"/>
      <c r="D247" s="529"/>
      <c r="E247" s="529"/>
      <c r="F247" s="529"/>
      <c r="G247" s="529"/>
      <c r="H247" s="529"/>
      <c r="I247" s="287"/>
      <c r="J247" s="560"/>
      <c r="K247" s="560"/>
      <c r="L247" s="560"/>
      <c r="M247" s="560"/>
      <c r="N247" s="560"/>
      <c r="O247" s="560"/>
      <c r="P247" s="560"/>
      <c r="Q247" s="560"/>
    </row>
    <row r="248" ht="18" customHeight="1" spans="2:17">
      <c r="B248" s="529"/>
      <c r="C248" s="529"/>
      <c r="D248" s="529"/>
      <c r="E248" s="529"/>
      <c r="F248" s="529"/>
      <c r="G248" s="529"/>
      <c r="H248" s="529"/>
      <c r="I248" s="287"/>
      <c r="J248" s="560"/>
      <c r="K248" s="560"/>
      <c r="L248" s="560"/>
      <c r="M248" s="560"/>
      <c r="N248" s="560"/>
      <c r="O248" s="560"/>
      <c r="P248" s="560"/>
      <c r="Q248" s="560"/>
    </row>
    <row r="249" spans="2:17">
      <c r="B249" s="529"/>
      <c r="C249" s="529"/>
      <c r="D249" s="529"/>
      <c r="E249" s="529"/>
      <c r="F249" s="529"/>
      <c r="G249" s="529"/>
      <c r="H249" s="529"/>
      <c r="I249" s="287"/>
      <c r="J249" s="563"/>
      <c r="K249" s="563"/>
      <c r="L249" s="563"/>
      <c r="M249" s="563"/>
      <c r="N249" s="563"/>
      <c r="O249" s="563"/>
      <c r="P249" s="563"/>
      <c r="Q249" s="563"/>
    </row>
    <row r="250" spans="2:17">
      <c r="B250" s="529"/>
      <c r="C250" s="529"/>
      <c r="D250" s="529"/>
      <c r="E250" s="529"/>
      <c r="F250" s="529"/>
      <c r="G250" s="529"/>
      <c r="H250" s="529"/>
      <c r="I250" s="287"/>
      <c r="J250" s="563"/>
      <c r="K250" s="563"/>
      <c r="L250" s="563"/>
      <c r="M250" s="563"/>
      <c r="N250" s="563"/>
      <c r="O250" s="563"/>
      <c r="P250" s="563"/>
      <c r="Q250" s="563"/>
    </row>
    <row r="251" spans="2:17">
      <c r="B251" s="529"/>
      <c r="C251" s="529"/>
      <c r="D251" s="529"/>
      <c r="E251" s="529"/>
      <c r="F251" s="529"/>
      <c r="G251" s="529"/>
      <c r="H251" s="529"/>
      <c r="I251" s="287"/>
      <c r="J251" s="563"/>
      <c r="K251" s="563"/>
      <c r="L251" s="563"/>
      <c r="M251" s="563"/>
      <c r="N251" s="563"/>
      <c r="O251" s="563"/>
      <c r="P251" s="563"/>
      <c r="Q251" s="563"/>
    </row>
    <row r="252" spans="2:17">
      <c r="B252" s="529"/>
      <c r="C252" s="529"/>
      <c r="D252" s="529"/>
      <c r="E252" s="529"/>
      <c r="F252" s="529"/>
      <c r="G252" s="529"/>
      <c r="H252" s="529"/>
      <c r="I252" s="287"/>
      <c r="J252" s="563"/>
      <c r="K252" s="563"/>
      <c r="L252" s="563"/>
      <c r="M252" s="563"/>
      <c r="N252" s="563"/>
      <c r="O252" s="563"/>
      <c r="P252" s="563"/>
      <c r="Q252" s="563"/>
    </row>
    <row r="253" spans="2:17">
      <c r="B253" s="529"/>
      <c r="C253" s="529"/>
      <c r="D253" s="529"/>
      <c r="E253" s="529"/>
      <c r="F253" s="529"/>
      <c r="G253" s="529"/>
      <c r="H253" s="529"/>
      <c r="I253" s="287"/>
      <c r="J253" s="563"/>
      <c r="K253" s="563"/>
      <c r="L253" s="563"/>
      <c r="M253" s="563"/>
      <c r="N253" s="563"/>
      <c r="O253" s="563"/>
      <c r="P253" s="563"/>
      <c r="Q253" s="563"/>
    </row>
    <row r="254" spans="2:17">
      <c r="B254" s="529"/>
      <c r="C254" s="529"/>
      <c r="D254" s="529"/>
      <c r="E254" s="529"/>
      <c r="F254" s="529"/>
      <c r="G254" s="529"/>
      <c r="H254" s="529"/>
      <c r="I254" s="287"/>
      <c r="J254" s="563"/>
      <c r="K254" s="563"/>
      <c r="L254" s="563"/>
      <c r="M254" s="563"/>
      <c r="N254" s="563"/>
      <c r="O254" s="563"/>
      <c r="P254" s="563"/>
      <c r="Q254" s="563"/>
    </row>
    <row r="255" ht="16.5" spans="2:17">
      <c r="B255" s="522"/>
      <c r="C255" s="522"/>
      <c r="D255" s="522"/>
      <c r="E255" s="522"/>
      <c r="F255" s="522"/>
      <c r="G255" s="522"/>
      <c r="H255" s="522"/>
      <c r="I255" s="538"/>
      <c r="J255" s="538"/>
      <c r="K255" s="538"/>
      <c r="L255" s="538"/>
      <c r="M255" s="538"/>
      <c r="N255" s="538"/>
      <c r="O255" s="538"/>
      <c r="P255" s="538"/>
      <c r="Q255" s="538"/>
    </row>
    <row r="256" ht="16.5" spans="2:17">
      <c r="B256" s="522"/>
      <c r="C256" s="522"/>
      <c r="D256" s="522"/>
      <c r="E256" s="522"/>
      <c r="F256" s="522"/>
      <c r="G256" s="522"/>
      <c r="H256" s="522"/>
      <c r="I256" s="538"/>
      <c r="J256" s="538"/>
      <c r="K256" s="538"/>
      <c r="L256" s="538"/>
      <c r="M256" s="538"/>
      <c r="N256" s="538"/>
      <c r="O256" s="538"/>
      <c r="P256" s="538"/>
      <c r="Q256" s="538"/>
    </row>
    <row r="257" ht="16.5" spans="2:17">
      <c r="B257" s="522"/>
      <c r="C257" s="522"/>
      <c r="D257" s="522"/>
      <c r="E257" s="522"/>
      <c r="F257" s="522"/>
      <c r="G257" s="522"/>
      <c r="H257" s="522"/>
      <c r="I257" s="538"/>
      <c r="J257" s="538"/>
      <c r="K257" s="538"/>
      <c r="L257" s="538"/>
      <c r="M257" s="538"/>
      <c r="N257" s="538"/>
      <c r="O257" s="538"/>
      <c r="P257" s="538"/>
      <c r="Q257" s="538"/>
    </row>
    <row r="258" ht="16.5" spans="2:17">
      <c r="B258" s="522"/>
      <c r="C258" s="522"/>
      <c r="D258" s="522"/>
      <c r="E258" s="522"/>
      <c r="F258" s="522"/>
      <c r="G258" s="522"/>
      <c r="H258" s="522"/>
      <c r="I258" s="538"/>
      <c r="J258" s="538"/>
      <c r="K258" s="538"/>
      <c r="L258" s="538"/>
      <c r="M258" s="538"/>
      <c r="N258" s="538"/>
      <c r="O258" s="538"/>
      <c r="P258" s="538"/>
      <c r="Q258" s="538"/>
    </row>
    <row r="259" ht="16.5" spans="2:17">
      <c r="B259" s="566"/>
      <c r="C259" s="567"/>
      <c r="D259" s="568"/>
      <c r="E259" s="568"/>
      <c r="F259" s="568"/>
      <c r="G259" s="568"/>
      <c r="H259" s="568"/>
      <c r="I259" s="568"/>
      <c r="J259" s="538"/>
      <c r="K259" s="538"/>
      <c r="L259" s="538"/>
      <c r="M259" s="538"/>
      <c r="N259" s="538"/>
      <c r="O259" s="538"/>
      <c r="P259" s="538"/>
      <c r="Q259" s="538"/>
    </row>
    <row r="260" ht="16.5" spans="2:17">
      <c r="B260" s="522"/>
      <c r="C260" s="522"/>
      <c r="D260" s="522"/>
      <c r="E260" s="522"/>
      <c r="F260" s="522"/>
      <c r="G260" s="522"/>
      <c r="H260" s="522"/>
      <c r="I260" s="538"/>
      <c r="J260" s="538"/>
      <c r="K260" s="538"/>
      <c r="L260" s="538"/>
      <c r="M260" s="538"/>
      <c r="N260" s="538"/>
      <c r="O260" s="538"/>
      <c r="P260" s="538"/>
      <c r="Q260" s="538"/>
    </row>
    <row r="261" ht="16.5" spans="2:17">
      <c r="B261" s="522"/>
      <c r="C261" s="522"/>
      <c r="D261" s="522"/>
      <c r="E261" s="522"/>
      <c r="F261" s="522"/>
      <c r="G261" s="522"/>
      <c r="H261" s="522"/>
      <c r="I261" s="538"/>
      <c r="J261" s="538"/>
      <c r="K261" s="538"/>
      <c r="L261" s="538"/>
      <c r="M261" s="538"/>
      <c r="N261" s="538"/>
      <c r="O261" s="538"/>
      <c r="P261" s="538"/>
      <c r="Q261" s="538"/>
    </row>
    <row r="262" ht="16.5" spans="2:17">
      <c r="B262" s="522"/>
      <c r="C262" s="522"/>
      <c r="D262" s="522"/>
      <c r="E262" s="522"/>
      <c r="F262" s="522"/>
      <c r="G262" s="522"/>
      <c r="H262" s="522"/>
      <c r="I262" s="538"/>
      <c r="J262" s="538"/>
      <c r="K262" s="538"/>
      <c r="L262" s="538"/>
      <c r="M262" s="538"/>
      <c r="N262" s="538"/>
      <c r="O262" s="538"/>
      <c r="P262" s="538"/>
      <c r="Q262" s="538"/>
    </row>
    <row r="263" ht="16.5" spans="2:17">
      <c r="B263" s="522"/>
      <c r="C263" s="522"/>
      <c r="D263" s="522"/>
      <c r="E263" s="522"/>
      <c r="F263" s="522"/>
      <c r="G263" s="522"/>
      <c r="H263" s="522"/>
      <c r="I263" s="538"/>
      <c r="J263" s="538"/>
      <c r="K263" s="538"/>
      <c r="L263" s="538"/>
      <c r="M263" s="538"/>
      <c r="N263" s="538"/>
      <c r="O263" s="538"/>
      <c r="P263" s="538"/>
      <c r="Q263" s="538"/>
    </row>
    <row r="264" ht="16.5" spans="2:17">
      <c r="B264" s="522"/>
      <c r="C264" s="522"/>
      <c r="D264" s="522"/>
      <c r="E264" s="522"/>
      <c r="F264" s="522"/>
      <c r="G264" s="522"/>
      <c r="H264" s="522"/>
      <c r="I264" s="538"/>
      <c r="J264" s="538"/>
      <c r="K264" s="538"/>
      <c r="L264" s="538"/>
      <c r="M264" s="538"/>
      <c r="N264" s="538"/>
      <c r="O264" s="538"/>
      <c r="P264" s="538"/>
      <c r="Q264" s="538"/>
    </row>
    <row r="265" ht="16.5" spans="2:17">
      <c r="B265" s="522"/>
      <c r="C265" s="522"/>
      <c r="D265" s="522"/>
      <c r="E265" s="522"/>
      <c r="F265" s="522"/>
      <c r="G265" s="522"/>
      <c r="H265" s="522"/>
      <c r="I265" s="538"/>
      <c r="J265" s="538"/>
      <c r="K265" s="538"/>
      <c r="L265" s="538"/>
      <c r="M265" s="538"/>
      <c r="N265" s="538"/>
      <c r="O265" s="538"/>
      <c r="P265" s="538"/>
      <c r="Q265" s="538"/>
    </row>
    <row r="266" ht="16.5" spans="2:17">
      <c r="B266" s="522"/>
      <c r="C266" s="522"/>
      <c r="D266" s="522"/>
      <c r="E266" s="522"/>
      <c r="F266" s="522"/>
      <c r="G266" s="522"/>
      <c r="H266" s="522"/>
      <c r="I266" s="538"/>
      <c r="J266" s="538"/>
      <c r="K266" s="538"/>
      <c r="L266" s="538"/>
      <c r="M266" s="538"/>
      <c r="N266" s="538"/>
      <c r="O266" s="538"/>
      <c r="P266" s="538"/>
      <c r="Q266" s="538"/>
    </row>
    <row r="267" ht="16.5" spans="2:17">
      <c r="B267" s="522"/>
      <c r="C267" s="522"/>
      <c r="D267" s="522"/>
      <c r="E267" s="522"/>
      <c r="F267" s="522"/>
      <c r="G267" s="522"/>
      <c r="H267" s="522"/>
      <c r="I267" s="538"/>
      <c r="J267" s="538"/>
      <c r="K267" s="538"/>
      <c r="L267" s="538"/>
      <c r="M267" s="538"/>
      <c r="N267" s="538"/>
      <c r="O267" s="538"/>
      <c r="P267" s="538"/>
      <c r="Q267" s="538"/>
    </row>
    <row r="268" ht="16.5" spans="2:17">
      <c r="B268" s="522"/>
      <c r="C268" s="522"/>
      <c r="D268" s="522"/>
      <c r="E268" s="522"/>
      <c r="F268" s="522"/>
      <c r="G268" s="522"/>
      <c r="H268" s="522"/>
      <c r="I268" s="538"/>
      <c r="J268" s="538"/>
      <c r="K268" s="538"/>
      <c r="L268" s="538"/>
      <c r="M268" s="538"/>
      <c r="N268" s="538"/>
      <c r="O268" s="538"/>
      <c r="P268" s="538"/>
      <c r="Q268" s="538"/>
    </row>
    <row r="269" ht="16.5" spans="2:17">
      <c r="B269" s="522"/>
      <c r="C269" s="522"/>
      <c r="D269" s="522"/>
      <c r="E269" s="522"/>
      <c r="F269" s="522"/>
      <c r="G269" s="522"/>
      <c r="H269" s="522"/>
      <c r="I269" s="538"/>
      <c r="J269" s="538"/>
      <c r="K269" s="538"/>
      <c r="L269" s="538"/>
      <c r="M269" s="538"/>
      <c r="N269" s="538"/>
      <c r="O269" s="538"/>
      <c r="P269" s="538"/>
      <c r="Q269" s="538"/>
    </row>
    <row r="270" ht="16.5" spans="2:17">
      <c r="B270" s="522"/>
      <c r="C270" s="522"/>
      <c r="D270" s="522"/>
      <c r="E270" s="522"/>
      <c r="F270" s="522"/>
      <c r="G270" s="522"/>
      <c r="H270" s="522"/>
      <c r="I270" s="538"/>
      <c r="J270" s="538"/>
      <c r="K270" s="538"/>
      <c r="L270" s="538"/>
      <c r="M270" s="538"/>
      <c r="N270" s="538"/>
      <c r="O270" s="538"/>
      <c r="P270" s="538"/>
      <c r="Q270" s="538"/>
    </row>
    <row r="271" ht="16.5" spans="2:17">
      <c r="B271" s="522"/>
      <c r="C271" s="522"/>
      <c r="D271" s="522"/>
      <c r="E271" s="522"/>
      <c r="F271" s="522"/>
      <c r="G271" s="522"/>
      <c r="H271" s="522"/>
      <c r="I271" s="538"/>
      <c r="J271" s="538"/>
      <c r="K271" s="538"/>
      <c r="L271" s="538"/>
      <c r="M271" s="538"/>
      <c r="N271" s="538"/>
      <c r="O271" s="538"/>
      <c r="P271" s="538"/>
      <c r="Q271" s="538"/>
    </row>
    <row r="272" ht="16.5" spans="2:17">
      <c r="B272" s="522"/>
      <c r="C272" s="522"/>
      <c r="D272" s="522"/>
      <c r="E272" s="522"/>
      <c r="F272" s="522"/>
      <c r="G272" s="522"/>
      <c r="H272" s="522"/>
      <c r="I272" s="538"/>
      <c r="J272" s="538"/>
      <c r="K272" s="538"/>
      <c r="L272" s="538"/>
      <c r="M272" s="538"/>
      <c r="N272" s="538"/>
      <c r="O272" s="538"/>
      <c r="P272" s="538"/>
      <c r="Q272" s="538"/>
    </row>
    <row r="273" ht="16.5" spans="2:17">
      <c r="B273" s="522"/>
      <c r="C273" s="522"/>
      <c r="D273" s="522"/>
      <c r="E273" s="522"/>
      <c r="F273" s="522"/>
      <c r="G273" s="522"/>
      <c r="H273" s="522"/>
      <c r="I273" s="538"/>
      <c r="J273" s="538"/>
      <c r="K273" s="538"/>
      <c r="L273" s="538"/>
      <c r="M273" s="538"/>
      <c r="N273" s="538"/>
      <c r="O273" s="538"/>
      <c r="P273" s="538"/>
      <c r="Q273" s="538"/>
    </row>
    <row r="274" ht="16.5" spans="2:17">
      <c r="B274" s="522"/>
      <c r="C274" s="522"/>
      <c r="D274" s="522"/>
      <c r="E274" s="522"/>
      <c r="F274" s="522"/>
      <c r="G274" s="522"/>
      <c r="H274" s="522"/>
      <c r="I274" s="538"/>
      <c r="J274" s="538"/>
      <c r="K274" s="538"/>
      <c r="L274" s="538"/>
      <c r="M274" s="538"/>
      <c r="N274" s="538"/>
      <c r="O274" s="538"/>
      <c r="P274" s="538"/>
      <c r="Q274" s="538"/>
    </row>
    <row r="275" ht="16.5" spans="2:17">
      <c r="B275" s="522"/>
      <c r="C275" s="522"/>
      <c r="D275" s="522"/>
      <c r="E275" s="522"/>
      <c r="F275" s="522"/>
      <c r="G275" s="522"/>
      <c r="H275" s="522"/>
      <c r="I275" s="538"/>
      <c r="J275" s="538"/>
      <c r="K275" s="538"/>
      <c r="L275" s="538"/>
      <c r="M275" s="538"/>
      <c r="N275" s="538"/>
      <c r="O275" s="538"/>
      <c r="P275" s="538"/>
      <c r="Q275" s="538"/>
    </row>
    <row r="276" ht="16.5" spans="2:17">
      <c r="B276" s="522"/>
      <c r="C276" s="522"/>
      <c r="D276" s="522"/>
      <c r="E276" s="522"/>
      <c r="F276" s="522"/>
      <c r="G276" s="522"/>
      <c r="H276" s="522"/>
      <c r="I276" s="538"/>
      <c r="J276" s="538"/>
      <c r="K276" s="538"/>
      <c r="L276" s="538"/>
      <c r="M276" s="538"/>
      <c r="N276" s="538"/>
      <c r="O276" s="538"/>
      <c r="P276" s="538"/>
      <c r="Q276" s="538"/>
    </row>
    <row r="277" ht="16.5" spans="2:17">
      <c r="B277" s="522"/>
      <c r="C277" s="522"/>
      <c r="D277" s="522"/>
      <c r="E277" s="522"/>
      <c r="F277" s="522"/>
      <c r="G277" s="522"/>
      <c r="H277" s="522"/>
      <c r="I277" s="538"/>
      <c r="J277" s="538"/>
      <c r="K277" s="538"/>
      <c r="L277" s="538"/>
      <c r="M277" s="538"/>
      <c r="N277" s="538"/>
      <c r="O277" s="538"/>
      <c r="P277" s="538"/>
      <c r="Q277" s="538"/>
    </row>
    <row r="278" ht="16.5" spans="2:17">
      <c r="B278" s="522"/>
      <c r="C278" s="522"/>
      <c r="D278" s="522"/>
      <c r="E278" s="522"/>
      <c r="F278" s="522"/>
      <c r="G278" s="522"/>
      <c r="H278" s="522"/>
      <c r="I278" s="538"/>
      <c r="J278" s="538"/>
      <c r="K278" s="538"/>
      <c r="L278" s="538"/>
      <c r="M278" s="538"/>
      <c r="N278" s="538"/>
      <c r="O278" s="538"/>
      <c r="P278" s="538"/>
      <c r="Q278" s="538"/>
    </row>
    <row r="279" ht="16.5" spans="2:17">
      <c r="B279" s="522"/>
      <c r="C279" s="522"/>
      <c r="D279" s="522"/>
      <c r="E279" s="522"/>
      <c r="F279" s="522"/>
      <c r="G279" s="522"/>
      <c r="H279" s="522"/>
      <c r="I279" s="538"/>
      <c r="J279" s="538"/>
      <c r="K279" s="538"/>
      <c r="L279" s="538"/>
      <c r="M279" s="538"/>
      <c r="N279" s="538"/>
      <c r="O279" s="538"/>
      <c r="P279" s="538"/>
      <c r="Q279" s="538"/>
    </row>
    <row r="280" ht="16.5" spans="2:17">
      <c r="B280" s="522"/>
      <c r="C280" s="522"/>
      <c r="D280" s="522"/>
      <c r="E280" s="522"/>
      <c r="F280" s="522"/>
      <c r="G280" s="522"/>
      <c r="H280" s="522"/>
      <c r="I280" s="538"/>
      <c r="J280" s="538"/>
      <c r="K280" s="538"/>
      <c r="L280" s="538"/>
      <c r="M280" s="538"/>
      <c r="N280" s="538"/>
      <c r="O280" s="538"/>
      <c r="P280" s="538"/>
      <c r="Q280" s="538"/>
    </row>
    <row r="281" ht="16.5" spans="2:17">
      <c r="B281" s="522"/>
      <c r="C281" s="522"/>
      <c r="D281" s="522"/>
      <c r="E281" s="522"/>
      <c r="F281" s="522"/>
      <c r="G281" s="522"/>
      <c r="H281" s="522"/>
      <c r="I281" s="538"/>
      <c r="J281" s="538"/>
      <c r="K281" s="538"/>
      <c r="L281" s="538"/>
      <c r="M281" s="538"/>
      <c r="N281" s="538"/>
      <c r="O281" s="538"/>
      <c r="P281" s="538"/>
      <c r="Q281" s="538"/>
    </row>
    <row r="282" ht="16.5" spans="2:17">
      <c r="B282" s="522"/>
      <c r="C282" s="522"/>
      <c r="D282" s="522"/>
      <c r="E282" s="522"/>
      <c r="F282" s="522"/>
      <c r="G282" s="522"/>
      <c r="H282" s="522"/>
      <c r="I282" s="538"/>
      <c r="J282" s="538"/>
      <c r="K282" s="538"/>
      <c r="L282" s="538"/>
      <c r="M282" s="538"/>
      <c r="N282" s="538"/>
      <c r="O282" s="538"/>
      <c r="P282" s="538"/>
      <c r="Q282" s="538"/>
    </row>
    <row r="283" ht="16.5" spans="2:17">
      <c r="B283" s="522"/>
      <c r="C283" s="522"/>
      <c r="D283" s="522"/>
      <c r="E283" s="522"/>
      <c r="F283" s="522"/>
      <c r="G283" s="522"/>
      <c r="H283" s="522"/>
      <c r="I283" s="538"/>
      <c r="J283" s="538"/>
      <c r="K283" s="538"/>
      <c r="L283" s="538"/>
      <c r="M283" s="538"/>
      <c r="N283" s="538"/>
      <c r="O283" s="538"/>
      <c r="P283" s="538"/>
      <c r="Q283" s="538"/>
    </row>
    <row r="284" ht="16.5" spans="2:17">
      <c r="B284" s="522"/>
      <c r="C284" s="522"/>
      <c r="D284" s="522"/>
      <c r="E284" s="522"/>
      <c r="F284" s="522"/>
      <c r="G284" s="522"/>
      <c r="H284" s="522"/>
      <c r="I284" s="538"/>
      <c r="J284" s="538"/>
      <c r="K284" s="538"/>
      <c r="L284" s="538"/>
      <c r="M284" s="538"/>
      <c r="N284" s="538"/>
      <c r="O284" s="538"/>
      <c r="P284" s="538"/>
      <c r="Q284" s="538"/>
    </row>
    <row r="285" ht="16.5" spans="2:17">
      <c r="B285" s="522"/>
      <c r="C285" s="522"/>
      <c r="D285" s="522"/>
      <c r="E285" s="522"/>
      <c r="F285" s="522"/>
      <c r="G285" s="522"/>
      <c r="H285" s="522"/>
      <c r="I285" s="538"/>
      <c r="J285" s="538"/>
      <c r="K285" s="538"/>
      <c r="L285" s="538"/>
      <c r="M285" s="538"/>
      <c r="N285" s="538"/>
      <c r="O285" s="538"/>
      <c r="P285" s="538"/>
      <c r="Q285" s="538"/>
    </row>
    <row r="286" ht="16.5" spans="2:17">
      <c r="B286" s="522"/>
      <c r="C286" s="522"/>
      <c r="D286" s="522"/>
      <c r="E286" s="522"/>
      <c r="F286" s="522"/>
      <c r="G286" s="522"/>
      <c r="H286" s="522"/>
      <c r="I286" s="538"/>
      <c r="J286" s="538"/>
      <c r="K286" s="538"/>
      <c r="L286" s="538"/>
      <c r="M286" s="538"/>
      <c r="N286" s="538"/>
      <c r="O286" s="538"/>
      <c r="P286" s="538"/>
      <c r="Q286" s="538"/>
    </row>
    <row r="287" ht="16.5" spans="2:17">
      <c r="B287" s="522"/>
      <c r="C287" s="522"/>
      <c r="D287" s="522"/>
      <c r="E287" s="522"/>
      <c r="F287" s="522"/>
      <c r="G287" s="522"/>
      <c r="H287" s="522"/>
      <c r="I287" s="538"/>
      <c r="J287" s="538"/>
      <c r="K287" s="538"/>
      <c r="L287" s="538"/>
      <c r="M287" s="538"/>
      <c r="N287" s="538"/>
      <c r="O287" s="538"/>
      <c r="P287" s="538"/>
      <c r="Q287" s="538"/>
    </row>
    <row r="288" ht="16.5" spans="2:17">
      <c r="B288" s="522"/>
      <c r="C288" s="522"/>
      <c r="D288" s="522"/>
      <c r="E288" s="522"/>
      <c r="F288" s="522"/>
      <c r="G288" s="522"/>
      <c r="H288" s="522"/>
      <c r="I288" s="538"/>
      <c r="J288" s="538"/>
      <c r="K288" s="538"/>
      <c r="L288" s="538"/>
      <c r="M288" s="538"/>
      <c r="N288" s="538"/>
      <c r="O288" s="538"/>
      <c r="P288" s="538"/>
      <c r="Q288" s="538"/>
    </row>
    <row r="289" ht="16.5" spans="2:17">
      <c r="B289" s="522"/>
      <c r="C289" s="522"/>
      <c r="D289" s="522"/>
      <c r="E289" s="522"/>
      <c r="F289" s="522"/>
      <c r="G289" s="522"/>
      <c r="H289" s="522"/>
      <c r="I289" s="538"/>
      <c r="J289" s="538"/>
      <c r="K289" s="538"/>
      <c r="L289" s="538"/>
      <c r="M289" s="538"/>
      <c r="N289" s="538"/>
      <c r="O289" s="538"/>
      <c r="P289" s="538"/>
      <c r="Q289" s="538"/>
    </row>
    <row r="290" ht="16.5" spans="2:17">
      <c r="B290" s="569"/>
      <c r="C290" s="569"/>
      <c r="D290" s="569"/>
      <c r="E290" s="569"/>
      <c r="F290" s="569"/>
      <c r="G290" s="569"/>
      <c r="H290" s="569"/>
      <c r="I290" s="570"/>
      <c r="J290" s="570"/>
      <c r="K290" s="570"/>
      <c r="L290" s="570"/>
      <c r="M290" s="570"/>
      <c r="N290" s="570"/>
      <c r="O290" s="570"/>
      <c r="P290" s="570"/>
      <c r="Q290" s="570"/>
    </row>
    <row r="291" ht="16.5" spans="2:17">
      <c r="B291" s="569"/>
      <c r="C291" s="569"/>
      <c r="D291" s="569"/>
      <c r="E291" s="569"/>
      <c r="F291" s="569"/>
      <c r="G291" s="569"/>
      <c r="H291" s="569"/>
      <c r="I291" s="570"/>
      <c r="J291" s="570"/>
      <c r="K291" s="570"/>
      <c r="L291" s="570"/>
      <c r="M291" s="570"/>
      <c r="N291" s="570"/>
      <c r="O291" s="570"/>
      <c r="P291" s="570"/>
      <c r="Q291" s="570"/>
    </row>
    <row r="292" ht="16.5" spans="2:17">
      <c r="B292" s="569"/>
      <c r="C292" s="569"/>
      <c r="D292" s="569"/>
      <c r="E292" s="569"/>
      <c r="F292" s="569"/>
      <c r="G292" s="569"/>
      <c r="H292" s="569"/>
      <c r="I292" s="570"/>
      <c r="J292" s="570"/>
      <c r="K292" s="570"/>
      <c r="L292" s="570"/>
      <c r="M292" s="570"/>
      <c r="N292" s="570"/>
      <c r="O292" s="570"/>
      <c r="P292" s="570"/>
      <c r="Q292" s="570"/>
    </row>
    <row r="293" ht="16.5" spans="2:17">
      <c r="B293" s="569"/>
      <c r="C293" s="569"/>
      <c r="D293" s="569"/>
      <c r="E293" s="569"/>
      <c r="F293" s="569"/>
      <c r="G293" s="569"/>
      <c r="H293" s="569"/>
      <c r="I293" s="570"/>
      <c r="J293" s="570"/>
      <c r="K293" s="570"/>
      <c r="L293" s="570"/>
      <c r="M293" s="570"/>
      <c r="N293" s="570"/>
      <c r="O293" s="570"/>
      <c r="P293" s="570"/>
      <c r="Q293" s="570"/>
    </row>
    <row r="294" ht="16.5" spans="2:17">
      <c r="B294" s="569"/>
      <c r="C294" s="569"/>
      <c r="D294" s="569"/>
      <c r="E294" s="569"/>
      <c r="F294" s="569"/>
      <c r="G294" s="569"/>
      <c r="H294" s="569"/>
      <c r="I294" s="570"/>
      <c r="J294" s="570"/>
      <c r="K294" s="570"/>
      <c r="L294" s="570"/>
      <c r="M294" s="570"/>
      <c r="N294" s="570"/>
      <c r="O294" s="570"/>
      <c r="P294" s="570"/>
      <c r="Q294" s="570"/>
    </row>
    <row r="295" ht="16.5" spans="2:17">
      <c r="B295" s="569"/>
      <c r="C295" s="569"/>
      <c r="D295" s="569"/>
      <c r="E295" s="569"/>
      <c r="F295" s="569"/>
      <c r="G295" s="569"/>
      <c r="H295" s="569"/>
      <c r="I295" s="570"/>
      <c r="J295" s="570"/>
      <c r="K295" s="570"/>
      <c r="L295" s="570"/>
      <c r="M295" s="570"/>
      <c r="N295" s="570"/>
      <c r="O295" s="570"/>
      <c r="P295" s="570"/>
      <c r="Q295" s="570"/>
    </row>
    <row r="296" ht="16.5" spans="2:17">
      <c r="B296" s="569"/>
      <c r="C296" s="569"/>
      <c r="D296" s="569"/>
      <c r="E296" s="569"/>
      <c r="F296" s="569"/>
      <c r="G296" s="569"/>
      <c r="H296" s="569"/>
      <c r="I296" s="570"/>
      <c r="J296" s="570"/>
      <c r="K296" s="570"/>
      <c r="L296" s="570"/>
      <c r="M296" s="570"/>
      <c r="N296" s="570"/>
      <c r="O296" s="570"/>
      <c r="P296" s="570"/>
      <c r="Q296" s="570"/>
    </row>
    <row r="297" ht="16.5" spans="2:17">
      <c r="B297" s="569"/>
      <c r="C297" s="569"/>
      <c r="D297" s="569"/>
      <c r="E297" s="569"/>
      <c r="F297" s="569"/>
      <c r="G297" s="569"/>
      <c r="H297" s="569"/>
      <c r="I297" s="570"/>
      <c r="J297" s="570"/>
      <c r="K297" s="570"/>
      <c r="L297" s="570"/>
      <c r="M297" s="570"/>
      <c r="N297" s="570"/>
      <c r="O297" s="570"/>
      <c r="P297" s="570"/>
      <c r="Q297" s="570"/>
    </row>
    <row r="298" ht="16.5" spans="2:17">
      <c r="B298" s="569"/>
      <c r="C298" s="569"/>
      <c r="D298" s="569"/>
      <c r="E298" s="569"/>
      <c r="F298" s="569"/>
      <c r="G298" s="569"/>
      <c r="H298" s="569"/>
      <c r="I298" s="570"/>
      <c r="J298" s="570"/>
      <c r="K298" s="570"/>
      <c r="L298" s="570"/>
      <c r="M298" s="570"/>
      <c r="N298" s="570"/>
      <c r="O298" s="570"/>
      <c r="P298" s="570"/>
      <c r="Q298" s="570"/>
    </row>
    <row r="299" ht="16.5" spans="2:17">
      <c r="B299" s="569"/>
      <c r="C299" s="569"/>
      <c r="D299" s="569"/>
      <c r="E299" s="569"/>
      <c r="F299" s="569"/>
      <c r="G299" s="569"/>
      <c r="H299" s="569"/>
      <c r="I299" s="570"/>
      <c r="J299" s="570"/>
      <c r="K299" s="570"/>
      <c r="L299" s="570"/>
      <c r="M299" s="570"/>
      <c r="N299" s="570"/>
      <c r="O299" s="570"/>
      <c r="P299" s="570"/>
      <c r="Q299" s="570"/>
    </row>
    <row r="300" ht="16.5" spans="2:17">
      <c r="B300" s="569"/>
      <c r="C300" s="569"/>
      <c r="D300" s="569"/>
      <c r="E300" s="569"/>
      <c r="F300" s="569"/>
      <c r="G300" s="569"/>
      <c r="H300" s="569"/>
      <c r="I300" s="570"/>
      <c r="J300" s="570"/>
      <c r="K300" s="570"/>
      <c r="L300" s="570"/>
      <c r="M300" s="570"/>
      <c r="N300" s="570"/>
      <c r="O300" s="570"/>
      <c r="P300" s="570"/>
      <c r="Q300" s="570"/>
    </row>
    <row r="301" ht="16.5" spans="2:17">
      <c r="B301" s="569"/>
      <c r="C301" s="569"/>
      <c r="D301" s="569"/>
      <c r="E301" s="569"/>
      <c r="F301" s="569"/>
      <c r="G301" s="569"/>
      <c r="H301" s="569"/>
      <c r="I301" s="570"/>
      <c r="J301" s="570"/>
      <c r="K301" s="570"/>
      <c r="L301" s="570"/>
      <c r="M301" s="570"/>
      <c r="N301" s="570"/>
      <c r="O301" s="570"/>
      <c r="P301" s="570"/>
      <c r="Q301" s="570"/>
    </row>
    <row r="302" ht="16.5" spans="2:17">
      <c r="B302" s="569"/>
      <c r="C302" s="569"/>
      <c r="D302" s="569"/>
      <c r="E302" s="569"/>
      <c r="F302" s="569"/>
      <c r="G302" s="569"/>
      <c r="H302" s="569"/>
      <c r="I302" s="570"/>
      <c r="J302" s="570"/>
      <c r="K302" s="570"/>
      <c r="L302" s="570"/>
      <c r="M302" s="570"/>
      <c r="N302" s="570"/>
      <c r="O302" s="570"/>
      <c r="P302" s="570"/>
      <c r="Q302" s="570"/>
    </row>
    <row r="303" ht="16.5" spans="2:17">
      <c r="B303" s="569"/>
      <c r="C303" s="569"/>
      <c r="D303" s="569"/>
      <c r="E303" s="569"/>
      <c r="F303" s="569"/>
      <c r="G303" s="569"/>
      <c r="H303" s="569"/>
      <c r="I303" s="570"/>
      <c r="J303" s="570"/>
      <c r="K303" s="570"/>
      <c r="L303" s="570"/>
      <c r="M303" s="570"/>
      <c r="N303" s="570"/>
      <c r="O303" s="570"/>
      <c r="P303" s="570"/>
      <c r="Q303" s="570"/>
    </row>
    <row r="304" ht="16.5" spans="2:17">
      <c r="B304" s="569"/>
      <c r="C304" s="569"/>
      <c r="D304" s="569"/>
      <c r="E304" s="569"/>
      <c r="F304" s="569"/>
      <c r="G304" s="569"/>
      <c r="H304" s="569"/>
      <c r="I304" s="570"/>
      <c r="J304" s="570"/>
      <c r="K304" s="570"/>
      <c r="L304" s="570"/>
      <c r="M304" s="570"/>
      <c r="N304" s="570"/>
      <c r="O304" s="570"/>
      <c r="P304" s="570"/>
      <c r="Q304" s="570"/>
    </row>
    <row r="305" ht="16.5" spans="2:17">
      <c r="B305" s="569"/>
      <c r="C305" s="569"/>
      <c r="D305" s="569"/>
      <c r="E305" s="569"/>
      <c r="F305" s="569"/>
      <c r="G305" s="569"/>
      <c r="H305" s="569"/>
      <c r="I305" s="570"/>
      <c r="J305" s="570"/>
      <c r="K305" s="570"/>
      <c r="L305" s="570"/>
      <c r="M305" s="570"/>
      <c r="N305" s="570"/>
      <c r="O305" s="570"/>
      <c r="P305" s="570"/>
      <c r="Q305" s="570"/>
    </row>
    <row r="306" ht="16.5" spans="2:17">
      <c r="B306" s="569"/>
      <c r="C306" s="569"/>
      <c r="D306" s="569"/>
      <c r="E306" s="569"/>
      <c r="F306" s="569"/>
      <c r="G306" s="569"/>
      <c r="H306" s="569"/>
      <c r="I306" s="570"/>
      <c r="J306" s="570"/>
      <c r="K306" s="570"/>
      <c r="L306" s="570"/>
      <c r="M306" s="570"/>
      <c r="N306" s="570"/>
      <c r="O306" s="570"/>
      <c r="P306" s="570"/>
      <c r="Q306" s="570"/>
    </row>
    <row r="307" ht="16.5" spans="2:17">
      <c r="B307" s="569"/>
      <c r="C307" s="569"/>
      <c r="D307" s="569"/>
      <c r="E307" s="569"/>
      <c r="F307" s="569"/>
      <c r="G307" s="569"/>
      <c r="H307" s="569"/>
      <c r="I307" s="570"/>
      <c r="J307" s="570"/>
      <c r="K307" s="570"/>
      <c r="L307" s="570"/>
      <c r="M307" s="570"/>
      <c r="N307" s="570"/>
      <c r="O307" s="570"/>
      <c r="P307" s="570"/>
      <c r="Q307" s="570"/>
    </row>
    <row r="308" ht="16.5" spans="2:17">
      <c r="B308" s="569"/>
      <c r="C308" s="569"/>
      <c r="D308" s="569"/>
      <c r="E308" s="569"/>
      <c r="F308" s="569"/>
      <c r="G308" s="569"/>
      <c r="H308" s="569"/>
      <c r="I308" s="570"/>
      <c r="J308" s="570"/>
      <c r="K308" s="570"/>
      <c r="L308" s="570"/>
      <c r="M308" s="570"/>
      <c r="N308" s="570"/>
      <c r="O308" s="570"/>
      <c r="P308" s="570"/>
      <c r="Q308" s="570"/>
    </row>
    <row r="309" ht="16.5" spans="2:17">
      <c r="B309" s="569"/>
      <c r="C309" s="569"/>
      <c r="D309" s="569"/>
      <c r="E309" s="569"/>
      <c r="F309" s="569"/>
      <c r="G309" s="569"/>
      <c r="H309" s="569"/>
      <c r="I309" s="570"/>
      <c r="J309" s="570"/>
      <c r="K309" s="570"/>
      <c r="L309" s="570"/>
      <c r="M309" s="570"/>
      <c r="N309" s="570"/>
      <c r="O309" s="570"/>
      <c r="P309" s="570"/>
      <c r="Q309" s="570"/>
    </row>
    <row r="310" ht="16.5" spans="2:17">
      <c r="B310" s="569"/>
      <c r="C310" s="569"/>
      <c r="D310" s="569"/>
      <c r="E310" s="569"/>
      <c r="F310" s="569"/>
      <c r="G310" s="569"/>
      <c r="H310" s="569"/>
      <c r="I310" s="570"/>
      <c r="J310" s="570"/>
      <c r="K310" s="570"/>
      <c r="L310" s="570"/>
      <c r="M310" s="570"/>
      <c r="N310" s="570"/>
      <c r="O310" s="570"/>
      <c r="P310" s="570"/>
      <c r="Q310" s="570"/>
    </row>
    <row r="311" ht="16.5" spans="2:17">
      <c r="B311" s="569"/>
      <c r="C311" s="569"/>
      <c r="D311" s="569"/>
      <c r="E311" s="569"/>
      <c r="F311" s="569"/>
      <c r="G311" s="569"/>
      <c r="H311" s="569"/>
      <c r="I311" s="570"/>
      <c r="J311" s="570"/>
      <c r="K311" s="570"/>
      <c r="L311" s="570"/>
      <c r="M311" s="570"/>
      <c r="N311" s="570"/>
      <c r="O311" s="570"/>
      <c r="P311" s="570"/>
      <c r="Q311" s="570"/>
    </row>
    <row r="312" ht="16.5" spans="2:17">
      <c r="B312" s="569"/>
      <c r="C312" s="569"/>
      <c r="D312" s="569"/>
      <c r="E312" s="569"/>
      <c r="F312" s="569"/>
      <c r="G312" s="569"/>
      <c r="H312" s="569"/>
      <c r="I312" s="570"/>
      <c r="J312" s="570"/>
      <c r="K312" s="570"/>
      <c r="L312" s="570"/>
      <c r="M312" s="570"/>
      <c r="N312" s="570"/>
      <c r="O312" s="570"/>
      <c r="P312" s="570"/>
      <c r="Q312" s="570"/>
    </row>
    <row r="313" ht="16.5" spans="2:17">
      <c r="B313" s="569"/>
      <c r="C313" s="569"/>
      <c r="D313" s="569"/>
      <c r="E313" s="569"/>
      <c r="F313" s="569"/>
      <c r="G313" s="569"/>
      <c r="H313" s="569"/>
      <c r="I313" s="570"/>
      <c r="J313" s="570"/>
      <c r="K313" s="570"/>
      <c r="L313" s="570"/>
      <c r="M313" s="570"/>
      <c r="N313" s="570"/>
      <c r="O313" s="570"/>
      <c r="P313" s="570"/>
      <c r="Q313" s="570"/>
    </row>
    <row r="314" ht="16.5" spans="2:17">
      <c r="B314" s="569"/>
      <c r="C314" s="569"/>
      <c r="D314" s="569"/>
      <c r="E314" s="569"/>
      <c r="F314" s="569"/>
      <c r="G314" s="569"/>
      <c r="H314" s="569"/>
      <c r="I314" s="570"/>
      <c r="J314" s="570"/>
      <c r="K314" s="570"/>
      <c r="L314" s="570"/>
      <c r="M314" s="570"/>
      <c r="N314" s="570"/>
      <c r="O314" s="570"/>
      <c r="P314" s="570"/>
      <c r="Q314" s="570"/>
    </row>
    <row r="315" ht="16.5" spans="2:17">
      <c r="B315" s="569"/>
      <c r="C315" s="569"/>
      <c r="D315" s="569"/>
      <c r="E315" s="569"/>
      <c r="F315" s="569"/>
      <c r="G315" s="569"/>
      <c r="H315" s="569"/>
      <c r="I315" s="570"/>
      <c r="J315" s="570"/>
      <c r="K315" s="570"/>
      <c r="L315" s="570"/>
      <c r="M315" s="570"/>
      <c r="N315" s="570"/>
      <c r="O315" s="570"/>
      <c r="P315" s="570"/>
      <c r="Q315" s="570"/>
    </row>
    <row r="316" ht="16.5" spans="2:17">
      <c r="B316" s="569"/>
      <c r="C316" s="569"/>
      <c r="D316" s="569"/>
      <c r="E316" s="569"/>
      <c r="F316" s="569"/>
      <c r="G316" s="569"/>
      <c r="H316" s="569"/>
      <c r="I316" s="570"/>
      <c r="J316" s="570"/>
      <c r="K316" s="570"/>
      <c r="L316" s="570"/>
      <c r="M316" s="570"/>
      <c r="N316" s="570"/>
      <c r="O316" s="570"/>
      <c r="P316" s="570"/>
      <c r="Q316" s="570"/>
    </row>
    <row r="317" ht="16.5" spans="2:17">
      <c r="B317" s="569"/>
      <c r="C317" s="569"/>
      <c r="D317" s="569"/>
      <c r="E317" s="569"/>
      <c r="F317" s="569"/>
      <c r="G317" s="569"/>
      <c r="H317" s="569"/>
      <c r="I317" s="570"/>
      <c r="J317" s="570"/>
      <c r="K317" s="570"/>
      <c r="L317" s="570"/>
      <c r="M317" s="570"/>
      <c r="N317" s="570"/>
      <c r="O317" s="570"/>
      <c r="P317" s="570"/>
      <c r="Q317" s="570"/>
    </row>
    <row r="318" ht="16.5" spans="2:17">
      <c r="B318" s="569"/>
      <c r="C318" s="569"/>
      <c r="D318" s="569"/>
      <c r="E318" s="569"/>
      <c r="F318" s="569"/>
      <c r="G318" s="569"/>
      <c r="H318" s="569"/>
      <c r="I318" s="570"/>
      <c r="J318" s="570"/>
      <c r="K318" s="570"/>
      <c r="L318" s="570"/>
      <c r="M318" s="570"/>
      <c r="N318" s="570"/>
      <c r="O318" s="570"/>
      <c r="P318" s="570"/>
      <c r="Q318" s="570"/>
    </row>
    <row r="319" ht="16.5" spans="2:17">
      <c r="B319" s="569"/>
      <c r="C319" s="569"/>
      <c r="D319" s="569"/>
      <c r="E319" s="569"/>
      <c r="F319" s="569"/>
      <c r="G319" s="569"/>
      <c r="H319" s="569"/>
      <c r="I319" s="570"/>
      <c r="J319" s="570"/>
      <c r="K319" s="570"/>
      <c r="L319" s="570"/>
      <c r="M319" s="570"/>
      <c r="N319" s="570"/>
      <c r="O319" s="570"/>
      <c r="P319" s="570"/>
      <c r="Q319" s="570"/>
    </row>
    <row r="320" ht="16.5" spans="2:17">
      <c r="B320" s="569"/>
      <c r="C320" s="569"/>
      <c r="D320" s="569"/>
      <c r="E320" s="569"/>
      <c r="F320" s="569"/>
      <c r="G320" s="569"/>
      <c r="H320" s="569"/>
      <c r="I320" s="570"/>
      <c r="J320" s="570"/>
      <c r="K320" s="570"/>
      <c r="L320" s="570"/>
      <c r="M320" s="570"/>
      <c r="N320" s="570"/>
      <c r="O320" s="570"/>
      <c r="P320" s="570"/>
      <c r="Q320" s="570"/>
    </row>
    <row r="321" ht="16.5" spans="2:17">
      <c r="B321" s="569"/>
      <c r="C321" s="569"/>
      <c r="D321" s="569"/>
      <c r="E321" s="569"/>
      <c r="F321" s="569"/>
      <c r="G321" s="569"/>
      <c r="H321" s="569"/>
      <c r="I321" s="570"/>
      <c r="J321" s="570"/>
      <c r="K321" s="570"/>
      <c r="L321" s="570"/>
      <c r="M321" s="570"/>
      <c r="N321" s="570"/>
      <c r="O321" s="570"/>
      <c r="P321" s="570"/>
      <c r="Q321" s="570"/>
    </row>
    <row r="322" ht="16.5" spans="2:17">
      <c r="B322" s="569"/>
      <c r="C322" s="569"/>
      <c r="D322" s="569"/>
      <c r="E322" s="569"/>
      <c r="F322" s="569"/>
      <c r="G322" s="569"/>
      <c r="H322" s="569"/>
      <c r="I322" s="570"/>
      <c r="J322" s="570"/>
      <c r="K322" s="570"/>
      <c r="L322" s="570"/>
      <c r="M322" s="570"/>
      <c r="N322" s="570"/>
      <c r="O322" s="570"/>
      <c r="P322" s="570"/>
      <c r="Q322" s="570"/>
    </row>
    <row r="323" ht="16.5" spans="2:17">
      <c r="B323" s="569"/>
      <c r="C323" s="569"/>
      <c r="D323" s="569"/>
      <c r="E323" s="569"/>
      <c r="F323" s="569"/>
      <c r="G323" s="569"/>
      <c r="H323" s="569"/>
      <c r="I323" s="570"/>
      <c r="J323" s="570"/>
      <c r="K323" s="570"/>
      <c r="L323" s="570"/>
      <c r="M323" s="570"/>
      <c r="N323" s="570"/>
      <c r="O323" s="570"/>
      <c r="P323" s="570"/>
      <c r="Q323" s="570"/>
    </row>
    <row r="324" ht="16.5" spans="2:17">
      <c r="B324" s="569"/>
      <c r="C324" s="569"/>
      <c r="D324" s="569"/>
      <c r="E324" s="569"/>
      <c r="F324" s="569"/>
      <c r="G324" s="569"/>
      <c r="H324" s="569"/>
      <c r="I324" s="570"/>
      <c r="J324" s="570"/>
      <c r="K324" s="570"/>
      <c r="L324" s="570"/>
      <c r="M324" s="570"/>
      <c r="N324" s="570"/>
      <c r="O324" s="570"/>
      <c r="P324" s="570"/>
      <c r="Q324" s="570"/>
    </row>
    <row r="325" ht="16.5" spans="2:17">
      <c r="B325" s="569"/>
      <c r="C325" s="569"/>
      <c r="D325" s="569"/>
      <c r="E325" s="569"/>
      <c r="F325" s="569"/>
      <c r="G325" s="569"/>
      <c r="H325" s="569"/>
      <c r="I325" s="570"/>
      <c r="J325" s="570"/>
      <c r="K325" s="570"/>
      <c r="L325" s="570"/>
      <c r="M325" s="570"/>
      <c r="N325" s="570"/>
      <c r="O325" s="570"/>
      <c r="P325" s="570"/>
      <c r="Q325" s="570"/>
    </row>
    <row r="326" ht="16.5" spans="2:17">
      <c r="B326" s="569"/>
      <c r="C326" s="569"/>
      <c r="D326" s="569"/>
      <c r="E326" s="569"/>
      <c r="F326" s="569"/>
      <c r="G326" s="569"/>
      <c r="H326" s="569"/>
      <c r="I326" s="570"/>
      <c r="J326" s="570"/>
      <c r="K326" s="570"/>
      <c r="L326" s="570"/>
      <c r="M326" s="570"/>
      <c r="N326" s="570"/>
      <c r="O326" s="570"/>
      <c r="P326" s="570"/>
      <c r="Q326" s="570"/>
    </row>
    <row r="327" ht="16.5" spans="2:17">
      <c r="B327" s="569"/>
      <c r="C327" s="569"/>
      <c r="D327" s="569"/>
      <c r="E327" s="569"/>
      <c r="F327" s="569"/>
      <c r="G327" s="569"/>
      <c r="H327" s="569"/>
      <c r="I327" s="570"/>
      <c r="J327" s="570"/>
      <c r="K327" s="570"/>
      <c r="L327" s="570"/>
      <c r="M327" s="570"/>
      <c r="N327" s="570"/>
      <c r="O327" s="570"/>
      <c r="P327" s="570"/>
      <c r="Q327" s="570"/>
    </row>
    <row r="328" ht="16.5" spans="2:17">
      <c r="B328" s="569"/>
      <c r="C328" s="569"/>
      <c r="D328" s="569"/>
      <c r="E328" s="569"/>
      <c r="F328" s="569"/>
      <c r="G328" s="569"/>
      <c r="H328" s="569"/>
      <c r="I328" s="570"/>
      <c r="J328" s="570"/>
      <c r="K328" s="570"/>
      <c r="L328" s="570"/>
      <c r="M328" s="570"/>
      <c r="N328" s="570"/>
      <c r="O328" s="570"/>
      <c r="P328" s="570"/>
      <c r="Q328" s="570"/>
    </row>
    <row r="329" ht="16.5" spans="2:17">
      <c r="B329" s="569"/>
      <c r="C329" s="569"/>
      <c r="D329" s="569"/>
      <c r="E329" s="569"/>
      <c r="F329" s="569"/>
      <c r="G329" s="569"/>
      <c r="H329" s="569"/>
      <c r="I329" s="570"/>
      <c r="J329" s="570"/>
      <c r="K329" s="570"/>
      <c r="L329" s="570"/>
      <c r="M329" s="570"/>
      <c r="N329" s="570"/>
      <c r="O329" s="570"/>
      <c r="P329" s="570"/>
      <c r="Q329" s="570"/>
    </row>
    <row r="330" ht="16.5" spans="2:17">
      <c r="B330" s="569"/>
      <c r="C330" s="569"/>
      <c r="D330" s="569"/>
      <c r="E330" s="569"/>
      <c r="F330" s="569"/>
      <c r="G330" s="569"/>
      <c r="H330" s="569"/>
      <c r="I330" s="570"/>
      <c r="J330" s="570"/>
      <c r="K330" s="570"/>
      <c r="L330" s="570"/>
      <c r="M330" s="570"/>
      <c r="N330" s="570"/>
      <c r="O330" s="570"/>
      <c r="P330" s="570"/>
      <c r="Q330" s="570"/>
    </row>
    <row r="331" ht="16.5" spans="2:17">
      <c r="B331" s="569"/>
      <c r="C331" s="569"/>
      <c r="D331" s="569"/>
      <c r="E331" s="569"/>
      <c r="F331" s="569"/>
      <c r="G331" s="569"/>
      <c r="H331" s="569"/>
      <c r="I331" s="570"/>
      <c r="J331" s="570"/>
      <c r="K331" s="570"/>
      <c r="L331" s="570"/>
      <c r="M331" s="570"/>
      <c r="N331" s="570"/>
      <c r="O331" s="570"/>
      <c r="P331" s="570"/>
      <c r="Q331" s="570"/>
    </row>
    <row r="332" ht="16.5" spans="2:17">
      <c r="B332" s="569"/>
      <c r="C332" s="569"/>
      <c r="D332" s="569"/>
      <c r="E332" s="569"/>
      <c r="F332" s="569"/>
      <c r="G332" s="569"/>
      <c r="H332" s="569"/>
      <c r="I332" s="570"/>
      <c r="J332" s="570"/>
      <c r="K332" s="570"/>
      <c r="L332" s="570"/>
      <c r="M332" s="570"/>
      <c r="N332" s="570"/>
      <c r="O332" s="570"/>
      <c r="P332" s="570"/>
      <c r="Q332" s="570"/>
    </row>
    <row r="333" ht="16.5" spans="2:17">
      <c r="B333" s="569"/>
      <c r="C333" s="569"/>
      <c r="D333" s="569"/>
      <c r="E333" s="569"/>
      <c r="F333" s="569"/>
      <c r="G333" s="569"/>
      <c r="H333" s="569"/>
      <c r="I333" s="570"/>
      <c r="J333" s="570"/>
      <c r="K333" s="570"/>
      <c r="L333" s="570"/>
      <c r="M333" s="570"/>
      <c r="N333" s="570"/>
      <c r="O333" s="570"/>
      <c r="P333" s="570"/>
      <c r="Q333" s="570"/>
    </row>
    <row r="334" ht="16.5" spans="2:17">
      <c r="B334" s="569"/>
      <c r="C334" s="569"/>
      <c r="D334" s="569"/>
      <c r="E334" s="569"/>
      <c r="F334" s="569"/>
      <c r="G334" s="569"/>
      <c r="H334" s="569"/>
      <c r="I334" s="570"/>
      <c r="J334" s="570"/>
      <c r="K334" s="570"/>
      <c r="L334" s="570"/>
      <c r="M334" s="570"/>
      <c r="N334" s="570"/>
      <c r="O334" s="570"/>
      <c r="P334" s="570"/>
      <c r="Q334" s="570"/>
    </row>
    <row r="335" ht="16.5" spans="2:17">
      <c r="B335" s="569"/>
      <c r="C335" s="569"/>
      <c r="D335" s="569"/>
      <c r="E335" s="569"/>
      <c r="F335" s="569"/>
      <c r="G335" s="569"/>
      <c r="H335" s="569"/>
      <c r="I335" s="570"/>
      <c r="J335" s="570"/>
      <c r="K335" s="570"/>
      <c r="L335" s="570"/>
      <c r="M335" s="570"/>
      <c r="N335" s="570"/>
      <c r="O335" s="570"/>
      <c r="P335" s="570"/>
      <c r="Q335" s="570"/>
    </row>
    <row r="336" ht="16.5" spans="2:17">
      <c r="B336" s="569"/>
      <c r="C336" s="569"/>
      <c r="D336" s="569"/>
      <c r="E336" s="569"/>
      <c r="F336" s="569"/>
      <c r="G336" s="569"/>
      <c r="H336" s="569"/>
      <c r="I336" s="570"/>
      <c r="J336" s="570"/>
      <c r="K336" s="570"/>
      <c r="L336" s="570"/>
      <c r="M336" s="570"/>
      <c r="N336" s="570"/>
      <c r="O336" s="570"/>
      <c r="P336" s="570"/>
      <c r="Q336" s="570"/>
    </row>
    <row r="337" ht="16.5" spans="2:17">
      <c r="B337" s="569"/>
      <c r="C337" s="569"/>
      <c r="D337" s="569"/>
      <c r="E337" s="569"/>
      <c r="F337" s="569"/>
      <c r="G337" s="569"/>
      <c r="H337" s="569"/>
      <c r="I337" s="570"/>
      <c r="J337" s="570"/>
      <c r="K337" s="570"/>
      <c r="L337" s="570"/>
      <c r="M337" s="570"/>
      <c r="N337" s="570"/>
      <c r="O337" s="570"/>
      <c r="P337" s="570"/>
      <c r="Q337" s="570"/>
    </row>
    <row r="338" ht="16.5" spans="2:17">
      <c r="B338" s="569"/>
      <c r="C338" s="569"/>
      <c r="D338" s="569"/>
      <c r="E338" s="569"/>
      <c r="F338" s="569"/>
      <c r="G338" s="569"/>
      <c r="H338" s="569"/>
      <c r="I338" s="570"/>
      <c r="J338" s="570"/>
      <c r="K338" s="570"/>
      <c r="L338" s="570"/>
      <c r="M338" s="570"/>
      <c r="N338" s="570"/>
      <c r="O338" s="570"/>
      <c r="P338" s="570"/>
      <c r="Q338" s="570"/>
    </row>
    <row r="339" ht="16.5" spans="2:17">
      <c r="B339" s="569"/>
      <c r="C339" s="569"/>
      <c r="D339" s="569"/>
      <c r="E339" s="569"/>
      <c r="F339" s="569"/>
      <c r="G339" s="569"/>
      <c r="H339" s="569"/>
      <c r="I339" s="570"/>
      <c r="J339" s="570"/>
      <c r="K339" s="570"/>
      <c r="L339" s="570"/>
      <c r="M339" s="570"/>
      <c r="N339" s="570"/>
      <c r="O339" s="570"/>
      <c r="P339" s="570"/>
      <c r="Q339" s="570"/>
    </row>
    <row r="340" ht="16.5" spans="2:17">
      <c r="B340" s="569"/>
      <c r="C340" s="569"/>
      <c r="D340" s="569"/>
      <c r="E340" s="569"/>
      <c r="F340" s="569"/>
      <c r="G340" s="569"/>
      <c r="H340" s="569"/>
      <c r="I340" s="570"/>
      <c r="J340" s="570"/>
      <c r="K340" s="570"/>
      <c r="L340" s="570"/>
      <c r="M340" s="570"/>
      <c r="N340" s="570"/>
      <c r="O340" s="570"/>
      <c r="P340" s="570"/>
      <c r="Q340" s="570"/>
    </row>
    <row r="341" ht="16.5" spans="2:17">
      <c r="B341" s="569"/>
      <c r="C341" s="569"/>
      <c r="D341" s="569"/>
      <c r="E341" s="569"/>
      <c r="F341" s="569"/>
      <c r="G341" s="569"/>
      <c r="H341" s="569"/>
      <c r="I341" s="570"/>
      <c r="J341" s="570"/>
      <c r="K341" s="570"/>
      <c r="L341" s="570"/>
      <c r="M341" s="570"/>
      <c r="N341" s="570"/>
      <c r="O341" s="570"/>
      <c r="P341" s="570"/>
      <c r="Q341" s="570"/>
    </row>
    <row r="342" ht="16.5" spans="2:17">
      <c r="B342" s="569"/>
      <c r="C342" s="569"/>
      <c r="D342" s="569"/>
      <c r="E342" s="569"/>
      <c r="F342" s="569"/>
      <c r="G342" s="569"/>
      <c r="H342" s="569"/>
      <c r="I342" s="570"/>
      <c r="J342" s="570"/>
      <c r="K342" s="570"/>
      <c r="L342" s="570"/>
      <c r="M342" s="570"/>
      <c r="N342" s="570"/>
      <c r="O342" s="570"/>
      <c r="P342" s="570"/>
      <c r="Q342" s="570"/>
    </row>
    <row r="343" ht="16.5" spans="2:17">
      <c r="B343" s="569"/>
      <c r="C343" s="569"/>
      <c r="D343" s="569"/>
      <c r="E343" s="569"/>
      <c r="F343" s="569"/>
      <c r="G343" s="569"/>
      <c r="H343" s="569"/>
      <c r="I343" s="570"/>
      <c r="J343" s="570"/>
      <c r="K343" s="570"/>
      <c r="L343" s="570"/>
      <c r="M343" s="570"/>
      <c r="N343" s="570"/>
      <c r="O343" s="570"/>
      <c r="P343" s="570"/>
      <c r="Q343" s="570"/>
    </row>
    <row r="344" ht="16.5" spans="2:17">
      <c r="B344" s="569"/>
      <c r="C344" s="569"/>
      <c r="D344" s="569"/>
      <c r="E344" s="569"/>
      <c r="F344" s="569"/>
      <c r="G344" s="569"/>
      <c r="H344" s="569"/>
      <c r="I344" s="570"/>
      <c r="J344" s="570"/>
      <c r="K344" s="570"/>
      <c r="L344" s="570"/>
      <c r="M344" s="570"/>
      <c r="N344" s="570"/>
      <c r="O344" s="570"/>
      <c r="P344" s="570"/>
      <c r="Q344" s="570"/>
    </row>
    <row r="345" ht="16.5" spans="2:17">
      <c r="B345" s="569"/>
      <c r="C345" s="569"/>
      <c r="D345" s="569"/>
      <c r="E345" s="569"/>
      <c r="F345" s="569"/>
      <c r="G345" s="569"/>
      <c r="H345" s="569"/>
      <c r="I345" s="570"/>
      <c r="J345" s="570"/>
      <c r="K345" s="570"/>
      <c r="L345" s="570"/>
      <c r="M345" s="570"/>
      <c r="N345" s="570"/>
      <c r="O345" s="570"/>
      <c r="P345" s="570"/>
      <c r="Q345" s="570"/>
    </row>
    <row r="346" ht="16.5" spans="2:17">
      <c r="B346" s="569"/>
      <c r="C346" s="569"/>
      <c r="D346" s="569"/>
      <c r="E346" s="569"/>
      <c r="F346" s="569"/>
      <c r="G346" s="569"/>
      <c r="H346" s="569"/>
      <c r="I346" s="570"/>
      <c r="J346" s="570"/>
      <c r="K346" s="570"/>
      <c r="L346" s="570"/>
      <c r="M346" s="570"/>
      <c r="N346" s="570"/>
      <c r="O346" s="570"/>
      <c r="P346" s="570"/>
      <c r="Q346" s="570"/>
    </row>
    <row r="347" ht="16.5" spans="2:17">
      <c r="B347" s="569"/>
      <c r="C347" s="569"/>
      <c r="D347" s="569"/>
      <c r="E347" s="569"/>
      <c r="F347" s="569"/>
      <c r="G347" s="569"/>
      <c r="H347" s="569"/>
      <c r="I347" s="570"/>
      <c r="J347" s="570"/>
      <c r="K347" s="570"/>
      <c r="L347" s="570"/>
      <c r="M347" s="570"/>
      <c r="N347" s="570"/>
      <c r="O347" s="570"/>
      <c r="P347" s="570"/>
      <c r="Q347" s="570"/>
    </row>
    <row r="348" ht="16.5" spans="2:17">
      <c r="B348" s="569"/>
      <c r="C348" s="569"/>
      <c r="D348" s="569"/>
      <c r="E348" s="569"/>
      <c r="F348" s="569"/>
      <c r="G348" s="569"/>
      <c r="H348" s="569"/>
      <c r="I348" s="570"/>
      <c r="J348" s="570"/>
      <c r="K348" s="570"/>
      <c r="L348" s="570"/>
      <c r="M348" s="570"/>
      <c r="N348" s="570"/>
      <c r="O348" s="570"/>
      <c r="P348" s="570"/>
      <c r="Q348" s="570"/>
    </row>
    <row r="349" ht="16.5" spans="2:17">
      <c r="B349" s="569"/>
      <c r="C349" s="569"/>
      <c r="D349" s="569"/>
      <c r="E349" s="569"/>
      <c r="F349" s="569"/>
      <c r="G349" s="569"/>
      <c r="H349" s="569"/>
      <c r="I349" s="570"/>
      <c r="J349" s="570"/>
      <c r="K349" s="570"/>
      <c r="L349" s="570"/>
      <c r="M349" s="570"/>
      <c r="N349" s="570"/>
      <c r="O349" s="570"/>
      <c r="P349" s="570"/>
      <c r="Q349" s="570"/>
    </row>
    <row r="350" ht="16.5" spans="2:17">
      <c r="B350" s="569"/>
      <c r="C350" s="569"/>
      <c r="D350" s="569"/>
      <c r="E350" s="569"/>
      <c r="F350" s="569"/>
      <c r="G350" s="569"/>
      <c r="H350" s="569"/>
      <c r="I350" s="570"/>
      <c r="J350" s="570"/>
      <c r="K350" s="570"/>
      <c r="L350" s="570"/>
      <c r="M350" s="570"/>
      <c r="N350" s="570"/>
      <c r="O350" s="570"/>
      <c r="P350" s="570"/>
      <c r="Q350" s="570"/>
    </row>
    <row r="351" ht="16.5" spans="2:17">
      <c r="B351" s="569"/>
      <c r="C351" s="569"/>
      <c r="D351" s="569"/>
      <c r="E351" s="569"/>
      <c r="F351" s="569"/>
      <c r="G351" s="569"/>
      <c r="H351" s="569"/>
      <c r="I351" s="570"/>
      <c r="J351" s="570"/>
      <c r="K351" s="570"/>
      <c r="L351" s="570"/>
      <c r="M351" s="570"/>
      <c r="N351" s="570"/>
      <c r="O351" s="570"/>
      <c r="P351" s="570"/>
      <c r="Q351" s="570"/>
    </row>
    <row r="352" ht="16.5" spans="2:17">
      <c r="B352" s="569"/>
      <c r="C352" s="569"/>
      <c r="D352" s="569"/>
      <c r="E352" s="569"/>
      <c r="F352" s="569"/>
      <c r="G352" s="569"/>
      <c r="H352" s="569"/>
      <c r="I352" s="570"/>
      <c r="J352" s="570"/>
      <c r="K352" s="570"/>
      <c r="L352" s="570"/>
      <c r="M352" s="570"/>
      <c r="N352" s="570"/>
      <c r="O352" s="570"/>
      <c r="P352" s="570"/>
      <c r="Q352" s="570"/>
    </row>
    <row r="353" ht="16.5" spans="2:17">
      <c r="B353" s="569"/>
      <c r="C353" s="569"/>
      <c r="D353" s="569"/>
      <c r="E353" s="569"/>
      <c r="F353" s="569"/>
      <c r="G353" s="569"/>
      <c r="H353" s="569"/>
      <c r="I353" s="570"/>
      <c r="J353" s="570"/>
      <c r="K353" s="570"/>
      <c r="L353" s="570"/>
      <c r="M353" s="570"/>
      <c r="N353" s="570"/>
      <c r="O353" s="570"/>
      <c r="P353" s="570"/>
      <c r="Q353" s="570"/>
    </row>
    <row r="354" ht="16.5" spans="2:17">
      <c r="B354" s="569"/>
      <c r="C354" s="569"/>
      <c r="D354" s="569"/>
      <c r="E354" s="569"/>
      <c r="F354" s="569"/>
      <c r="G354" s="569"/>
      <c r="H354" s="569"/>
      <c r="I354" s="570"/>
      <c r="J354" s="570"/>
      <c r="K354" s="570"/>
      <c r="L354" s="570"/>
      <c r="M354" s="570"/>
      <c r="N354" s="570"/>
      <c r="O354" s="570"/>
      <c r="P354" s="570"/>
      <c r="Q354" s="570"/>
    </row>
    <row r="355" ht="16.5" spans="2:17">
      <c r="B355" s="569"/>
      <c r="C355" s="569"/>
      <c r="D355" s="569"/>
      <c r="E355" s="569"/>
      <c r="F355" s="569"/>
      <c r="G355" s="569"/>
      <c r="H355" s="569"/>
      <c r="I355" s="570"/>
      <c r="J355" s="570"/>
      <c r="K355" s="570"/>
      <c r="L355" s="570"/>
      <c r="M355" s="570"/>
      <c r="N355" s="570"/>
      <c r="O355" s="570"/>
      <c r="P355" s="570"/>
      <c r="Q355" s="570"/>
    </row>
  </sheetData>
  <mergeCells count="240">
    <mergeCell ref="K1:O1"/>
    <mergeCell ref="AA1:AE1"/>
    <mergeCell ref="AA60:AE60"/>
    <mergeCell ref="AA69:AE69"/>
    <mergeCell ref="Q70:Z70"/>
    <mergeCell ref="Q77:Z77"/>
    <mergeCell ref="B84:J84"/>
    <mergeCell ref="B85:J85"/>
    <mergeCell ref="B86:J86"/>
    <mergeCell ref="B87:J87"/>
    <mergeCell ref="B88:J88"/>
    <mergeCell ref="B89:J89"/>
    <mergeCell ref="AC96:AE96"/>
    <mergeCell ref="AD97:AE97"/>
    <mergeCell ref="AD98:AE98"/>
    <mergeCell ref="AD99:AE99"/>
    <mergeCell ref="AD100:AE100"/>
    <mergeCell ref="K106:O106"/>
    <mergeCell ref="K108:O108"/>
    <mergeCell ref="K109:L109"/>
    <mergeCell ref="N109:O109"/>
    <mergeCell ref="X114:AA114"/>
    <mergeCell ref="Q125:U125"/>
    <mergeCell ref="V125:W125"/>
    <mergeCell ref="X125:AE125"/>
    <mergeCell ref="D146:E146"/>
    <mergeCell ref="F146:G146"/>
    <mergeCell ref="I146:J146"/>
    <mergeCell ref="L146:M146"/>
    <mergeCell ref="O146:Q146"/>
    <mergeCell ref="K163:Q163"/>
    <mergeCell ref="J177:L177"/>
    <mergeCell ref="J178:L178"/>
    <mergeCell ref="J179:L179"/>
    <mergeCell ref="I180:L180"/>
    <mergeCell ref="B187:C187"/>
    <mergeCell ref="D187:E187"/>
    <mergeCell ref="F187:G187"/>
    <mergeCell ref="H187:Q187"/>
    <mergeCell ref="N218:Q218"/>
    <mergeCell ref="N221:Q221"/>
    <mergeCell ref="N243:Q243"/>
    <mergeCell ref="N246:Q246"/>
    <mergeCell ref="B147:B154"/>
    <mergeCell ref="B157:B158"/>
    <mergeCell ref="B159:B167"/>
    <mergeCell ref="B170:B171"/>
    <mergeCell ref="B172:B180"/>
    <mergeCell ref="G218:G227"/>
    <mergeCell ref="H13:H15"/>
    <mergeCell ref="I13:I15"/>
    <mergeCell ref="I174:I176"/>
    <mergeCell ref="J2:J12"/>
    <mergeCell ref="J13:J26"/>
    <mergeCell ref="J27:J41"/>
    <mergeCell ref="J42:J58"/>
    <mergeCell ref="J59:J67"/>
    <mergeCell ref="J68:J75"/>
    <mergeCell ref="J76:J82"/>
    <mergeCell ref="K68:K75"/>
    <mergeCell ref="U109:U112"/>
    <mergeCell ref="V109:V112"/>
    <mergeCell ref="X115:X116"/>
    <mergeCell ref="X117:X118"/>
    <mergeCell ref="X119:X120"/>
    <mergeCell ref="Y115:Y116"/>
    <mergeCell ref="Y117:Y118"/>
    <mergeCell ref="Y119:Y120"/>
    <mergeCell ref="Z2:Z10"/>
    <mergeCell ref="Z11:Z13"/>
    <mergeCell ref="Z14:Z16"/>
    <mergeCell ref="Z17:Z23"/>
    <mergeCell ref="Z24:Z36"/>
    <mergeCell ref="Z37:Z48"/>
    <mergeCell ref="Z49:Z57"/>
    <mergeCell ref="Z58:Z64"/>
    <mergeCell ref="AA2:AA23"/>
    <mergeCell ref="AB106:AB107"/>
    <mergeCell ref="AB108:AB109"/>
    <mergeCell ref="AB110:AB112"/>
    <mergeCell ref="K103:L105"/>
    <mergeCell ref="H210:Q211"/>
    <mergeCell ref="F159:G167"/>
    <mergeCell ref="H159:I167"/>
    <mergeCell ref="H198:Q199"/>
    <mergeCell ref="F157:G158"/>
    <mergeCell ref="H157:I158"/>
    <mergeCell ref="AC110:AE112"/>
    <mergeCell ref="B204:C205"/>
    <mergeCell ref="D204:E205"/>
    <mergeCell ref="F204:G205"/>
    <mergeCell ref="X106:AA109"/>
    <mergeCell ref="B206:C207"/>
    <mergeCell ref="D206:E207"/>
    <mergeCell ref="F206:G207"/>
    <mergeCell ref="N222:Q223"/>
    <mergeCell ref="H206:Q207"/>
    <mergeCell ref="B194:C195"/>
    <mergeCell ref="D194:E195"/>
    <mergeCell ref="F194:G195"/>
    <mergeCell ref="Q135:U137"/>
    <mergeCell ref="B210:C211"/>
    <mergeCell ref="D210:E211"/>
    <mergeCell ref="F210:G211"/>
    <mergeCell ref="S109:T112"/>
    <mergeCell ref="K116:L117"/>
    <mergeCell ref="H200:Q201"/>
    <mergeCell ref="H202:Q203"/>
    <mergeCell ref="D147:E154"/>
    <mergeCell ref="F147:G154"/>
    <mergeCell ref="L147:M154"/>
    <mergeCell ref="AC106:AE107"/>
    <mergeCell ref="B200:C201"/>
    <mergeCell ref="D200:E201"/>
    <mergeCell ref="F200:G201"/>
    <mergeCell ref="K159:N160"/>
    <mergeCell ref="F172:G180"/>
    <mergeCell ref="K112:L113"/>
    <mergeCell ref="N112:O113"/>
    <mergeCell ref="V138:W140"/>
    <mergeCell ref="B208:C209"/>
    <mergeCell ref="D208:E209"/>
    <mergeCell ref="F208:G209"/>
    <mergeCell ref="AB113:AE114"/>
    <mergeCell ref="Q74:Z76"/>
    <mergeCell ref="Q126:U128"/>
    <mergeCell ref="V135:W137"/>
    <mergeCell ref="Q138:U140"/>
    <mergeCell ref="N247:Q248"/>
    <mergeCell ref="V129:W131"/>
    <mergeCell ref="B202:C203"/>
    <mergeCell ref="D202:E203"/>
    <mergeCell ref="F202:G203"/>
    <mergeCell ref="K157:Q158"/>
    <mergeCell ref="Q86:Z87"/>
    <mergeCell ref="N98:O101"/>
    <mergeCell ref="J234:Q239"/>
    <mergeCell ref="B192:C193"/>
    <mergeCell ref="D192:E193"/>
    <mergeCell ref="F192:G193"/>
    <mergeCell ref="Z119:AC120"/>
    <mergeCell ref="K110:L111"/>
    <mergeCell ref="N116:O117"/>
    <mergeCell ref="B198:C199"/>
    <mergeCell ref="D198:E199"/>
    <mergeCell ref="F198:G199"/>
    <mergeCell ref="J249:Q254"/>
    <mergeCell ref="N114:O115"/>
    <mergeCell ref="J232:Q233"/>
    <mergeCell ref="I147:J154"/>
    <mergeCell ref="K30:O32"/>
    <mergeCell ref="K2:O12"/>
    <mergeCell ref="B190:C191"/>
    <mergeCell ref="D190:E191"/>
    <mergeCell ref="F190:G191"/>
    <mergeCell ref="Q113:V115"/>
    <mergeCell ref="J174:L176"/>
    <mergeCell ref="X129:AE131"/>
    <mergeCell ref="N102:O105"/>
    <mergeCell ref="Q90:AE92"/>
    <mergeCell ref="X110:AA113"/>
    <mergeCell ref="Q94:V95"/>
    <mergeCell ref="Z115:AC116"/>
    <mergeCell ref="F170:G171"/>
    <mergeCell ref="H204:Q205"/>
    <mergeCell ref="C172:D180"/>
    <mergeCell ref="J241:Q242"/>
    <mergeCell ref="J243:M248"/>
    <mergeCell ref="C170:D171"/>
    <mergeCell ref="AA42:AE45"/>
    <mergeCell ref="O159:Q160"/>
    <mergeCell ref="O147:Q154"/>
    <mergeCell ref="K161:Q162"/>
    <mergeCell ref="H192:Q193"/>
    <mergeCell ref="I181:Q183"/>
    <mergeCell ref="B196:C197"/>
    <mergeCell ref="D196:E197"/>
    <mergeCell ref="F196:G197"/>
    <mergeCell ref="O164:Q167"/>
    <mergeCell ref="B185:Q186"/>
    <mergeCell ref="I172:L173"/>
    <mergeCell ref="Q132:U134"/>
    <mergeCell ref="Q106:R112"/>
    <mergeCell ref="Q102:V103"/>
    <mergeCell ref="X96:AB100"/>
    <mergeCell ref="Q122:AE124"/>
    <mergeCell ref="AA39:AE41"/>
    <mergeCell ref="K98:L102"/>
    <mergeCell ref="X132:AE134"/>
    <mergeCell ref="Q84:Z85"/>
    <mergeCell ref="AD115:AE120"/>
    <mergeCell ref="S106:V108"/>
    <mergeCell ref="B212:Q214"/>
    <mergeCell ref="V132:W134"/>
    <mergeCell ref="Q78:Z80"/>
    <mergeCell ref="Z117:AC118"/>
    <mergeCell ref="X101:AE102"/>
    <mergeCell ref="Q71:Z73"/>
    <mergeCell ref="I170:Q171"/>
    <mergeCell ref="Q104:V105"/>
    <mergeCell ref="K27:O29"/>
    <mergeCell ref="Q129:U131"/>
    <mergeCell ref="N244:Q245"/>
    <mergeCell ref="J218:M223"/>
    <mergeCell ref="J216:Q217"/>
    <mergeCell ref="AC108:AE109"/>
    <mergeCell ref="C159:D160"/>
    <mergeCell ref="H188:Q189"/>
    <mergeCell ref="B218:F222"/>
    <mergeCell ref="Q96:V100"/>
    <mergeCell ref="K13:O16"/>
    <mergeCell ref="K17:O26"/>
    <mergeCell ref="K114:L115"/>
    <mergeCell ref="L68:O71"/>
    <mergeCell ref="L72:O75"/>
    <mergeCell ref="L36:O45"/>
    <mergeCell ref="AB21:AE23"/>
    <mergeCell ref="X94:AE95"/>
    <mergeCell ref="V126:W128"/>
    <mergeCell ref="M172:Q180"/>
    <mergeCell ref="H194:Q195"/>
    <mergeCell ref="Q81:Z83"/>
    <mergeCell ref="N219:Q220"/>
    <mergeCell ref="H208:Q209"/>
    <mergeCell ref="X135:AE137"/>
    <mergeCell ref="B188:C189"/>
    <mergeCell ref="D188:E189"/>
    <mergeCell ref="F188:G189"/>
    <mergeCell ref="H190:Q191"/>
    <mergeCell ref="X138:AE140"/>
    <mergeCell ref="X126:AE128"/>
    <mergeCell ref="H196:Q197"/>
    <mergeCell ref="N110:O111"/>
    <mergeCell ref="B223:F227"/>
    <mergeCell ref="J224:Q228"/>
    <mergeCell ref="B216:G217"/>
    <mergeCell ref="C157:D158"/>
    <mergeCell ref="K164:N167"/>
    <mergeCell ref="J230:Q231"/>
    <mergeCell ref="X104:AE105"/>
  </mergeCells>
  <pageMargins left="0.75" right="0.75" top="1" bottom="1" header="0.509027777777778" footer="0.509027777777778"/>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6"/>
  <sheetViews>
    <sheetView zoomScale="79" zoomScaleNormal="79" workbookViewId="0">
      <selection activeCell="E48" sqref="E48"/>
    </sheetView>
  </sheetViews>
  <sheetFormatPr defaultColWidth="10" defaultRowHeight="14"/>
  <cols>
    <col min="1" max="1" width="28.9090909090909" customWidth="1"/>
    <col min="2" max="2" width="26.3636363636364" style="46" customWidth="1"/>
    <col min="3" max="3" width="34.2727272727273" customWidth="1"/>
    <col min="4" max="8" width="51.8181818181818" customWidth="1"/>
  </cols>
  <sheetData>
    <row r="1" ht="17.5" spans="1:10">
      <c r="A1" s="47" t="s">
        <v>4118</v>
      </c>
      <c r="B1" s="48" t="s">
        <v>4119</v>
      </c>
      <c r="C1" s="47" t="s">
        <v>4120</v>
      </c>
      <c r="D1" s="47" t="s">
        <v>4121</v>
      </c>
      <c r="E1" s="47" t="s">
        <v>319</v>
      </c>
      <c r="F1" s="47" t="s">
        <v>320</v>
      </c>
      <c r="G1" s="47" t="s">
        <v>4122</v>
      </c>
      <c r="H1" s="47" t="s">
        <v>460</v>
      </c>
      <c r="I1" s="53"/>
      <c r="J1" s="53"/>
    </row>
    <row r="2" ht="17.5" spans="1:10">
      <c r="A2" s="49" t="s">
        <v>4123</v>
      </c>
      <c r="B2" s="50" t="s">
        <v>4124</v>
      </c>
      <c r="C2" s="51" t="s">
        <v>4125</v>
      </c>
      <c r="D2" s="52" t="s">
        <v>4126</v>
      </c>
      <c r="E2" s="52" t="s">
        <v>4127</v>
      </c>
      <c r="F2" s="52" t="s">
        <v>4128</v>
      </c>
      <c r="G2" s="49" t="s">
        <v>4129</v>
      </c>
      <c r="H2" s="52" t="s">
        <v>4130</v>
      </c>
      <c r="I2" s="53"/>
      <c r="J2" s="53"/>
    </row>
    <row r="3" ht="17.5" spans="1:10">
      <c r="A3" s="49" t="s">
        <v>4131</v>
      </c>
      <c r="B3" s="50" t="s">
        <v>383</v>
      </c>
      <c r="C3" s="52" t="s">
        <v>4132</v>
      </c>
      <c r="D3" s="52" t="s">
        <v>4133</v>
      </c>
      <c r="E3" s="52" t="s">
        <v>4134</v>
      </c>
      <c r="F3" s="49" t="s">
        <v>4135</v>
      </c>
      <c r="G3" s="49" t="s">
        <v>4136</v>
      </c>
      <c r="H3" s="52" t="s">
        <v>4137</v>
      </c>
      <c r="I3" s="53"/>
      <c r="J3" s="53"/>
    </row>
    <row r="4" ht="17.5" spans="1:10">
      <c r="A4" s="49" t="s">
        <v>4138</v>
      </c>
      <c r="B4" s="50" t="s">
        <v>4139</v>
      </c>
      <c r="C4" s="52" t="s">
        <v>4140</v>
      </c>
      <c r="D4" s="52" t="s">
        <v>4141</v>
      </c>
      <c r="E4" s="52" t="s">
        <v>4142</v>
      </c>
      <c r="F4" s="52" t="s">
        <v>4143</v>
      </c>
      <c r="G4" s="49" t="s">
        <v>4129</v>
      </c>
      <c r="H4" s="52" t="s">
        <v>4144</v>
      </c>
      <c r="I4" s="53"/>
      <c r="J4" s="53"/>
    </row>
    <row r="5" ht="17.5" spans="1:10">
      <c r="A5" s="49" t="s">
        <v>4145</v>
      </c>
      <c r="B5" s="50" t="s">
        <v>4146</v>
      </c>
      <c r="C5" s="52" t="s">
        <v>4147</v>
      </c>
      <c r="D5" s="52" t="s">
        <v>4148</v>
      </c>
      <c r="E5" s="52" t="s">
        <v>4149</v>
      </c>
      <c r="F5" s="49" t="s">
        <v>4150</v>
      </c>
      <c r="G5" s="49" t="s">
        <v>4151</v>
      </c>
      <c r="H5" s="52" t="s">
        <v>4152</v>
      </c>
      <c r="I5" s="53"/>
      <c r="J5" s="53"/>
    </row>
    <row r="6" ht="17.5" spans="1:10">
      <c r="A6" s="49" t="s">
        <v>4153</v>
      </c>
      <c r="B6" s="50" t="s">
        <v>4154</v>
      </c>
      <c r="C6" s="51" t="s">
        <v>4155</v>
      </c>
      <c r="D6" s="52" t="s">
        <v>4156</v>
      </c>
      <c r="E6" s="52" t="s">
        <v>4149</v>
      </c>
      <c r="F6" s="49" t="s">
        <v>4150</v>
      </c>
      <c r="G6" s="49" t="s">
        <v>4151</v>
      </c>
      <c r="H6" s="52" t="s">
        <v>4152</v>
      </c>
      <c r="I6" s="53"/>
      <c r="J6" s="53"/>
    </row>
    <row r="7" ht="17.5" spans="1:10">
      <c r="A7" s="49" t="s">
        <v>4157</v>
      </c>
      <c r="B7" s="50" t="s">
        <v>4158</v>
      </c>
      <c r="C7" s="51" t="s">
        <v>4159</v>
      </c>
      <c r="D7" s="52" t="s">
        <v>4160</v>
      </c>
      <c r="E7" s="52" t="s">
        <v>4161</v>
      </c>
      <c r="F7" s="49" t="s">
        <v>4162</v>
      </c>
      <c r="G7" s="49" t="s">
        <v>4163</v>
      </c>
      <c r="H7" s="52" t="s">
        <v>4164</v>
      </c>
      <c r="I7" s="53"/>
      <c r="J7" s="53"/>
    </row>
    <row r="8" ht="17.5" spans="1:10">
      <c r="A8" s="49" t="s">
        <v>4165</v>
      </c>
      <c r="B8" s="50" t="s">
        <v>4166</v>
      </c>
      <c r="C8" s="52" t="s">
        <v>4167</v>
      </c>
      <c r="D8" s="52" t="s">
        <v>4168</v>
      </c>
      <c r="E8" s="52" t="s">
        <v>4169</v>
      </c>
      <c r="F8" s="49" t="s">
        <v>4170</v>
      </c>
      <c r="G8" s="49" t="s">
        <v>4171</v>
      </c>
      <c r="H8" s="52" t="s">
        <v>4172</v>
      </c>
      <c r="I8" s="53"/>
      <c r="J8" s="53"/>
    </row>
    <row r="9" ht="17.5" spans="1:10">
      <c r="A9" s="49" t="s">
        <v>4173</v>
      </c>
      <c r="B9" s="50" t="s">
        <v>4174</v>
      </c>
      <c r="C9" s="51" t="s">
        <v>4175</v>
      </c>
      <c r="D9" s="52" t="s">
        <v>4176</v>
      </c>
      <c r="E9" s="52" t="s">
        <v>4177</v>
      </c>
      <c r="F9" s="52" t="s">
        <v>4178</v>
      </c>
      <c r="G9" s="52" t="s">
        <v>4179</v>
      </c>
      <c r="H9" s="52" t="s">
        <v>4180</v>
      </c>
      <c r="I9" s="53"/>
      <c r="J9" s="53"/>
    </row>
    <row r="10" ht="17.5" spans="1:10">
      <c r="A10" s="49" t="s">
        <v>4181</v>
      </c>
      <c r="B10" s="50" t="s">
        <v>4182</v>
      </c>
      <c r="C10" s="51" t="s">
        <v>4183</v>
      </c>
      <c r="D10" s="52" t="s">
        <v>4184</v>
      </c>
      <c r="E10" s="52" t="s">
        <v>4185</v>
      </c>
      <c r="F10" s="49" t="s">
        <v>4186</v>
      </c>
      <c r="G10" s="52" t="s">
        <v>4187</v>
      </c>
      <c r="H10" s="52" t="s">
        <v>4188</v>
      </c>
      <c r="I10" s="53"/>
      <c r="J10" s="53"/>
    </row>
    <row r="11" ht="17.5" spans="1:10">
      <c r="A11" s="49" t="s">
        <v>4189</v>
      </c>
      <c r="B11" s="50" t="s">
        <v>4190</v>
      </c>
      <c r="C11" s="52" t="s">
        <v>4191</v>
      </c>
      <c r="D11" s="52" t="s">
        <v>4192</v>
      </c>
      <c r="E11" s="52" t="s">
        <v>4193</v>
      </c>
      <c r="F11" s="52" t="s">
        <v>4194</v>
      </c>
      <c r="G11" s="49" t="s">
        <v>4195</v>
      </c>
      <c r="H11" s="52" t="s">
        <v>4196</v>
      </c>
      <c r="I11" s="53"/>
      <c r="J11" s="53"/>
    </row>
    <row r="12" ht="17.5" spans="1:10">
      <c r="A12" s="49" t="s">
        <v>4197</v>
      </c>
      <c r="B12" s="50" t="s">
        <v>4198</v>
      </c>
      <c r="C12" s="52" t="s">
        <v>4199</v>
      </c>
      <c r="D12" s="52" t="s">
        <v>4200</v>
      </c>
      <c r="E12" s="52" t="s">
        <v>4201</v>
      </c>
      <c r="F12" s="49" t="s">
        <v>4202</v>
      </c>
      <c r="G12" s="49" t="s">
        <v>4151</v>
      </c>
      <c r="H12" s="52" t="s">
        <v>4203</v>
      </c>
      <c r="I12" s="53"/>
      <c r="J12" s="53"/>
    </row>
    <row r="13" ht="17.5" spans="1:10">
      <c r="A13" s="49" t="s">
        <v>4204</v>
      </c>
      <c r="B13" s="50" t="s">
        <v>4205</v>
      </c>
      <c r="C13" s="52" t="s">
        <v>4206</v>
      </c>
      <c r="D13" s="52" t="s">
        <v>4207</v>
      </c>
      <c r="E13" s="52" t="s">
        <v>4208</v>
      </c>
      <c r="F13" s="52" t="s">
        <v>4209</v>
      </c>
      <c r="G13" s="52" t="s">
        <v>4210</v>
      </c>
      <c r="H13" s="52" t="s">
        <v>4211</v>
      </c>
      <c r="I13" s="53"/>
      <c r="J13" s="53"/>
    </row>
    <row r="14" ht="17.5" spans="1:10">
      <c r="A14" s="49" t="s">
        <v>4212</v>
      </c>
      <c r="B14" s="50" t="s">
        <v>4213</v>
      </c>
      <c r="C14" s="51" t="s">
        <v>4214</v>
      </c>
      <c r="D14" s="52" t="s">
        <v>4215</v>
      </c>
      <c r="E14" s="52" t="s">
        <v>4216</v>
      </c>
      <c r="F14" s="49" t="s">
        <v>4217</v>
      </c>
      <c r="G14" s="49" t="s">
        <v>4218</v>
      </c>
      <c r="H14" s="52" t="s">
        <v>4219</v>
      </c>
      <c r="I14" s="53"/>
      <c r="J14" s="53"/>
    </row>
    <row r="15" ht="17.5" spans="1:10">
      <c r="A15" s="49" t="s">
        <v>4220</v>
      </c>
      <c r="B15" s="50" t="s">
        <v>4221</v>
      </c>
      <c r="C15" s="52" t="s">
        <v>4222</v>
      </c>
      <c r="D15" s="52" t="s">
        <v>4223</v>
      </c>
      <c r="E15" s="52" t="s">
        <v>4224</v>
      </c>
      <c r="F15" s="49" t="s">
        <v>4225</v>
      </c>
      <c r="G15" s="49" t="s">
        <v>4226</v>
      </c>
      <c r="H15" s="52" t="s">
        <v>4227</v>
      </c>
      <c r="I15" s="53"/>
      <c r="J15" s="53"/>
    </row>
    <row r="16" ht="17.5" spans="1:10">
      <c r="A16" s="49" t="s">
        <v>4228</v>
      </c>
      <c r="B16" s="50" t="s">
        <v>4229</v>
      </c>
      <c r="C16" s="51" t="s">
        <v>4230</v>
      </c>
      <c r="D16" s="52" t="s">
        <v>4231</v>
      </c>
      <c r="E16" s="52" t="s">
        <v>4221</v>
      </c>
      <c r="F16" s="52" t="s">
        <v>4232</v>
      </c>
      <c r="G16" s="53" t="s">
        <v>608</v>
      </c>
      <c r="H16" s="53" t="s">
        <v>4233</v>
      </c>
      <c r="I16" s="53"/>
      <c r="J16" s="53"/>
    </row>
    <row r="17" ht="17.5" spans="1:10">
      <c r="A17" s="49" t="s">
        <v>4234</v>
      </c>
      <c r="B17" s="50" t="s">
        <v>4235</v>
      </c>
      <c r="C17" s="52" t="s">
        <v>4236</v>
      </c>
      <c r="D17" s="52" t="s">
        <v>4237</v>
      </c>
      <c r="E17" s="52" t="s">
        <v>4238</v>
      </c>
      <c r="F17" s="49" t="s">
        <v>4239</v>
      </c>
      <c r="G17" s="49" t="s">
        <v>4163</v>
      </c>
      <c r="H17" s="52" t="s">
        <v>4240</v>
      </c>
      <c r="I17" s="53"/>
      <c r="J17" s="53"/>
    </row>
    <row r="18" ht="17.5" spans="1:10">
      <c r="A18" s="49" t="s">
        <v>4241</v>
      </c>
      <c r="B18" s="50" t="s">
        <v>4242</v>
      </c>
      <c r="C18" s="51" t="s">
        <v>4243</v>
      </c>
      <c r="D18" s="52" t="s">
        <v>4244</v>
      </c>
      <c r="E18" s="52" t="s">
        <v>4245</v>
      </c>
      <c r="F18" s="49" t="s">
        <v>4246</v>
      </c>
      <c r="G18" s="49" t="s">
        <v>4195</v>
      </c>
      <c r="H18" s="52" t="s">
        <v>4247</v>
      </c>
      <c r="I18" s="53"/>
      <c r="J18" s="53"/>
    </row>
    <row r="19" ht="17.5" spans="1:10">
      <c r="A19" s="49" t="s">
        <v>4248</v>
      </c>
      <c r="B19" s="50" t="s">
        <v>4249</v>
      </c>
      <c r="C19" s="52" t="s">
        <v>4250</v>
      </c>
      <c r="D19" s="52" t="s">
        <v>4251</v>
      </c>
      <c r="E19" s="52" t="s">
        <v>4252</v>
      </c>
      <c r="F19" s="49" t="s">
        <v>4253</v>
      </c>
      <c r="G19" s="49" t="s">
        <v>4254</v>
      </c>
      <c r="H19" s="52" t="s">
        <v>4255</v>
      </c>
      <c r="I19" s="53"/>
      <c r="J19" s="53"/>
    </row>
    <row r="20" ht="17.5" spans="1:10">
      <c r="A20" s="49" t="s">
        <v>4256</v>
      </c>
      <c r="B20" s="50" t="s">
        <v>4257</v>
      </c>
      <c r="C20" s="52" t="s">
        <v>4258</v>
      </c>
      <c r="D20" s="52" t="s">
        <v>4259</v>
      </c>
      <c r="E20" s="52" t="s">
        <v>4260</v>
      </c>
      <c r="F20" s="49" t="s">
        <v>4261</v>
      </c>
      <c r="G20" s="49" t="s">
        <v>4195</v>
      </c>
      <c r="H20" s="52" t="s">
        <v>4262</v>
      </c>
      <c r="I20" s="53"/>
      <c r="J20" s="53"/>
    </row>
    <row r="21" ht="17.5" spans="1:10">
      <c r="A21" s="49" t="s">
        <v>4263</v>
      </c>
      <c r="B21" s="50" t="s">
        <v>4264</v>
      </c>
      <c r="C21" s="52" t="s">
        <v>4265</v>
      </c>
      <c r="D21" s="52" t="s">
        <v>4266</v>
      </c>
      <c r="E21" s="52" t="s">
        <v>4267</v>
      </c>
      <c r="F21" s="49" t="s">
        <v>4268</v>
      </c>
      <c r="G21" s="52" t="s">
        <v>4210</v>
      </c>
      <c r="H21" s="52" t="s">
        <v>4269</v>
      </c>
      <c r="I21" s="53"/>
      <c r="J21" s="53"/>
    </row>
    <row r="22" ht="17.5" spans="1:10">
      <c r="A22" s="49" t="s">
        <v>4270</v>
      </c>
      <c r="B22" s="50" t="s">
        <v>4271</v>
      </c>
      <c r="C22" s="52" t="s">
        <v>4272</v>
      </c>
      <c r="D22" s="52" t="s">
        <v>4273</v>
      </c>
      <c r="E22" s="52" t="s">
        <v>4274</v>
      </c>
      <c r="F22" s="49" t="s">
        <v>4268</v>
      </c>
      <c r="G22" s="52" t="s">
        <v>4210</v>
      </c>
      <c r="H22" s="52" t="s">
        <v>4275</v>
      </c>
      <c r="I22" s="53"/>
      <c r="J22" s="53"/>
    </row>
    <row r="23" ht="17.5" spans="1:10">
      <c r="A23" s="49" t="s">
        <v>4276</v>
      </c>
      <c r="B23" s="50" t="s">
        <v>4277</v>
      </c>
      <c r="C23" s="51" t="s">
        <v>4278</v>
      </c>
      <c r="D23" s="52" t="s">
        <v>4279</v>
      </c>
      <c r="E23" s="52" t="s">
        <v>4280</v>
      </c>
      <c r="F23" s="49" t="s">
        <v>4281</v>
      </c>
      <c r="G23" s="49" t="s">
        <v>4282</v>
      </c>
      <c r="H23" s="52" t="s">
        <v>4283</v>
      </c>
      <c r="I23" s="53"/>
      <c r="J23" s="53"/>
    </row>
    <row r="24" ht="17.5" spans="1:10">
      <c r="A24" s="49" t="s">
        <v>4284</v>
      </c>
      <c r="B24" s="50" t="s">
        <v>4285</v>
      </c>
      <c r="C24" s="52" t="s">
        <v>4286</v>
      </c>
      <c r="D24" s="52" t="s">
        <v>4287</v>
      </c>
      <c r="E24" s="52" t="s">
        <v>4288</v>
      </c>
      <c r="F24" s="52" t="s">
        <v>4289</v>
      </c>
      <c r="G24" s="49" t="s">
        <v>4290</v>
      </c>
      <c r="H24" s="52" t="s">
        <v>4291</v>
      </c>
      <c r="I24" s="53" t="s">
        <v>207</v>
      </c>
      <c r="J24" s="53"/>
    </row>
    <row r="25" ht="17.5" spans="1:10">
      <c r="A25" s="49" t="s">
        <v>4292</v>
      </c>
      <c r="B25" s="50" t="s">
        <v>4293</v>
      </c>
      <c r="C25" s="52" t="s">
        <v>4294</v>
      </c>
      <c r="D25" s="52" t="s">
        <v>4295</v>
      </c>
      <c r="E25" s="52" t="s">
        <v>4296</v>
      </c>
      <c r="F25" s="52" t="s">
        <v>4297</v>
      </c>
      <c r="G25" s="49" t="s">
        <v>4290</v>
      </c>
      <c r="H25" s="52" t="s">
        <v>4298</v>
      </c>
      <c r="I25" s="53" t="s">
        <v>4299</v>
      </c>
      <c r="J25" s="53"/>
    </row>
    <row r="26" ht="17.5" spans="1:10">
      <c r="A26" s="49" t="s">
        <v>4300</v>
      </c>
      <c r="B26" s="50" t="s">
        <v>4301</v>
      </c>
      <c r="C26" s="52" t="s">
        <v>4302</v>
      </c>
      <c r="D26" s="52" t="s">
        <v>4303</v>
      </c>
      <c r="E26" s="52" t="s">
        <v>4304</v>
      </c>
      <c r="F26" s="49" t="s">
        <v>4305</v>
      </c>
      <c r="G26" s="52" t="s">
        <v>4306</v>
      </c>
      <c r="H26" s="52" t="s">
        <v>4307</v>
      </c>
      <c r="I26" s="53"/>
      <c r="J26" s="53"/>
    </row>
    <row r="27" ht="17.5" spans="1:10">
      <c r="A27" s="49" t="s">
        <v>4308</v>
      </c>
      <c r="B27" s="50" t="s">
        <v>4309</v>
      </c>
      <c r="C27" s="52" t="s">
        <v>4310</v>
      </c>
      <c r="D27" s="52" t="s">
        <v>4311</v>
      </c>
      <c r="E27" s="52" t="s">
        <v>4312</v>
      </c>
      <c r="F27" s="52" t="s">
        <v>4313</v>
      </c>
      <c r="G27" s="52" t="s">
        <v>608</v>
      </c>
      <c r="H27" s="53" t="s">
        <v>4314</v>
      </c>
      <c r="I27" s="53"/>
      <c r="J27" s="53"/>
    </row>
    <row r="28" ht="17.5" spans="1:10">
      <c r="A28" s="49" t="s">
        <v>4315</v>
      </c>
      <c r="B28" s="50" t="s">
        <v>4316</v>
      </c>
      <c r="C28" s="52" t="s">
        <v>4317</v>
      </c>
      <c r="D28" s="52" t="s">
        <v>4318</v>
      </c>
      <c r="E28" s="52" t="s">
        <v>4319</v>
      </c>
      <c r="F28" s="52" t="s">
        <v>4320</v>
      </c>
      <c r="G28" s="49" t="s">
        <v>4321</v>
      </c>
      <c r="H28" s="52" t="s">
        <v>4322</v>
      </c>
      <c r="I28" s="53"/>
      <c r="J28" s="53"/>
    </row>
    <row r="29" ht="17.5" spans="1:10">
      <c r="A29" s="49" t="s">
        <v>4323</v>
      </c>
      <c r="B29" s="50" t="s">
        <v>4324</v>
      </c>
      <c r="C29" s="52" t="s">
        <v>4325</v>
      </c>
      <c r="D29" s="52" t="s">
        <v>4326</v>
      </c>
      <c r="E29" s="52" t="s">
        <v>4327</v>
      </c>
      <c r="F29" s="49" t="s">
        <v>4328</v>
      </c>
      <c r="G29" s="52" t="s">
        <v>4210</v>
      </c>
      <c r="H29" s="52" t="s">
        <v>4329</v>
      </c>
      <c r="I29" s="53"/>
      <c r="J29" s="53"/>
    </row>
    <row r="30" ht="17.5" spans="1:10">
      <c r="A30" s="49" t="s">
        <v>4330</v>
      </c>
      <c r="B30" s="50" t="s">
        <v>4331</v>
      </c>
      <c r="C30" s="52" t="s">
        <v>4332</v>
      </c>
      <c r="D30" s="52" t="s">
        <v>4333</v>
      </c>
      <c r="E30" s="52" t="s">
        <v>4334</v>
      </c>
      <c r="F30" s="49" t="s">
        <v>4335</v>
      </c>
      <c r="G30" s="49" t="s">
        <v>4163</v>
      </c>
      <c r="H30" s="52" t="s">
        <v>4336</v>
      </c>
      <c r="I30" s="53"/>
      <c r="J30" s="53"/>
    </row>
    <row r="31" ht="17.5" spans="1:10">
      <c r="A31" s="49" t="s">
        <v>4337</v>
      </c>
      <c r="B31" s="50" t="s">
        <v>4338</v>
      </c>
      <c r="C31" s="52" t="s">
        <v>4339</v>
      </c>
      <c r="D31" s="52" t="s">
        <v>4340</v>
      </c>
      <c r="E31" s="52" t="s">
        <v>4341</v>
      </c>
      <c r="F31" s="49" t="s">
        <v>4342</v>
      </c>
      <c r="G31" s="49" t="s">
        <v>4163</v>
      </c>
      <c r="H31" s="52" t="s">
        <v>4343</v>
      </c>
      <c r="I31" s="53"/>
      <c r="J31" s="53"/>
    </row>
    <row r="32" ht="17.5" spans="1:10">
      <c r="A32" s="49" t="s">
        <v>4344</v>
      </c>
      <c r="B32" s="50" t="s">
        <v>4345</v>
      </c>
      <c r="C32" s="52" t="s">
        <v>4346</v>
      </c>
      <c r="D32" s="52" t="s">
        <v>4347</v>
      </c>
      <c r="E32" s="52" t="s">
        <v>4348</v>
      </c>
      <c r="F32" s="49" t="s">
        <v>4349</v>
      </c>
      <c r="G32" s="49" t="s">
        <v>4350</v>
      </c>
      <c r="H32" s="52" t="s">
        <v>4351</v>
      </c>
      <c r="I32" s="53"/>
      <c r="J32" s="53"/>
    </row>
    <row r="33" ht="17.5" spans="1:10">
      <c r="A33" s="49" t="s">
        <v>4352</v>
      </c>
      <c r="B33" s="50" t="s">
        <v>4353</v>
      </c>
      <c r="C33" s="51" t="s">
        <v>4354</v>
      </c>
      <c r="D33" s="52" t="s">
        <v>4355</v>
      </c>
      <c r="E33" s="52" t="s">
        <v>4356</v>
      </c>
      <c r="F33" s="49" t="s">
        <v>4357</v>
      </c>
      <c r="G33" s="49" t="s">
        <v>4358</v>
      </c>
      <c r="H33" s="52" t="s">
        <v>4359</v>
      </c>
      <c r="I33" s="53"/>
      <c r="J33" s="53"/>
    </row>
    <row r="34" ht="17.5" spans="1:10">
      <c r="A34" s="49" t="s">
        <v>4360</v>
      </c>
      <c r="B34" s="50" t="s">
        <v>4361</v>
      </c>
      <c r="C34" s="52" t="s">
        <v>4362</v>
      </c>
      <c r="D34" s="52" t="s">
        <v>4363</v>
      </c>
      <c r="E34" s="52" t="s">
        <v>4364</v>
      </c>
      <c r="F34" s="49" t="s">
        <v>4365</v>
      </c>
      <c r="G34" s="52" t="s">
        <v>4210</v>
      </c>
      <c r="H34" s="52" t="s">
        <v>4366</v>
      </c>
      <c r="I34" s="53"/>
      <c r="J34" s="53"/>
    </row>
    <row r="35" ht="17.5" spans="1:10">
      <c r="A35" s="49" t="s">
        <v>4367</v>
      </c>
      <c r="B35" s="50" t="s">
        <v>4368</v>
      </c>
      <c r="C35" s="52" t="s">
        <v>4369</v>
      </c>
      <c r="D35" s="52" t="s">
        <v>4370</v>
      </c>
      <c r="E35" s="52" t="s">
        <v>4371</v>
      </c>
      <c r="F35" s="52" t="s">
        <v>4372</v>
      </c>
      <c r="G35" s="52" t="s">
        <v>4210</v>
      </c>
      <c r="H35" s="52" t="s">
        <v>4373</v>
      </c>
      <c r="I35" s="53" t="s">
        <v>4374</v>
      </c>
      <c r="J35" s="53"/>
    </row>
    <row r="36" ht="17.5" spans="1:10">
      <c r="A36" s="49" t="s">
        <v>4375</v>
      </c>
      <c r="B36" s="50" t="s">
        <v>4376</v>
      </c>
      <c r="C36" s="51" t="s">
        <v>4377</v>
      </c>
      <c r="D36" s="52" t="s">
        <v>4378</v>
      </c>
      <c r="E36" s="52" t="s">
        <v>4379</v>
      </c>
      <c r="F36" s="49" t="s">
        <v>4380</v>
      </c>
      <c r="G36" s="49" t="s">
        <v>4163</v>
      </c>
      <c r="H36" s="52" t="s">
        <v>4381</v>
      </c>
      <c r="I36" s="53"/>
      <c r="J36" s="53"/>
    </row>
    <row r="37" ht="17.5" spans="1:10">
      <c r="A37" s="49" t="s">
        <v>4382</v>
      </c>
      <c r="B37" s="50" t="s">
        <v>4383</v>
      </c>
      <c r="C37" s="51" t="s">
        <v>4384</v>
      </c>
      <c r="D37" s="52" t="s">
        <v>4385</v>
      </c>
      <c r="E37" s="52" t="s">
        <v>4386</v>
      </c>
      <c r="F37" s="49" t="s">
        <v>4387</v>
      </c>
      <c r="G37" s="49" t="s">
        <v>4195</v>
      </c>
      <c r="H37" s="52" t="s">
        <v>4388</v>
      </c>
      <c r="I37" s="53"/>
      <c r="J37" s="53"/>
    </row>
    <row r="38" ht="17.5" spans="1:10">
      <c r="A38" s="49" t="s">
        <v>4389</v>
      </c>
      <c r="B38" s="50" t="s">
        <v>4390</v>
      </c>
      <c r="C38" s="51" t="s">
        <v>4391</v>
      </c>
      <c r="D38" s="52" t="s">
        <v>4392</v>
      </c>
      <c r="E38" s="52" t="s">
        <v>4393</v>
      </c>
      <c r="F38" s="49" t="s">
        <v>4394</v>
      </c>
      <c r="G38" s="52" t="s">
        <v>4210</v>
      </c>
      <c r="H38" s="52" t="s">
        <v>4395</v>
      </c>
      <c r="I38" s="53"/>
      <c r="J38" s="53"/>
    </row>
    <row r="39" ht="17.5" spans="1:10">
      <c r="A39" s="49" t="s">
        <v>4396</v>
      </c>
      <c r="B39" s="50" t="s">
        <v>4397</v>
      </c>
      <c r="C39" s="52" t="s">
        <v>4398</v>
      </c>
      <c r="D39" s="52" t="s">
        <v>4399</v>
      </c>
      <c r="E39" s="52" t="s">
        <v>4393</v>
      </c>
      <c r="F39" s="49" t="s">
        <v>4394</v>
      </c>
      <c r="G39" s="52" t="s">
        <v>4210</v>
      </c>
      <c r="H39" s="52" t="s">
        <v>4395</v>
      </c>
      <c r="I39" s="53"/>
      <c r="J39" s="53"/>
    </row>
    <row r="40" ht="17.5" spans="1:10">
      <c r="A40" s="49" t="s">
        <v>4400</v>
      </c>
      <c r="B40" s="50" t="s">
        <v>4401</v>
      </c>
      <c r="C40" s="52" t="s">
        <v>4402</v>
      </c>
      <c r="D40" s="52" t="s">
        <v>4403</v>
      </c>
      <c r="E40" s="52" t="s">
        <v>4404</v>
      </c>
      <c r="F40" s="49" t="s">
        <v>4405</v>
      </c>
      <c r="G40" s="52" t="s">
        <v>4210</v>
      </c>
      <c r="H40" s="52" t="s">
        <v>4406</v>
      </c>
      <c r="I40" s="53"/>
      <c r="J40" s="53"/>
    </row>
    <row r="41" ht="17.5" spans="1:10">
      <c r="A41" s="49" t="s">
        <v>4407</v>
      </c>
      <c r="B41" s="50" t="s">
        <v>4408</v>
      </c>
      <c r="C41" s="52" t="s">
        <v>4409</v>
      </c>
      <c r="D41" s="52" t="s">
        <v>4410</v>
      </c>
      <c r="E41" s="52" t="s">
        <v>4411</v>
      </c>
      <c r="F41" s="49" t="s">
        <v>4412</v>
      </c>
      <c r="G41" s="49" t="s">
        <v>4413</v>
      </c>
      <c r="H41" s="52" t="s">
        <v>4414</v>
      </c>
      <c r="I41" s="53"/>
      <c r="J41" s="53"/>
    </row>
    <row r="42" ht="17.5" spans="1:10">
      <c r="A42" s="49" t="s">
        <v>4415</v>
      </c>
      <c r="B42" s="50" t="s">
        <v>4416</v>
      </c>
      <c r="C42" s="51" t="s">
        <v>4417</v>
      </c>
      <c r="D42" s="52" t="s">
        <v>4418</v>
      </c>
      <c r="E42" s="52" t="s">
        <v>4419</v>
      </c>
      <c r="F42" s="49" t="s">
        <v>4420</v>
      </c>
      <c r="G42" s="49" t="s">
        <v>4163</v>
      </c>
      <c r="H42" s="52" t="s">
        <v>4421</v>
      </c>
      <c r="I42" s="53"/>
      <c r="J42" s="53"/>
    </row>
    <row r="43" ht="17.5" spans="1:10">
      <c r="A43" s="49" t="s">
        <v>4422</v>
      </c>
      <c r="B43" s="50" t="s">
        <v>4423</v>
      </c>
      <c r="C43" s="51" t="s">
        <v>4424</v>
      </c>
      <c r="D43" s="52" t="s">
        <v>4425</v>
      </c>
      <c r="E43" s="52" t="s">
        <v>4426</v>
      </c>
      <c r="F43" s="49" t="s">
        <v>4427</v>
      </c>
      <c r="G43" s="49" t="s">
        <v>4428</v>
      </c>
      <c r="H43" s="52" t="s">
        <v>4429</v>
      </c>
      <c r="I43" s="53"/>
      <c r="J43" s="53"/>
    </row>
    <row r="44" ht="17.5" spans="1:10">
      <c r="A44" s="49" t="s">
        <v>4430</v>
      </c>
      <c r="B44" s="50" t="s">
        <v>4431</v>
      </c>
      <c r="C44" s="52" t="s">
        <v>4432</v>
      </c>
      <c r="D44" s="52" t="s">
        <v>4433</v>
      </c>
      <c r="E44" s="52" t="s">
        <v>4426</v>
      </c>
      <c r="F44" s="49" t="s">
        <v>4427</v>
      </c>
      <c r="G44" s="49" t="s">
        <v>4428</v>
      </c>
      <c r="H44" s="52" t="s">
        <v>4434</v>
      </c>
      <c r="I44" s="53"/>
      <c r="J44" s="53"/>
    </row>
    <row r="45" ht="17.5" spans="1:10">
      <c r="A45" s="49" t="s">
        <v>4435</v>
      </c>
      <c r="B45" s="50" t="s">
        <v>4436</v>
      </c>
      <c r="C45" s="52" t="s">
        <v>4437</v>
      </c>
      <c r="D45" s="52" t="s">
        <v>4438</v>
      </c>
      <c r="E45" s="52" t="s">
        <v>4439</v>
      </c>
      <c r="F45" s="52" t="s">
        <v>4440</v>
      </c>
      <c r="G45" s="49" t="s">
        <v>4428</v>
      </c>
      <c r="H45" s="52" t="s">
        <v>4441</v>
      </c>
      <c r="I45" s="53"/>
      <c r="J45" s="53"/>
    </row>
    <row r="46" ht="17.5" spans="1:10">
      <c r="A46" s="49" t="s">
        <v>4442</v>
      </c>
      <c r="B46" s="50" t="s">
        <v>4443</v>
      </c>
      <c r="C46" s="52" t="s">
        <v>4444</v>
      </c>
      <c r="D46" s="52" t="s">
        <v>4445</v>
      </c>
      <c r="E46" s="52" t="s">
        <v>4423</v>
      </c>
      <c r="F46" s="52" t="s">
        <v>4446</v>
      </c>
      <c r="G46" s="49" t="s">
        <v>4447</v>
      </c>
      <c r="H46" s="52" t="s">
        <v>4448</v>
      </c>
      <c r="I46" s="53" t="s">
        <v>4449</v>
      </c>
      <c r="J46" s="53" t="s">
        <v>4450</v>
      </c>
    </row>
    <row r="47" ht="17.5" spans="1:10">
      <c r="A47" s="49" t="s">
        <v>4451</v>
      </c>
      <c r="B47" s="50" t="s">
        <v>4452</v>
      </c>
      <c r="C47" s="52" t="s">
        <v>4453</v>
      </c>
      <c r="D47" s="52" t="s">
        <v>4454</v>
      </c>
      <c r="E47" s="52" t="s">
        <v>4455</v>
      </c>
      <c r="F47" s="49" t="s">
        <v>4456</v>
      </c>
      <c r="G47" s="49" t="s">
        <v>4136</v>
      </c>
      <c r="H47" s="52" t="s">
        <v>4457</v>
      </c>
      <c r="I47" s="53"/>
      <c r="J47" s="53"/>
    </row>
    <row r="48" ht="17.5" spans="1:10">
      <c r="A48" s="49" t="s">
        <v>4458</v>
      </c>
      <c r="B48" s="50" t="s">
        <v>4459</v>
      </c>
      <c r="C48" s="52" t="s">
        <v>4460</v>
      </c>
      <c r="D48" s="52" t="s">
        <v>4461</v>
      </c>
      <c r="E48" s="52" t="s">
        <v>4462</v>
      </c>
      <c r="F48" s="52" t="s">
        <v>4463</v>
      </c>
      <c r="G48" s="52" t="s">
        <v>4464</v>
      </c>
      <c r="H48" s="53" t="s">
        <v>4465</v>
      </c>
      <c r="I48" s="53"/>
      <c r="J48" s="53"/>
    </row>
    <row r="49" ht="17.5" spans="1:10">
      <c r="A49" s="49" t="s">
        <v>4466</v>
      </c>
      <c r="B49" s="50" t="s">
        <v>4467</v>
      </c>
      <c r="C49" s="52" t="s">
        <v>2012</v>
      </c>
      <c r="D49" s="52" t="s">
        <v>4468</v>
      </c>
      <c r="E49" s="52" t="s">
        <v>4469</v>
      </c>
      <c r="F49" s="52" t="s">
        <v>4470</v>
      </c>
      <c r="G49" s="52" t="s">
        <v>4471</v>
      </c>
      <c r="H49" s="52" t="s">
        <v>4472</v>
      </c>
      <c r="I49" s="53"/>
      <c r="J49" s="53"/>
    </row>
    <row r="50" ht="17.5" spans="1:10">
      <c r="A50" s="49" t="s">
        <v>4473</v>
      </c>
      <c r="B50" s="50" t="s">
        <v>4474</v>
      </c>
      <c r="C50" s="52" t="s">
        <v>4475</v>
      </c>
      <c r="D50" s="52" t="s">
        <v>4476</v>
      </c>
      <c r="E50" s="52" t="s">
        <v>4477</v>
      </c>
      <c r="F50" s="49" t="s">
        <v>4478</v>
      </c>
      <c r="G50" s="49" t="s">
        <v>4358</v>
      </c>
      <c r="H50" s="53" t="s">
        <v>4479</v>
      </c>
      <c r="I50" s="53"/>
      <c r="J50" s="53"/>
    </row>
    <row r="51" ht="17.5" spans="1:10">
      <c r="A51" s="49" t="s">
        <v>4480</v>
      </c>
      <c r="B51" s="50" t="s">
        <v>4481</v>
      </c>
      <c r="C51" s="51" t="s">
        <v>4482</v>
      </c>
      <c r="D51" s="52" t="s">
        <v>4483</v>
      </c>
      <c r="E51" s="52" t="s">
        <v>4484</v>
      </c>
      <c r="F51" s="49" t="s">
        <v>4485</v>
      </c>
      <c r="G51" s="49" t="s">
        <v>4486</v>
      </c>
      <c r="H51" s="52" t="s">
        <v>4487</v>
      </c>
      <c r="I51" s="53"/>
      <c r="J51" s="53"/>
    </row>
    <row r="52" ht="17.5" spans="1:10">
      <c r="A52" s="49" t="s">
        <v>4488</v>
      </c>
      <c r="B52" s="50" t="s">
        <v>4489</v>
      </c>
      <c r="C52" s="51" t="s">
        <v>4490</v>
      </c>
      <c r="D52" s="52" t="s">
        <v>4491</v>
      </c>
      <c r="E52" s="52" t="s">
        <v>4492</v>
      </c>
      <c r="F52" s="49" t="s">
        <v>4239</v>
      </c>
      <c r="G52" s="52" t="s">
        <v>4210</v>
      </c>
      <c r="H52" s="52" t="s">
        <v>4493</v>
      </c>
      <c r="I52" s="53"/>
      <c r="J52" s="53"/>
    </row>
    <row r="53" ht="17.5" spans="1:10">
      <c r="A53" s="49" t="s">
        <v>4494</v>
      </c>
      <c r="B53" s="50" t="s">
        <v>4495</v>
      </c>
      <c r="C53" s="52" t="s">
        <v>4496</v>
      </c>
      <c r="D53" s="52" t="s">
        <v>4497</v>
      </c>
      <c r="E53" s="52" t="s">
        <v>4498</v>
      </c>
      <c r="F53" s="49" t="s">
        <v>4135</v>
      </c>
      <c r="G53" s="49" t="s">
        <v>4163</v>
      </c>
      <c r="H53" s="52" t="s">
        <v>4499</v>
      </c>
      <c r="I53" s="53"/>
      <c r="J53" s="53"/>
    </row>
    <row r="54" ht="17.5" spans="1:10">
      <c r="A54" s="49" t="s">
        <v>4500</v>
      </c>
      <c r="B54" s="50" t="s">
        <v>4501</v>
      </c>
      <c r="C54" s="52" t="s">
        <v>4502</v>
      </c>
      <c r="D54" s="52" t="s">
        <v>4503</v>
      </c>
      <c r="E54" s="52" t="s">
        <v>4504</v>
      </c>
      <c r="F54" s="49" t="s">
        <v>4505</v>
      </c>
      <c r="G54" s="49" t="s">
        <v>4195</v>
      </c>
      <c r="H54" s="52" t="s">
        <v>4506</v>
      </c>
      <c r="I54" s="53"/>
      <c r="J54" s="53"/>
    </row>
    <row r="55" ht="17.5" spans="1:10">
      <c r="A55" s="49" t="s">
        <v>4507</v>
      </c>
      <c r="B55" s="50" t="s">
        <v>4508</v>
      </c>
      <c r="C55" s="52" t="s">
        <v>4509</v>
      </c>
      <c r="D55" s="52" t="s">
        <v>4510</v>
      </c>
      <c r="E55" s="52" t="s">
        <v>4511</v>
      </c>
      <c r="F55" s="49" t="s">
        <v>4512</v>
      </c>
      <c r="G55" s="49" t="s">
        <v>4163</v>
      </c>
      <c r="H55" s="52" t="s">
        <v>4513</v>
      </c>
      <c r="I55" s="53"/>
      <c r="J55" s="53"/>
    </row>
    <row r="56" ht="17.5" spans="1:10">
      <c r="A56" s="49" t="s">
        <v>4514</v>
      </c>
      <c r="B56" s="54" t="s">
        <v>4515</v>
      </c>
      <c r="C56" s="52" t="s">
        <v>4516</v>
      </c>
      <c r="D56" s="52" t="s">
        <v>4517</v>
      </c>
      <c r="E56" s="52" t="s">
        <v>4518</v>
      </c>
      <c r="F56" s="49" t="s">
        <v>4519</v>
      </c>
      <c r="G56" s="52" t="s">
        <v>4210</v>
      </c>
      <c r="H56" s="52" t="s">
        <v>4520</v>
      </c>
      <c r="I56" s="53"/>
      <c r="J56" s="53"/>
    </row>
    <row r="57" ht="17.5" spans="1:10">
      <c r="A57" s="49" t="s">
        <v>4521</v>
      </c>
      <c r="B57" s="50" t="s">
        <v>4522</v>
      </c>
      <c r="C57" s="52" t="s">
        <v>4523</v>
      </c>
      <c r="D57" s="52" t="s">
        <v>4524</v>
      </c>
      <c r="E57" s="52" t="s">
        <v>4525</v>
      </c>
      <c r="F57" s="49" t="s">
        <v>4526</v>
      </c>
      <c r="G57" s="49" t="s">
        <v>4163</v>
      </c>
      <c r="H57" s="52" t="s">
        <v>4527</v>
      </c>
      <c r="I57" s="53"/>
      <c r="J57" s="53"/>
    </row>
    <row r="58" ht="17.5" spans="1:10">
      <c r="A58" s="49" t="s">
        <v>4528</v>
      </c>
      <c r="B58" s="50" t="s">
        <v>4529</v>
      </c>
      <c r="C58" s="52" t="s">
        <v>4530</v>
      </c>
      <c r="D58" s="52" t="s">
        <v>4531</v>
      </c>
      <c r="E58" s="52" t="s">
        <v>4532</v>
      </c>
      <c r="F58" s="49" t="s">
        <v>4533</v>
      </c>
      <c r="G58" s="49" t="s">
        <v>4163</v>
      </c>
      <c r="H58" s="52" t="s">
        <v>4534</v>
      </c>
      <c r="I58" s="53"/>
      <c r="J58" s="53"/>
    </row>
    <row r="59" ht="17.5" spans="1:10">
      <c r="A59" s="49" t="s">
        <v>4535</v>
      </c>
      <c r="B59" s="50" t="s">
        <v>4536</v>
      </c>
      <c r="C59" s="52" t="s">
        <v>4537</v>
      </c>
      <c r="D59" s="52" t="s">
        <v>4538</v>
      </c>
      <c r="E59" s="49" t="s">
        <v>4539</v>
      </c>
      <c r="F59" s="49" t="s">
        <v>4540</v>
      </c>
      <c r="G59" s="52" t="s">
        <v>4541</v>
      </c>
      <c r="H59" s="52" t="s">
        <v>4542</v>
      </c>
      <c r="I59" s="53"/>
      <c r="J59" s="53"/>
    </row>
    <row r="60" ht="17.5" spans="1:10">
      <c r="A60" s="49" t="s">
        <v>4543</v>
      </c>
      <c r="B60" s="50" t="s">
        <v>4544</v>
      </c>
      <c r="C60" s="51" t="s">
        <v>4545</v>
      </c>
      <c r="D60" s="52" t="s">
        <v>4546</v>
      </c>
      <c r="E60" s="52" t="s">
        <v>4547</v>
      </c>
      <c r="F60" s="49" t="s">
        <v>4548</v>
      </c>
      <c r="G60" s="49" t="s">
        <v>4163</v>
      </c>
      <c r="H60" s="52" t="s">
        <v>4549</v>
      </c>
      <c r="I60" s="53"/>
      <c r="J60" s="53"/>
    </row>
    <row r="61" ht="17.5" spans="1:10">
      <c r="A61" s="49" t="s">
        <v>4550</v>
      </c>
      <c r="B61" s="50" t="s">
        <v>4551</v>
      </c>
      <c r="C61" s="52" t="s">
        <v>4552</v>
      </c>
      <c r="D61" s="52" t="s">
        <v>4553</v>
      </c>
      <c r="E61" s="52" t="s">
        <v>4554</v>
      </c>
      <c r="F61" s="49" t="s">
        <v>4555</v>
      </c>
      <c r="G61" s="49" t="s">
        <v>4556</v>
      </c>
      <c r="H61" s="52" t="s">
        <v>4557</v>
      </c>
      <c r="I61" s="53"/>
      <c r="J61" s="53"/>
    </row>
    <row r="62" ht="17.5" spans="1:10">
      <c r="A62" s="49" t="s">
        <v>4558</v>
      </c>
      <c r="B62" s="50" t="s">
        <v>4559</v>
      </c>
      <c r="C62" s="51" t="s">
        <v>4560</v>
      </c>
      <c r="D62" s="52" t="s">
        <v>4561</v>
      </c>
      <c r="E62" s="52" t="s">
        <v>4562</v>
      </c>
      <c r="F62" s="49" t="s">
        <v>4563</v>
      </c>
      <c r="G62" s="52" t="s">
        <v>4564</v>
      </c>
      <c r="H62" s="52" t="s">
        <v>4565</v>
      </c>
      <c r="I62" s="53"/>
      <c r="J62" s="53"/>
    </row>
    <row r="63" ht="17.5" spans="1:10">
      <c r="A63" s="49" t="s">
        <v>4566</v>
      </c>
      <c r="B63" s="50" t="s">
        <v>4567</v>
      </c>
      <c r="C63" s="52" t="s">
        <v>4568</v>
      </c>
      <c r="D63" s="52" t="s">
        <v>4569</v>
      </c>
      <c r="E63" s="52" t="s">
        <v>4570</v>
      </c>
      <c r="F63" s="49" t="s">
        <v>4571</v>
      </c>
      <c r="G63" s="49" t="s">
        <v>4195</v>
      </c>
      <c r="H63" s="52" t="s">
        <v>4572</v>
      </c>
      <c r="I63" s="53"/>
      <c r="J63" s="53"/>
    </row>
    <row r="64" ht="17.5" spans="1:10">
      <c r="A64" s="49" t="s">
        <v>4573</v>
      </c>
      <c r="B64" s="50" t="s">
        <v>4574</v>
      </c>
      <c r="C64" s="52" t="s">
        <v>4575</v>
      </c>
      <c r="D64" s="52" t="s">
        <v>4576</v>
      </c>
      <c r="E64" s="52" t="s">
        <v>4577</v>
      </c>
      <c r="F64" s="49" t="s">
        <v>4578</v>
      </c>
      <c r="G64" s="49" t="s">
        <v>4195</v>
      </c>
      <c r="H64" s="52" t="s">
        <v>4579</v>
      </c>
      <c r="I64" s="53"/>
      <c r="J64" s="53"/>
    </row>
    <row r="65" ht="17.5" spans="1:10">
      <c r="A65" s="49" t="s">
        <v>4580</v>
      </c>
      <c r="B65" s="50" t="s">
        <v>4581</v>
      </c>
      <c r="C65" s="52" t="s">
        <v>4582</v>
      </c>
      <c r="D65" s="52" t="s">
        <v>4583</v>
      </c>
      <c r="E65" s="52" t="s">
        <v>4584</v>
      </c>
      <c r="F65" s="52" t="s">
        <v>4585</v>
      </c>
      <c r="G65" s="49" t="s">
        <v>4586</v>
      </c>
      <c r="H65" s="52" t="s">
        <v>4587</v>
      </c>
      <c r="I65" s="53"/>
      <c r="J65" s="53"/>
    </row>
    <row r="66" ht="17.5" spans="1:10">
      <c r="A66" s="49" t="s">
        <v>4588</v>
      </c>
      <c r="B66" s="50" t="s">
        <v>4589</v>
      </c>
      <c r="C66" s="52" t="s">
        <v>4590</v>
      </c>
      <c r="D66" s="52" t="s">
        <v>4591</v>
      </c>
      <c r="E66" s="52" t="s">
        <v>4592</v>
      </c>
      <c r="F66" s="52" t="s">
        <v>4593</v>
      </c>
      <c r="G66" s="49" t="s">
        <v>4195</v>
      </c>
      <c r="H66" s="52" t="s">
        <v>4594</v>
      </c>
      <c r="I66" s="53"/>
      <c r="J66" s="53"/>
    </row>
    <row r="67" ht="17.5" spans="1:10">
      <c r="A67" s="49" t="s">
        <v>4595</v>
      </c>
      <c r="B67" s="50" t="s">
        <v>4596</v>
      </c>
      <c r="C67" s="52" t="s">
        <v>4597</v>
      </c>
      <c r="D67" s="52" t="s">
        <v>4598</v>
      </c>
      <c r="E67" s="52" t="s">
        <v>4599</v>
      </c>
      <c r="F67" s="52" t="s">
        <v>4209</v>
      </c>
      <c r="G67" s="49" t="s">
        <v>4129</v>
      </c>
      <c r="H67" s="52" t="s">
        <v>4600</v>
      </c>
      <c r="I67" s="53"/>
      <c r="J67" s="53"/>
    </row>
    <row r="68" ht="17.5" spans="1:10">
      <c r="A68" s="49" t="s">
        <v>4601</v>
      </c>
      <c r="B68" s="50" t="s">
        <v>4602</v>
      </c>
      <c r="C68" s="51" t="s">
        <v>4603</v>
      </c>
      <c r="D68" s="52" t="s">
        <v>4604</v>
      </c>
      <c r="E68" s="52" t="s">
        <v>4605</v>
      </c>
      <c r="F68" s="49" t="s">
        <v>4268</v>
      </c>
      <c r="G68" s="49" t="s">
        <v>4606</v>
      </c>
      <c r="H68" s="52" t="s">
        <v>4607</v>
      </c>
      <c r="I68" s="53"/>
      <c r="J68" s="53"/>
    </row>
    <row r="69" ht="17.5" spans="1:10">
      <c r="A69" s="49" t="s">
        <v>4608</v>
      </c>
      <c r="B69" s="50" t="s">
        <v>4609</v>
      </c>
      <c r="C69" s="51" t="s">
        <v>4610</v>
      </c>
      <c r="D69" s="52" t="s">
        <v>4611</v>
      </c>
      <c r="E69" s="52" t="s">
        <v>4612</v>
      </c>
      <c r="F69" s="49" t="s">
        <v>4613</v>
      </c>
      <c r="G69" s="49" t="s">
        <v>4151</v>
      </c>
      <c r="H69" s="52" t="s">
        <v>4614</v>
      </c>
      <c r="I69" s="53"/>
      <c r="J69" s="53"/>
    </row>
    <row r="70" ht="17.5" spans="1:10">
      <c r="A70" s="49" t="s">
        <v>4615</v>
      </c>
      <c r="B70" s="50" t="s">
        <v>4616</v>
      </c>
      <c r="C70" s="52" t="s">
        <v>4617</v>
      </c>
      <c r="D70" s="52" t="s">
        <v>4618</v>
      </c>
      <c r="E70" s="52" t="s">
        <v>4619</v>
      </c>
      <c r="F70" s="49" t="s">
        <v>4239</v>
      </c>
      <c r="G70" s="49" t="s">
        <v>4620</v>
      </c>
      <c r="H70" s="52" t="s">
        <v>4621</v>
      </c>
      <c r="I70" s="53"/>
      <c r="J70" s="53"/>
    </row>
    <row r="71" ht="17.5" spans="1:10">
      <c r="A71" s="49" t="s">
        <v>4622</v>
      </c>
      <c r="B71" s="50" t="s">
        <v>4623</v>
      </c>
      <c r="C71" s="52" t="s">
        <v>4624</v>
      </c>
      <c r="D71" s="52" t="s">
        <v>4625</v>
      </c>
      <c r="E71" s="52" t="s">
        <v>4626</v>
      </c>
      <c r="F71" s="49" t="s">
        <v>4627</v>
      </c>
      <c r="G71" s="49" t="s">
        <v>4151</v>
      </c>
      <c r="H71" s="52" t="s">
        <v>4628</v>
      </c>
      <c r="I71" s="53"/>
      <c r="J71" s="53"/>
    </row>
    <row r="72" ht="17.5" spans="1:10">
      <c r="A72" s="49" t="s">
        <v>4629</v>
      </c>
      <c r="B72" s="50" t="s">
        <v>4630</v>
      </c>
      <c r="C72" s="51" t="s">
        <v>4631</v>
      </c>
      <c r="D72" s="52" t="s">
        <v>4632</v>
      </c>
      <c r="E72" s="52" t="s">
        <v>4633</v>
      </c>
      <c r="F72" s="49" t="s">
        <v>4634</v>
      </c>
      <c r="G72" s="49" t="s">
        <v>4635</v>
      </c>
      <c r="H72" s="52" t="s">
        <v>4636</v>
      </c>
      <c r="I72" s="53"/>
      <c r="J72" s="53"/>
    </row>
    <row r="73" ht="17.5" spans="1:10">
      <c r="A73" s="49" t="s">
        <v>4637</v>
      </c>
      <c r="B73" s="50" t="s">
        <v>4638</v>
      </c>
      <c r="C73" s="51" t="s">
        <v>4639</v>
      </c>
      <c r="D73" s="52" t="s">
        <v>4640</v>
      </c>
      <c r="E73" s="52" t="s">
        <v>4641</v>
      </c>
      <c r="F73" s="49" t="s">
        <v>4642</v>
      </c>
      <c r="G73" s="52" t="s">
        <v>4643</v>
      </c>
      <c r="H73" s="52" t="s">
        <v>4644</v>
      </c>
      <c r="I73" s="53"/>
      <c r="J73" s="53"/>
    </row>
    <row r="74" ht="17.5" spans="1:10">
      <c r="A74" s="49" t="s">
        <v>4645</v>
      </c>
      <c r="B74" s="50" t="s">
        <v>4646</v>
      </c>
      <c r="C74" s="51" t="s">
        <v>4647</v>
      </c>
      <c r="D74" s="52" t="s">
        <v>4648</v>
      </c>
      <c r="E74" s="52" t="s">
        <v>4649</v>
      </c>
      <c r="F74" s="49" t="s">
        <v>4650</v>
      </c>
      <c r="G74" s="49" t="s">
        <v>4195</v>
      </c>
      <c r="H74" s="52" t="s">
        <v>4651</v>
      </c>
      <c r="I74" s="53"/>
      <c r="J74" s="53"/>
    </row>
    <row r="75" ht="17.5" spans="1:10">
      <c r="A75" s="49" t="s">
        <v>4652</v>
      </c>
      <c r="B75" s="50" t="s">
        <v>4653</v>
      </c>
      <c r="C75" s="52" t="s">
        <v>4654</v>
      </c>
      <c r="D75" s="52" t="s">
        <v>4655</v>
      </c>
      <c r="E75" s="52" t="s">
        <v>4656</v>
      </c>
      <c r="F75" s="49" t="s">
        <v>4657</v>
      </c>
      <c r="G75" s="49" t="s">
        <v>4658</v>
      </c>
      <c r="H75" s="52" t="s">
        <v>4659</v>
      </c>
      <c r="I75" s="53"/>
      <c r="J75" s="53"/>
    </row>
    <row r="76" ht="17.5" spans="1:10">
      <c r="A76" s="49" t="s">
        <v>4660</v>
      </c>
      <c r="B76" s="50" t="s">
        <v>4661</v>
      </c>
      <c r="C76" s="52" t="s">
        <v>4662</v>
      </c>
      <c r="D76" s="52" t="s">
        <v>4663</v>
      </c>
      <c r="E76" s="52" t="s">
        <v>4664</v>
      </c>
      <c r="F76" s="49" t="s">
        <v>4665</v>
      </c>
      <c r="G76" s="49" t="s">
        <v>4195</v>
      </c>
      <c r="H76" s="52" t="s">
        <v>4666</v>
      </c>
      <c r="I76" s="53"/>
      <c r="J76" s="53"/>
    </row>
    <row r="77" ht="17.5" spans="1:10">
      <c r="A77" s="49" t="s">
        <v>4667</v>
      </c>
      <c r="B77" s="50" t="s">
        <v>4668</v>
      </c>
      <c r="C77" s="52" t="s">
        <v>4669</v>
      </c>
      <c r="D77" s="52" t="s">
        <v>4670</v>
      </c>
      <c r="E77" s="52" t="s">
        <v>4671</v>
      </c>
      <c r="F77" s="49" t="s">
        <v>4672</v>
      </c>
      <c r="G77" s="52" t="s">
        <v>4673</v>
      </c>
      <c r="H77" s="52" t="s">
        <v>4674</v>
      </c>
      <c r="I77" s="53"/>
      <c r="J77" s="53"/>
    </row>
    <row r="78" ht="17.5" spans="1:10">
      <c r="A78" s="49" t="s">
        <v>4675</v>
      </c>
      <c r="B78" s="50" t="s">
        <v>4676</v>
      </c>
      <c r="C78" s="52" t="s">
        <v>4677</v>
      </c>
      <c r="D78" s="52" t="s">
        <v>4678</v>
      </c>
      <c r="E78" s="52" t="s">
        <v>4679</v>
      </c>
      <c r="F78" s="49" t="s">
        <v>4680</v>
      </c>
      <c r="G78" s="49" t="s">
        <v>4428</v>
      </c>
      <c r="H78" s="52" t="s">
        <v>4681</v>
      </c>
      <c r="I78" s="53"/>
      <c r="J78" s="53"/>
    </row>
    <row r="79" ht="17.5" spans="1:10">
      <c r="A79" s="49" t="s">
        <v>4682</v>
      </c>
      <c r="B79" s="50" t="s">
        <v>4683</v>
      </c>
      <c r="C79" s="52" t="s">
        <v>4684</v>
      </c>
      <c r="D79" s="52" t="s">
        <v>4685</v>
      </c>
      <c r="E79" s="52" t="s">
        <v>4686</v>
      </c>
      <c r="F79" s="49" t="s">
        <v>4687</v>
      </c>
      <c r="G79" s="49" t="s">
        <v>4151</v>
      </c>
      <c r="H79" s="52" t="s">
        <v>4688</v>
      </c>
      <c r="I79" s="53"/>
      <c r="J79" s="53"/>
    </row>
    <row r="80" ht="17.5" spans="1:10">
      <c r="A80" s="49" t="s">
        <v>4689</v>
      </c>
      <c r="B80" s="50" t="s">
        <v>4690</v>
      </c>
      <c r="C80" s="52" t="s">
        <v>4691</v>
      </c>
      <c r="D80" s="52" t="s">
        <v>4692</v>
      </c>
      <c r="E80" s="52" t="s">
        <v>4693</v>
      </c>
      <c r="F80" s="49" t="s">
        <v>4478</v>
      </c>
      <c r="G80" s="49" t="s">
        <v>4694</v>
      </c>
      <c r="H80" s="52" t="s">
        <v>4695</v>
      </c>
      <c r="I80" s="53"/>
      <c r="J80" s="53"/>
    </row>
    <row r="81" ht="17.5" spans="1:10">
      <c r="A81" s="49" t="s">
        <v>4696</v>
      </c>
      <c r="B81" s="50" t="s">
        <v>4697</v>
      </c>
      <c r="C81" s="51" t="s">
        <v>4698</v>
      </c>
      <c r="D81" s="52" t="s">
        <v>4699</v>
      </c>
      <c r="E81" s="52" t="s">
        <v>4700</v>
      </c>
      <c r="F81" s="49" t="s">
        <v>4701</v>
      </c>
      <c r="G81" s="49" t="s">
        <v>4702</v>
      </c>
      <c r="H81" s="52" t="s">
        <v>4703</v>
      </c>
      <c r="I81" s="53"/>
      <c r="J81" s="53"/>
    </row>
    <row r="82" ht="17.5" spans="1:10">
      <c r="A82" s="49" t="s">
        <v>4704</v>
      </c>
      <c r="B82" s="50" t="s">
        <v>4705</v>
      </c>
      <c r="C82" s="51" t="s">
        <v>4706</v>
      </c>
      <c r="D82" s="52" t="s">
        <v>4707</v>
      </c>
      <c r="E82" s="52" t="s">
        <v>4708</v>
      </c>
      <c r="F82" s="49" t="s">
        <v>4709</v>
      </c>
      <c r="G82" s="49" t="s">
        <v>4321</v>
      </c>
      <c r="H82" s="52" t="s">
        <v>4710</v>
      </c>
      <c r="I82" s="53"/>
      <c r="J82" s="53"/>
    </row>
    <row r="83" ht="17.5" spans="1:10">
      <c r="A83" s="49" t="s">
        <v>4711</v>
      </c>
      <c r="B83" s="50" t="s">
        <v>4712</v>
      </c>
      <c r="C83" s="52" t="s">
        <v>4713</v>
      </c>
      <c r="D83" s="52" t="s">
        <v>4714</v>
      </c>
      <c r="E83" s="52" t="s">
        <v>4715</v>
      </c>
      <c r="F83" s="49" t="s">
        <v>4716</v>
      </c>
      <c r="G83" s="52" t="s">
        <v>4717</v>
      </c>
      <c r="H83" s="52" t="s">
        <v>4718</v>
      </c>
      <c r="I83" s="53"/>
      <c r="J83" s="53"/>
    </row>
    <row r="84" ht="17.5" spans="1:10">
      <c r="A84" s="49" t="s">
        <v>4719</v>
      </c>
      <c r="B84" s="50" t="s">
        <v>4720</v>
      </c>
      <c r="C84" s="52" t="s">
        <v>4721</v>
      </c>
      <c r="D84" s="52" t="s">
        <v>4722</v>
      </c>
      <c r="E84" s="52" t="s">
        <v>4697</v>
      </c>
      <c r="F84" s="49" t="s">
        <v>4723</v>
      </c>
      <c r="G84" s="49" t="s">
        <v>4724</v>
      </c>
      <c r="H84" s="52" t="s">
        <v>4725</v>
      </c>
      <c r="I84" s="53"/>
      <c r="J84" s="53"/>
    </row>
    <row r="85" ht="17.5" spans="1:10">
      <c r="A85" s="49" t="s">
        <v>4726</v>
      </c>
      <c r="B85" s="50" t="s">
        <v>4727</v>
      </c>
      <c r="C85" s="52" t="s">
        <v>4728</v>
      </c>
      <c r="D85" s="52" t="s">
        <v>4729</v>
      </c>
      <c r="E85" s="52" t="s">
        <v>4730</v>
      </c>
      <c r="F85" s="52" t="s">
        <v>4731</v>
      </c>
      <c r="G85" s="52" t="s">
        <v>4732</v>
      </c>
      <c r="H85" s="52" t="s">
        <v>4733</v>
      </c>
      <c r="I85" s="53"/>
      <c r="J85" s="53"/>
    </row>
    <row r="86" ht="17.5" spans="1:10">
      <c r="A86" s="49" t="s">
        <v>4734</v>
      </c>
      <c r="B86" s="50" t="s">
        <v>4735</v>
      </c>
      <c r="C86" s="52" t="s">
        <v>4736</v>
      </c>
      <c r="D86" s="52" t="s">
        <v>4737</v>
      </c>
      <c r="E86" s="49" t="s">
        <v>4738</v>
      </c>
      <c r="F86" s="52" t="s">
        <v>4739</v>
      </c>
      <c r="G86" s="52" t="s">
        <v>4740</v>
      </c>
      <c r="H86" s="53" t="s">
        <v>4741</v>
      </c>
      <c r="I86" s="53"/>
      <c r="J86" s="53"/>
    </row>
    <row r="87" ht="17.5" spans="1:10">
      <c r="A87" s="49" t="s">
        <v>4742</v>
      </c>
      <c r="B87" s="50" t="s">
        <v>4743</v>
      </c>
      <c r="C87" s="51" t="s">
        <v>4744</v>
      </c>
      <c r="D87" s="52" t="s">
        <v>4745</v>
      </c>
      <c r="E87" s="52" t="s">
        <v>4746</v>
      </c>
      <c r="F87" s="49" t="s">
        <v>4747</v>
      </c>
      <c r="G87" s="49" t="s">
        <v>4748</v>
      </c>
      <c r="H87" s="52" t="s">
        <v>4749</v>
      </c>
      <c r="I87" s="53"/>
      <c r="J87" s="53"/>
    </row>
    <row r="88" ht="17.5" spans="1:10">
      <c r="A88" s="49" t="s">
        <v>4750</v>
      </c>
      <c r="B88" s="50" t="s">
        <v>4751</v>
      </c>
      <c r="C88" s="52" t="s">
        <v>4752</v>
      </c>
      <c r="D88" s="52" t="s">
        <v>4753</v>
      </c>
      <c r="E88" s="52" t="s">
        <v>4754</v>
      </c>
      <c r="F88" s="49" t="s">
        <v>4526</v>
      </c>
      <c r="G88" s="52" t="s">
        <v>4210</v>
      </c>
      <c r="H88" s="52" t="s">
        <v>4755</v>
      </c>
      <c r="I88" s="53"/>
      <c r="J88" s="53"/>
    </row>
    <row r="89" ht="17.5" spans="1:10">
      <c r="A89" s="49" t="s">
        <v>4756</v>
      </c>
      <c r="B89" s="50" t="s">
        <v>4757</v>
      </c>
      <c r="C89" s="52" t="s">
        <v>4758</v>
      </c>
      <c r="D89" s="52" t="s">
        <v>4759</v>
      </c>
      <c r="E89" s="52" t="s">
        <v>4760</v>
      </c>
      <c r="F89" s="52" t="s">
        <v>4440</v>
      </c>
      <c r="G89" s="49" t="s">
        <v>4136</v>
      </c>
      <c r="H89" s="52" t="s">
        <v>4761</v>
      </c>
      <c r="I89" s="53"/>
      <c r="J89" s="53"/>
    </row>
    <row r="90" ht="17.5" spans="1:10">
      <c r="A90" s="49" t="s">
        <v>4762</v>
      </c>
      <c r="B90" s="50" t="s">
        <v>4763</v>
      </c>
      <c r="C90" s="52" t="s">
        <v>4764</v>
      </c>
      <c r="D90" s="52" t="s">
        <v>4765</v>
      </c>
      <c r="E90" s="52" t="s">
        <v>4766</v>
      </c>
      <c r="F90" s="49" t="s">
        <v>4767</v>
      </c>
      <c r="G90" s="49" t="s">
        <v>4486</v>
      </c>
      <c r="H90" s="52" t="s">
        <v>4768</v>
      </c>
      <c r="I90" s="53"/>
      <c r="J90" s="53"/>
    </row>
    <row r="91" ht="17.5" spans="1:10">
      <c r="A91" s="49" t="s">
        <v>4769</v>
      </c>
      <c r="B91" s="50" t="s">
        <v>4770</v>
      </c>
      <c r="C91" s="52" t="s">
        <v>4771</v>
      </c>
      <c r="D91" s="52" t="s">
        <v>4772</v>
      </c>
      <c r="E91" s="52" t="s">
        <v>4773</v>
      </c>
      <c r="F91" s="49" t="s">
        <v>4774</v>
      </c>
      <c r="G91" s="49" t="s">
        <v>4775</v>
      </c>
      <c r="H91" s="52" t="s">
        <v>4776</v>
      </c>
      <c r="I91" s="53" t="s">
        <v>4777</v>
      </c>
      <c r="J91" s="53"/>
    </row>
    <row r="92" ht="17.5" spans="1:10">
      <c r="A92" s="49" t="s">
        <v>4778</v>
      </c>
      <c r="B92" s="50" t="s">
        <v>4779</v>
      </c>
      <c r="C92" s="52" t="s">
        <v>4780</v>
      </c>
      <c r="D92" s="52" t="s">
        <v>4781</v>
      </c>
      <c r="E92" s="52" t="s">
        <v>4782</v>
      </c>
      <c r="F92" s="49" t="s">
        <v>4783</v>
      </c>
      <c r="G92" s="52" t="s">
        <v>4784</v>
      </c>
      <c r="H92" s="52" t="s">
        <v>4785</v>
      </c>
      <c r="I92" s="53"/>
      <c r="J92" s="53"/>
    </row>
    <row r="93" ht="17.5" spans="1:10">
      <c r="A93" s="49" t="s">
        <v>4786</v>
      </c>
      <c r="B93" s="50" t="s">
        <v>4787</v>
      </c>
      <c r="C93" s="51" t="s">
        <v>4788</v>
      </c>
      <c r="D93" s="52" t="s">
        <v>4789</v>
      </c>
      <c r="E93" s="52" t="s">
        <v>4790</v>
      </c>
      <c r="F93" s="49" t="s">
        <v>4791</v>
      </c>
      <c r="G93" s="49" t="s">
        <v>4792</v>
      </c>
      <c r="H93" s="53" t="s">
        <v>4793</v>
      </c>
      <c r="I93" s="53"/>
      <c r="J93" s="53"/>
    </row>
    <row r="94" ht="17.5" spans="1:10">
      <c r="A94" s="49" t="s">
        <v>4794</v>
      </c>
      <c r="B94" s="50" t="s">
        <v>4795</v>
      </c>
      <c r="C94" s="51" t="s">
        <v>4796</v>
      </c>
      <c r="D94" s="52" t="s">
        <v>4797</v>
      </c>
      <c r="E94" s="52" t="s">
        <v>4798</v>
      </c>
      <c r="F94" s="49" t="s">
        <v>4799</v>
      </c>
      <c r="G94" s="49" t="s">
        <v>4163</v>
      </c>
      <c r="H94" s="52" t="s">
        <v>4800</v>
      </c>
      <c r="I94" s="53"/>
      <c r="J94" s="53"/>
    </row>
    <row r="95" ht="17.5" spans="1:10">
      <c r="A95" s="49" t="s">
        <v>4801</v>
      </c>
      <c r="B95" s="50" t="s">
        <v>4802</v>
      </c>
      <c r="C95" s="51" t="s">
        <v>4803</v>
      </c>
      <c r="D95" s="52" t="s">
        <v>4804</v>
      </c>
      <c r="E95" s="52" t="s">
        <v>4805</v>
      </c>
      <c r="F95" s="52" t="s">
        <v>4806</v>
      </c>
      <c r="G95" s="49" t="s">
        <v>4163</v>
      </c>
      <c r="H95" s="52" t="s">
        <v>4807</v>
      </c>
      <c r="I95" s="53"/>
      <c r="J95" s="53"/>
    </row>
    <row r="96" ht="17.5" spans="1:10">
      <c r="A96" s="49" t="s">
        <v>4808</v>
      </c>
      <c r="B96" s="50" t="s">
        <v>4809</v>
      </c>
      <c r="C96" s="52" t="s">
        <v>4810</v>
      </c>
      <c r="D96" s="52" t="s">
        <v>4811</v>
      </c>
      <c r="E96" s="52" t="s">
        <v>4812</v>
      </c>
      <c r="F96" s="49" t="s">
        <v>4135</v>
      </c>
      <c r="G96" s="49" t="s">
        <v>4813</v>
      </c>
      <c r="H96" s="52" t="s">
        <v>4814</v>
      </c>
      <c r="I96" s="53"/>
      <c r="J96" s="53"/>
    </row>
    <row r="97" ht="17.5" spans="1:10">
      <c r="A97" s="49" t="s">
        <v>4815</v>
      </c>
      <c r="B97" s="50" t="s">
        <v>4816</v>
      </c>
      <c r="C97" s="52" t="s">
        <v>4817</v>
      </c>
      <c r="D97" s="52" t="s">
        <v>4818</v>
      </c>
      <c r="E97" s="52" t="s">
        <v>4795</v>
      </c>
      <c r="F97" s="49" t="s">
        <v>4819</v>
      </c>
      <c r="G97" s="49" t="s">
        <v>4820</v>
      </c>
      <c r="H97" s="52" t="s">
        <v>4821</v>
      </c>
      <c r="I97" s="53"/>
      <c r="J97" s="53"/>
    </row>
    <row r="98" ht="17.5" spans="1:10">
      <c r="A98" s="49" t="s">
        <v>4822</v>
      </c>
      <c r="B98" s="50" t="s">
        <v>4823</v>
      </c>
      <c r="C98" s="52" t="s">
        <v>4824</v>
      </c>
      <c r="D98" s="52" t="s">
        <v>4825</v>
      </c>
      <c r="E98" s="49" t="s">
        <v>4826</v>
      </c>
      <c r="F98" s="49" t="s">
        <v>4819</v>
      </c>
      <c r="G98" s="49" t="s">
        <v>4820</v>
      </c>
      <c r="H98" s="52" t="s">
        <v>4821</v>
      </c>
      <c r="I98" s="53"/>
      <c r="J98" s="53"/>
    </row>
    <row r="99" ht="17.5" spans="1:10">
      <c r="A99" s="49" t="s">
        <v>4827</v>
      </c>
      <c r="B99" s="50" t="s">
        <v>4828</v>
      </c>
      <c r="C99" s="52" t="s">
        <v>4829</v>
      </c>
      <c r="D99" s="52" t="s">
        <v>4830</v>
      </c>
      <c r="E99" s="52" t="s">
        <v>4831</v>
      </c>
      <c r="F99" s="52" t="s">
        <v>4832</v>
      </c>
      <c r="G99" s="49" t="s">
        <v>4833</v>
      </c>
      <c r="H99" s="52" t="s">
        <v>4834</v>
      </c>
      <c r="I99" s="53"/>
      <c r="J99" s="53"/>
    </row>
    <row r="100" ht="17.5" spans="1:10">
      <c r="A100" s="49" t="s">
        <v>4835</v>
      </c>
      <c r="B100" s="50" t="s">
        <v>4836</v>
      </c>
      <c r="C100" s="52" t="s">
        <v>4837</v>
      </c>
      <c r="D100" s="52" t="s">
        <v>4838</v>
      </c>
      <c r="E100" s="52" t="s">
        <v>4839</v>
      </c>
      <c r="F100" s="49" t="s">
        <v>4840</v>
      </c>
      <c r="G100" s="49" t="s">
        <v>4841</v>
      </c>
      <c r="H100" s="52" t="s">
        <v>4343</v>
      </c>
      <c r="I100" s="53"/>
      <c r="J100" s="53"/>
    </row>
    <row r="101" ht="17.5" spans="1:10">
      <c r="A101" s="49" t="s">
        <v>4842</v>
      </c>
      <c r="B101" s="50" t="s">
        <v>4843</v>
      </c>
      <c r="C101" s="51" t="s">
        <v>4844</v>
      </c>
      <c r="D101" s="52" t="s">
        <v>4845</v>
      </c>
      <c r="E101" s="52" t="s">
        <v>4846</v>
      </c>
      <c r="F101" s="49" t="s">
        <v>4847</v>
      </c>
      <c r="G101" s="49" t="s">
        <v>4163</v>
      </c>
      <c r="H101" s="52" t="s">
        <v>4848</v>
      </c>
      <c r="I101" s="53"/>
      <c r="J101" s="53"/>
    </row>
    <row r="102" ht="17.5" spans="1:10">
      <c r="A102" s="49" t="s">
        <v>4849</v>
      </c>
      <c r="B102" s="50" t="s">
        <v>4850</v>
      </c>
      <c r="C102" s="51" t="s">
        <v>4851</v>
      </c>
      <c r="D102" s="52" t="s">
        <v>4852</v>
      </c>
      <c r="E102" s="52" t="s">
        <v>4853</v>
      </c>
      <c r="F102" s="52" t="s">
        <v>4440</v>
      </c>
      <c r="G102" s="49" t="s">
        <v>4358</v>
      </c>
      <c r="H102" s="52" t="s">
        <v>4854</v>
      </c>
      <c r="I102" s="53"/>
      <c r="J102" s="53"/>
    </row>
    <row r="103" ht="17.5" spans="1:10">
      <c r="A103" s="49" t="s">
        <v>4855</v>
      </c>
      <c r="B103" s="50" t="s">
        <v>4856</v>
      </c>
      <c r="C103" s="51" t="s">
        <v>4857</v>
      </c>
      <c r="D103" s="52" t="s">
        <v>4858</v>
      </c>
      <c r="E103" s="52" t="s">
        <v>4859</v>
      </c>
      <c r="F103" s="52" t="s">
        <v>4860</v>
      </c>
      <c r="G103" s="52" t="s">
        <v>4861</v>
      </c>
      <c r="H103" s="53" t="s">
        <v>4862</v>
      </c>
      <c r="I103" s="53"/>
      <c r="J103" s="53"/>
    </row>
    <row r="104" ht="17.5" spans="1:10">
      <c r="A104" s="49" t="s">
        <v>4863</v>
      </c>
      <c r="B104" s="50" t="s">
        <v>4864</v>
      </c>
      <c r="C104" s="52" t="s">
        <v>4865</v>
      </c>
      <c r="D104" s="52" t="s">
        <v>4866</v>
      </c>
      <c r="E104" s="52" t="s">
        <v>4867</v>
      </c>
      <c r="F104" s="52" t="s">
        <v>4868</v>
      </c>
      <c r="G104" s="52" t="s">
        <v>4869</v>
      </c>
      <c r="H104" s="52" t="s">
        <v>4870</v>
      </c>
      <c r="I104" s="53"/>
      <c r="J104" s="53"/>
    </row>
    <row r="105" ht="17.5" spans="1:10">
      <c r="A105" s="49" t="s">
        <v>4871</v>
      </c>
      <c r="B105" s="50" t="s">
        <v>4872</v>
      </c>
      <c r="C105" s="51" t="s">
        <v>4873</v>
      </c>
      <c r="D105" s="52" t="s">
        <v>4874</v>
      </c>
      <c r="E105" s="52" t="s">
        <v>4875</v>
      </c>
      <c r="F105" s="49" t="s">
        <v>4876</v>
      </c>
      <c r="G105" s="49" t="s">
        <v>4877</v>
      </c>
      <c r="H105" s="52" t="s">
        <v>4878</v>
      </c>
      <c r="I105" s="53"/>
      <c r="J105" s="53"/>
    </row>
    <row r="106" ht="17.5" spans="1:10">
      <c r="A106" s="49" t="s">
        <v>4879</v>
      </c>
      <c r="B106" s="50" t="s">
        <v>4880</v>
      </c>
      <c r="C106" s="52" t="s">
        <v>4881</v>
      </c>
      <c r="D106" s="52" t="s">
        <v>4882</v>
      </c>
      <c r="E106" s="52" t="s">
        <v>4883</v>
      </c>
      <c r="F106" s="49" t="s">
        <v>4884</v>
      </c>
      <c r="G106" s="52" t="s">
        <v>4210</v>
      </c>
      <c r="H106" s="52" t="s">
        <v>4885</v>
      </c>
      <c r="I106" s="53"/>
      <c r="J106" s="53"/>
    </row>
    <row r="107" ht="17.5" spans="1:10">
      <c r="A107" s="49" t="s">
        <v>4886</v>
      </c>
      <c r="B107" s="50" t="s">
        <v>4887</v>
      </c>
      <c r="C107" s="52" t="s">
        <v>4888</v>
      </c>
      <c r="D107" s="52" t="s">
        <v>4889</v>
      </c>
      <c r="E107" s="52" t="s">
        <v>4883</v>
      </c>
      <c r="F107" s="49" t="s">
        <v>4884</v>
      </c>
      <c r="G107" s="52" t="s">
        <v>4210</v>
      </c>
      <c r="H107" s="52" t="s">
        <v>4885</v>
      </c>
      <c r="I107" s="53"/>
      <c r="J107" s="53"/>
    </row>
    <row r="108" ht="17.5" spans="1:10">
      <c r="A108" s="49" t="s">
        <v>4890</v>
      </c>
      <c r="B108" s="50" t="s">
        <v>4891</v>
      </c>
      <c r="C108" s="51" t="s">
        <v>4892</v>
      </c>
      <c r="D108" s="52" t="s">
        <v>4893</v>
      </c>
      <c r="E108" s="52" t="s">
        <v>4894</v>
      </c>
      <c r="F108" s="49" t="s">
        <v>4895</v>
      </c>
      <c r="G108" s="49" t="s">
        <v>4163</v>
      </c>
      <c r="H108" s="52" t="s">
        <v>4896</v>
      </c>
      <c r="I108" s="53"/>
      <c r="J108" s="53"/>
    </row>
    <row r="109" ht="17.5" spans="1:10">
      <c r="A109" s="49" t="s">
        <v>4897</v>
      </c>
      <c r="B109" s="50" t="s">
        <v>4898</v>
      </c>
      <c r="C109" s="52" t="s">
        <v>4899</v>
      </c>
      <c r="D109" s="52" t="s">
        <v>4900</v>
      </c>
      <c r="E109" s="52" t="s">
        <v>4901</v>
      </c>
      <c r="F109" s="49" t="s">
        <v>4902</v>
      </c>
      <c r="G109" s="49" t="s">
        <v>4136</v>
      </c>
      <c r="H109" s="52" t="s">
        <v>4903</v>
      </c>
      <c r="I109" s="53"/>
      <c r="J109" s="53"/>
    </row>
    <row r="110" ht="17.5" spans="1:10">
      <c r="A110" s="49" t="s">
        <v>4904</v>
      </c>
      <c r="B110" s="50" t="s">
        <v>4905</v>
      </c>
      <c r="C110" s="52" t="s">
        <v>4906</v>
      </c>
      <c r="D110" s="52" t="s">
        <v>4907</v>
      </c>
      <c r="E110" s="52" t="s">
        <v>4908</v>
      </c>
      <c r="F110" s="49" t="s">
        <v>4909</v>
      </c>
      <c r="G110" s="49" t="s">
        <v>4910</v>
      </c>
      <c r="H110" s="53" t="s">
        <v>4911</v>
      </c>
      <c r="I110" s="53"/>
      <c r="J110" s="53"/>
    </row>
    <row r="111" ht="17.5" spans="1:10">
      <c r="A111" s="49" t="s">
        <v>4912</v>
      </c>
      <c r="B111" s="50" t="s">
        <v>4913</v>
      </c>
      <c r="C111" s="52" t="s">
        <v>4914</v>
      </c>
      <c r="D111" s="52" t="s">
        <v>4915</v>
      </c>
      <c r="E111" s="52" t="s">
        <v>4916</v>
      </c>
      <c r="F111" s="49" t="s">
        <v>4917</v>
      </c>
      <c r="G111" s="49" t="s">
        <v>4918</v>
      </c>
      <c r="H111" s="52" t="s">
        <v>4919</v>
      </c>
      <c r="I111" s="53"/>
      <c r="J111" s="53"/>
    </row>
    <row r="112" ht="17.5" spans="1:10">
      <c r="A112" s="49" t="s">
        <v>4920</v>
      </c>
      <c r="B112" s="50" t="s">
        <v>4921</v>
      </c>
      <c r="C112" s="51" t="s">
        <v>4922</v>
      </c>
      <c r="D112" s="52" t="s">
        <v>4923</v>
      </c>
      <c r="E112" s="52" t="s">
        <v>4924</v>
      </c>
      <c r="F112" s="49" t="s">
        <v>4925</v>
      </c>
      <c r="G112" s="49" t="s">
        <v>4321</v>
      </c>
      <c r="H112" s="52" t="s">
        <v>4926</v>
      </c>
      <c r="I112" s="53"/>
      <c r="J112" s="53"/>
    </row>
    <row r="113" ht="17.5" spans="1:10">
      <c r="A113" s="49" t="s">
        <v>4927</v>
      </c>
      <c r="B113" s="54" t="s">
        <v>4928</v>
      </c>
      <c r="C113" s="51" t="s">
        <v>4929</v>
      </c>
      <c r="D113" s="52" t="s">
        <v>4930</v>
      </c>
      <c r="E113" s="52" t="s">
        <v>4931</v>
      </c>
      <c r="F113" s="49" t="s">
        <v>4526</v>
      </c>
      <c r="G113" s="49" t="s">
        <v>4932</v>
      </c>
      <c r="H113" s="53" t="s">
        <v>4933</v>
      </c>
      <c r="I113" s="53"/>
      <c r="J113" s="53"/>
    </row>
    <row r="114" ht="17.5" spans="1:10">
      <c r="A114" s="49" t="s">
        <v>4934</v>
      </c>
      <c r="B114" s="50" t="s">
        <v>4935</v>
      </c>
      <c r="C114" s="52" t="s">
        <v>4936</v>
      </c>
      <c r="D114" s="52" t="s">
        <v>4937</v>
      </c>
      <c r="E114" s="52" t="s">
        <v>4938</v>
      </c>
      <c r="F114" s="49" t="s">
        <v>4939</v>
      </c>
      <c r="G114" s="49" t="s">
        <v>4940</v>
      </c>
      <c r="H114" s="52" t="s">
        <v>4941</v>
      </c>
      <c r="I114" s="53"/>
      <c r="J114" s="53"/>
    </row>
    <row r="115" ht="17.5" spans="1:10">
      <c r="A115" s="49" t="s">
        <v>4942</v>
      </c>
      <c r="B115" s="50" t="s">
        <v>4943</v>
      </c>
      <c r="C115" s="52" t="s">
        <v>4944</v>
      </c>
      <c r="D115" s="52" t="s">
        <v>4945</v>
      </c>
      <c r="E115" s="52" t="s">
        <v>4946</v>
      </c>
      <c r="F115" s="49" t="s">
        <v>4947</v>
      </c>
      <c r="G115" s="49" t="s">
        <v>4428</v>
      </c>
      <c r="H115" s="52" t="s">
        <v>4948</v>
      </c>
      <c r="I115" s="53"/>
      <c r="J115" s="53"/>
    </row>
    <row r="116" ht="17.5" spans="1:10">
      <c r="A116" s="49" t="s">
        <v>4949</v>
      </c>
      <c r="B116" s="50" t="s">
        <v>4950</v>
      </c>
      <c r="C116" s="52" t="s">
        <v>4951</v>
      </c>
      <c r="D116" s="52" t="s">
        <v>4952</v>
      </c>
      <c r="E116" s="52" t="s">
        <v>4953</v>
      </c>
      <c r="F116" s="49" t="s">
        <v>4954</v>
      </c>
      <c r="G116" s="49" t="s">
        <v>4129</v>
      </c>
      <c r="H116" s="52" t="s">
        <v>4955</v>
      </c>
      <c r="I116" s="53"/>
      <c r="J116" s="53"/>
    </row>
    <row r="117" ht="17.5" spans="1:10">
      <c r="A117" s="49" t="s">
        <v>4956</v>
      </c>
      <c r="B117" s="50" t="s">
        <v>4957</v>
      </c>
      <c r="C117" s="52" t="s">
        <v>4958</v>
      </c>
      <c r="D117" s="52" t="s">
        <v>4959</v>
      </c>
      <c r="E117" s="52" t="s">
        <v>4960</v>
      </c>
      <c r="F117" s="49" t="s">
        <v>4961</v>
      </c>
      <c r="G117" s="52" t="s">
        <v>4962</v>
      </c>
      <c r="H117" s="52" t="s">
        <v>4963</v>
      </c>
      <c r="I117" s="53"/>
      <c r="J117" s="53"/>
    </row>
    <row r="118" ht="17.5" spans="1:10">
      <c r="A118" s="49" t="s">
        <v>4964</v>
      </c>
      <c r="B118" s="50" t="s">
        <v>4965</v>
      </c>
      <c r="C118" s="52" t="s">
        <v>4966</v>
      </c>
      <c r="D118" s="52" t="s">
        <v>4967</v>
      </c>
      <c r="E118" s="52" t="s">
        <v>4968</v>
      </c>
      <c r="F118" s="49" t="s">
        <v>4239</v>
      </c>
      <c r="G118" s="52" t="s">
        <v>4210</v>
      </c>
      <c r="H118" s="52" t="s">
        <v>4969</v>
      </c>
      <c r="I118" s="53"/>
      <c r="J118" s="53"/>
    </row>
    <row r="119" ht="17.5" spans="1:10">
      <c r="A119" s="49" t="s">
        <v>4970</v>
      </c>
      <c r="B119" s="50" t="s">
        <v>4971</v>
      </c>
      <c r="C119" s="52" t="s">
        <v>4972</v>
      </c>
      <c r="D119" s="52" t="s">
        <v>4973</v>
      </c>
      <c r="E119" s="52" t="s">
        <v>4974</v>
      </c>
      <c r="F119" s="52" t="s">
        <v>4975</v>
      </c>
      <c r="G119" s="52" t="s">
        <v>4976</v>
      </c>
      <c r="H119" s="52" t="s">
        <v>4343</v>
      </c>
      <c r="I119" s="53"/>
      <c r="J119" s="53"/>
    </row>
    <row r="120" ht="17.5" spans="1:10">
      <c r="A120" s="49" t="s">
        <v>4977</v>
      </c>
      <c r="B120" s="50" t="s">
        <v>4978</v>
      </c>
      <c r="C120" s="51" t="s">
        <v>4979</v>
      </c>
      <c r="D120" s="52" t="s">
        <v>4980</v>
      </c>
      <c r="E120" s="52" t="s">
        <v>4950</v>
      </c>
      <c r="F120" s="52" t="s">
        <v>4981</v>
      </c>
      <c r="G120" s="52" t="s">
        <v>4982</v>
      </c>
      <c r="H120" s="52" t="s">
        <v>4983</v>
      </c>
      <c r="I120" s="53"/>
      <c r="J120" s="53"/>
    </row>
    <row r="121" ht="17.5" spans="1:10">
      <c r="A121" s="49" t="s">
        <v>4984</v>
      </c>
      <c r="B121" s="50" t="s">
        <v>4985</v>
      </c>
      <c r="C121" s="52" t="s">
        <v>4986</v>
      </c>
      <c r="D121" s="52" t="s">
        <v>4987</v>
      </c>
      <c r="E121" s="52" t="s">
        <v>4988</v>
      </c>
      <c r="F121" s="49" t="s">
        <v>4791</v>
      </c>
      <c r="G121" s="49" t="s">
        <v>4129</v>
      </c>
      <c r="H121" s="52" t="s">
        <v>4989</v>
      </c>
      <c r="I121" s="53"/>
      <c r="J121" s="53"/>
    </row>
    <row r="122" ht="17.5" spans="1:10">
      <c r="A122" s="49" t="s">
        <v>4990</v>
      </c>
      <c r="B122" s="50" t="s">
        <v>4991</v>
      </c>
      <c r="C122" s="52" t="s">
        <v>4992</v>
      </c>
      <c r="D122" s="52" t="s">
        <v>4993</v>
      </c>
      <c r="E122" s="52" t="s">
        <v>4994</v>
      </c>
      <c r="F122" s="52" t="s">
        <v>4593</v>
      </c>
      <c r="G122" s="49" t="s">
        <v>4129</v>
      </c>
      <c r="H122" s="52" t="s">
        <v>4995</v>
      </c>
      <c r="I122" s="53"/>
      <c r="J122" s="53"/>
    </row>
    <row r="123" ht="17.5" spans="1:10">
      <c r="A123" s="49" t="s">
        <v>4996</v>
      </c>
      <c r="B123" s="50" t="s">
        <v>4997</v>
      </c>
      <c r="C123" s="51" t="s">
        <v>4998</v>
      </c>
      <c r="D123" s="52" t="s">
        <v>4999</v>
      </c>
      <c r="E123" s="52" t="s">
        <v>5000</v>
      </c>
      <c r="F123" s="49" t="s">
        <v>4357</v>
      </c>
      <c r="G123" s="49" t="s">
        <v>5001</v>
      </c>
      <c r="H123" s="53" t="s">
        <v>5002</v>
      </c>
      <c r="I123" s="53"/>
      <c r="J123" s="53"/>
    </row>
    <row r="124" ht="17.5" spans="1:10">
      <c r="A124" s="49" t="s">
        <v>5003</v>
      </c>
      <c r="B124" s="50" t="s">
        <v>5004</v>
      </c>
      <c r="C124" s="52" t="s">
        <v>5005</v>
      </c>
      <c r="D124" s="52" t="s">
        <v>5006</v>
      </c>
      <c r="E124" s="52" t="s">
        <v>5007</v>
      </c>
      <c r="F124" s="49" t="s">
        <v>5008</v>
      </c>
      <c r="G124" s="49" t="s">
        <v>5009</v>
      </c>
      <c r="H124" s="52" t="s">
        <v>5010</v>
      </c>
      <c r="I124" s="53"/>
      <c r="J124" s="53"/>
    </row>
    <row r="125" ht="17.5" spans="1:10">
      <c r="A125" s="49" t="s">
        <v>5011</v>
      </c>
      <c r="B125" s="50" t="s">
        <v>5012</v>
      </c>
      <c r="C125" s="52" t="s">
        <v>5013</v>
      </c>
      <c r="D125" s="52" t="s">
        <v>5014</v>
      </c>
      <c r="E125" s="52" t="s">
        <v>5015</v>
      </c>
      <c r="F125" s="52" t="s">
        <v>5016</v>
      </c>
      <c r="G125" s="49" t="s">
        <v>4358</v>
      </c>
      <c r="H125" s="52" t="s">
        <v>5017</v>
      </c>
      <c r="I125" s="53"/>
      <c r="J125" s="53"/>
    </row>
    <row r="126" ht="17.5" spans="1:10">
      <c r="A126" s="49" t="s">
        <v>5018</v>
      </c>
      <c r="B126" s="50" t="s">
        <v>5019</v>
      </c>
      <c r="C126" s="51" t="s">
        <v>5020</v>
      </c>
      <c r="D126" s="52" t="s">
        <v>5021</v>
      </c>
      <c r="E126" s="52" t="s">
        <v>5022</v>
      </c>
      <c r="F126" s="49" t="s">
        <v>5023</v>
      </c>
      <c r="G126" s="49" t="s">
        <v>5024</v>
      </c>
      <c r="H126" s="52" t="s">
        <v>5025</v>
      </c>
      <c r="I126" s="53"/>
      <c r="J126" s="53"/>
    </row>
    <row r="127" ht="17.5" spans="1:10">
      <c r="A127" s="49" t="s">
        <v>5026</v>
      </c>
      <c r="B127" s="50" t="s">
        <v>5027</v>
      </c>
      <c r="C127" s="52" t="s">
        <v>5028</v>
      </c>
      <c r="D127" s="52" t="s">
        <v>5029</v>
      </c>
      <c r="E127" s="52" t="s">
        <v>5030</v>
      </c>
      <c r="F127" s="49" t="s">
        <v>5031</v>
      </c>
      <c r="G127" s="52" t="s">
        <v>5032</v>
      </c>
      <c r="H127" s="52" t="s">
        <v>5033</v>
      </c>
      <c r="I127" s="53"/>
      <c r="J127" s="53"/>
    </row>
    <row r="128" ht="17.5" spans="1:10">
      <c r="A128" s="49" t="s">
        <v>5034</v>
      </c>
      <c r="B128" s="50" t="s">
        <v>5035</v>
      </c>
      <c r="C128" s="52" t="s">
        <v>5036</v>
      </c>
      <c r="D128" s="52" t="s">
        <v>5037</v>
      </c>
      <c r="E128" s="52" t="s">
        <v>5038</v>
      </c>
      <c r="F128" s="49" t="s">
        <v>5039</v>
      </c>
      <c r="G128" s="49" t="s">
        <v>4195</v>
      </c>
      <c r="H128" s="52" t="s">
        <v>5040</v>
      </c>
      <c r="I128" s="53"/>
      <c r="J128" s="53"/>
    </row>
    <row r="129" ht="17.5" spans="1:10">
      <c r="A129" s="49" t="s">
        <v>5041</v>
      </c>
      <c r="B129" s="50" t="s">
        <v>5042</v>
      </c>
      <c r="C129" s="52" t="s">
        <v>5043</v>
      </c>
      <c r="D129" s="52" t="s">
        <v>5044</v>
      </c>
      <c r="E129" s="52" t="s">
        <v>5045</v>
      </c>
      <c r="F129" s="52" t="s">
        <v>4372</v>
      </c>
      <c r="G129" s="49" t="s">
        <v>4151</v>
      </c>
      <c r="H129" s="52" t="s">
        <v>5046</v>
      </c>
      <c r="I129" s="53"/>
      <c r="J129" s="53"/>
    </row>
    <row r="130" ht="17.5" spans="1:10">
      <c r="A130" s="49" t="s">
        <v>5047</v>
      </c>
      <c r="B130" s="50" t="s">
        <v>5048</v>
      </c>
      <c r="C130" s="52" t="s">
        <v>5049</v>
      </c>
      <c r="D130" s="52" t="s">
        <v>5050</v>
      </c>
      <c r="E130" s="52" t="s">
        <v>5051</v>
      </c>
      <c r="F130" s="49" t="s">
        <v>4427</v>
      </c>
      <c r="G130" s="49" t="s">
        <v>5052</v>
      </c>
      <c r="H130" s="52" t="s">
        <v>5053</v>
      </c>
      <c r="I130" s="53"/>
      <c r="J130" s="53"/>
    </row>
    <row r="131" ht="17.5" spans="1:10">
      <c r="A131" s="49" t="s">
        <v>5054</v>
      </c>
      <c r="B131" s="50" t="s">
        <v>5055</v>
      </c>
      <c r="C131" s="51" t="s">
        <v>5056</v>
      </c>
      <c r="D131" s="52" t="s">
        <v>5057</v>
      </c>
      <c r="E131" s="52" t="s">
        <v>5058</v>
      </c>
      <c r="F131" s="49" t="s">
        <v>5059</v>
      </c>
      <c r="G131" s="49" t="s">
        <v>4195</v>
      </c>
      <c r="H131" s="52" t="s">
        <v>5060</v>
      </c>
      <c r="I131" s="53"/>
      <c r="J131" s="53"/>
    </row>
    <row r="132" ht="17.5" spans="1:10">
      <c r="A132" s="49" t="s">
        <v>5061</v>
      </c>
      <c r="B132" s="50" t="s">
        <v>5062</v>
      </c>
      <c r="C132" s="52" t="s">
        <v>5063</v>
      </c>
      <c r="D132" s="52" t="s">
        <v>5064</v>
      </c>
      <c r="E132" s="52" t="s">
        <v>5065</v>
      </c>
      <c r="F132" s="49" t="s">
        <v>5066</v>
      </c>
      <c r="G132" s="49" t="s">
        <v>5067</v>
      </c>
      <c r="H132" s="52" t="s">
        <v>5068</v>
      </c>
      <c r="I132" s="53"/>
      <c r="J132" s="53"/>
    </row>
    <row r="133" ht="17.5" spans="1:10">
      <c r="A133" s="49" t="s">
        <v>5069</v>
      </c>
      <c r="B133" s="50" t="s">
        <v>5070</v>
      </c>
      <c r="C133" s="51" t="s">
        <v>5071</v>
      </c>
      <c r="D133" s="52" t="s">
        <v>5072</v>
      </c>
      <c r="E133" s="52" t="s">
        <v>5073</v>
      </c>
      <c r="F133" s="49" t="s">
        <v>5074</v>
      </c>
      <c r="G133" s="49" t="s">
        <v>5075</v>
      </c>
      <c r="H133" s="52" t="s">
        <v>5076</v>
      </c>
      <c r="I133" s="53"/>
      <c r="J133" s="53"/>
    </row>
    <row r="134" ht="17.5" spans="1:10">
      <c r="A134" s="49" t="s">
        <v>5077</v>
      </c>
      <c r="B134" s="50" t="s">
        <v>5078</v>
      </c>
      <c r="C134" s="52" t="s">
        <v>5079</v>
      </c>
      <c r="D134" s="52" t="s">
        <v>5080</v>
      </c>
      <c r="E134" s="52" t="s">
        <v>5081</v>
      </c>
      <c r="F134" s="49" t="s">
        <v>4365</v>
      </c>
      <c r="G134" s="49" t="s">
        <v>5082</v>
      </c>
      <c r="H134" s="53" t="s">
        <v>5083</v>
      </c>
      <c r="I134" s="53"/>
      <c r="J134" s="53"/>
    </row>
    <row r="135" ht="17.5" spans="1:10">
      <c r="A135" s="49" t="s">
        <v>5084</v>
      </c>
      <c r="B135" s="50" t="s">
        <v>5085</v>
      </c>
      <c r="C135" s="52" t="s">
        <v>5086</v>
      </c>
      <c r="D135" s="52" t="s">
        <v>5087</v>
      </c>
      <c r="E135" s="52" t="s">
        <v>5088</v>
      </c>
      <c r="F135" s="49" t="s">
        <v>5089</v>
      </c>
      <c r="G135" s="52" t="s">
        <v>4210</v>
      </c>
      <c r="H135" s="52" t="s">
        <v>5090</v>
      </c>
      <c r="I135" s="53"/>
      <c r="J135" s="53"/>
    </row>
    <row r="136" ht="17.5" spans="1:10">
      <c r="A136" s="49" t="s">
        <v>5091</v>
      </c>
      <c r="B136" s="50" t="s">
        <v>5092</v>
      </c>
      <c r="C136" s="52" t="s">
        <v>5093</v>
      </c>
      <c r="D136" s="52" t="s">
        <v>5094</v>
      </c>
      <c r="E136" s="52" t="s">
        <v>5095</v>
      </c>
      <c r="F136" s="52" t="s">
        <v>207</v>
      </c>
      <c r="G136" s="52" t="s">
        <v>4210</v>
      </c>
      <c r="H136" s="52" t="s">
        <v>4343</v>
      </c>
      <c r="I136" s="53"/>
      <c r="J136" s="53"/>
    </row>
    <row r="137" ht="17.5" spans="1:10">
      <c r="A137" s="49" t="s">
        <v>5096</v>
      </c>
      <c r="B137" s="50" t="s">
        <v>5097</v>
      </c>
      <c r="C137" s="52" t="s">
        <v>5098</v>
      </c>
      <c r="D137" s="52" t="s">
        <v>5099</v>
      </c>
      <c r="E137" s="52" t="s">
        <v>5070</v>
      </c>
      <c r="F137" s="52" t="s">
        <v>5100</v>
      </c>
      <c r="G137" s="49" t="s">
        <v>5101</v>
      </c>
      <c r="H137" s="53"/>
      <c r="I137" s="53"/>
      <c r="J137" s="53"/>
    </row>
    <row r="138" ht="17.5" spans="1:10">
      <c r="A138" s="49" t="s">
        <v>5102</v>
      </c>
      <c r="B138" s="50" t="s">
        <v>5103</v>
      </c>
      <c r="C138" s="52" t="s">
        <v>5104</v>
      </c>
      <c r="D138" s="52" t="s">
        <v>5105</v>
      </c>
      <c r="E138" s="52" t="s">
        <v>5106</v>
      </c>
      <c r="F138" s="52" t="s">
        <v>5107</v>
      </c>
      <c r="G138" s="49" t="s">
        <v>5101</v>
      </c>
      <c r="H138" s="53"/>
      <c r="I138" s="53"/>
      <c r="J138" s="53"/>
    </row>
    <row r="139" ht="17.5" spans="1:10">
      <c r="A139" s="49" t="s">
        <v>5108</v>
      </c>
      <c r="B139" s="50" t="s">
        <v>5109</v>
      </c>
      <c r="C139" s="52" t="s">
        <v>5110</v>
      </c>
      <c r="D139" s="52" t="s">
        <v>5111</v>
      </c>
      <c r="E139" s="52" t="s">
        <v>5112</v>
      </c>
      <c r="F139" s="52" t="s">
        <v>5113</v>
      </c>
      <c r="G139" s="49" t="s">
        <v>4195</v>
      </c>
      <c r="H139" s="52" t="s">
        <v>5114</v>
      </c>
      <c r="I139" s="53"/>
      <c r="J139" s="53"/>
    </row>
    <row r="140" ht="17.5" spans="1:10">
      <c r="A140" s="49" t="s">
        <v>5115</v>
      </c>
      <c r="B140" s="50" t="s">
        <v>5116</v>
      </c>
      <c r="C140" s="51" t="s">
        <v>5117</v>
      </c>
      <c r="D140" s="52" t="s">
        <v>5118</v>
      </c>
      <c r="E140" s="52" t="s">
        <v>5085</v>
      </c>
      <c r="F140" s="52" t="s">
        <v>5119</v>
      </c>
      <c r="G140" s="52" t="s">
        <v>5120</v>
      </c>
      <c r="H140" s="52" t="s">
        <v>5121</v>
      </c>
      <c r="I140" s="53"/>
      <c r="J140" s="53"/>
    </row>
    <row r="141" ht="17.5" spans="1:10">
      <c r="A141" s="49" t="s">
        <v>5122</v>
      </c>
      <c r="B141" s="50" t="s">
        <v>5123</v>
      </c>
      <c r="C141" s="52" t="s">
        <v>5124</v>
      </c>
      <c r="D141" s="52" t="s">
        <v>5125</v>
      </c>
      <c r="E141" s="52" t="s">
        <v>5126</v>
      </c>
      <c r="F141" s="49" t="s">
        <v>5127</v>
      </c>
      <c r="G141" s="49" t="s">
        <v>4163</v>
      </c>
      <c r="H141" s="52" t="s">
        <v>5128</v>
      </c>
      <c r="I141" s="53"/>
      <c r="J141" s="53"/>
    </row>
    <row r="142" ht="17.5" spans="1:10">
      <c r="A142" s="49" t="s">
        <v>5129</v>
      </c>
      <c r="B142" s="50" t="s">
        <v>5130</v>
      </c>
      <c r="C142" s="52" t="s">
        <v>5131</v>
      </c>
      <c r="D142" s="52" t="s">
        <v>5132</v>
      </c>
      <c r="E142" s="52" t="s">
        <v>5133</v>
      </c>
      <c r="F142" s="49" t="s">
        <v>5134</v>
      </c>
      <c r="G142" s="49" t="s">
        <v>4136</v>
      </c>
      <c r="H142" s="52" t="s">
        <v>5135</v>
      </c>
      <c r="I142" s="53"/>
      <c r="J142" s="53"/>
    </row>
    <row r="143" ht="17.5" spans="1:10">
      <c r="A143" s="49" t="s">
        <v>5136</v>
      </c>
      <c r="B143" s="50" t="s">
        <v>5137</v>
      </c>
      <c r="C143" s="52" t="s">
        <v>5138</v>
      </c>
      <c r="D143" s="52" t="s">
        <v>5139</v>
      </c>
      <c r="E143" s="52" t="s">
        <v>5140</v>
      </c>
      <c r="F143" s="49" t="s">
        <v>5141</v>
      </c>
      <c r="G143" s="52" t="s">
        <v>5142</v>
      </c>
      <c r="H143" s="52" t="s">
        <v>5143</v>
      </c>
      <c r="I143" s="53"/>
      <c r="J143" s="53"/>
    </row>
    <row r="144" ht="17.5" spans="1:10">
      <c r="A144" s="49" t="s">
        <v>5144</v>
      </c>
      <c r="B144" s="50" t="s">
        <v>5145</v>
      </c>
      <c r="C144" s="52" t="s">
        <v>5146</v>
      </c>
      <c r="D144" s="52" t="s">
        <v>5147</v>
      </c>
      <c r="E144" s="52" t="s">
        <v>5148</v>
      </c>
      <c r="F144" s="49" t="s">
        <v>4485</v>
      </c>
      <c r="G144" s="49" t="s">
        <v>4163</v>
      </c>
      <c r="H144" s="52" t="s">
        <v>5149</v>
      </c>
      <c r="I144" s="53"/>
      <c r="J144" s="53"/>
    </row>
    <row r="145" ht="17.5" spans="1:10">
      <c r="A145" s="49" t="s">
        <v>5150</v>
      </c>
      <c r="B145" s="50" t="s">
        <v>5151</v>
      </c>
      <c r="C145" s="52" t="s">
        <v>5152</v>
      </c>
      <c r="D145" s="52" t="s">
        <v>5153</v>
      </c>
      <c r="E145" s="52" t="s">
        <v>5154</v>
      </c>
      <c r="F145" s="49" t="s">
        <v>5155</v>
      </c>
      <c r="G145" s="49" t="s">
        <v>5067</v>
      </c>
      <c r="H145" s="52" t="s">
        <v>5156</v>
      </c>
      <c r="I145" s="53"/>
      <c r="J145" s="53"/>
    </row>
    <row r="146" ht="17.5" spans="1:10">
      <c r="A146" s="49" t="s">
        <v>5157</v>
      </c>
      <c r="B146" s="50" t="s">
        <v>5158</v>
      </c>
      <c r="C146" s="52" t="s">
        <v>5159</v>
      </c>
      <c r="D146" s="52" t="s">
        <v>5160</v>
      </c>
      <c r="E146" s="52" t="s">
        <v>5161</v>
      </c>
      <c r="F146" s="52" t="s">
        <v>4209</v>
      </c>
      <c r="G146" s="49" t="s">
        <v>4129</v>
      </c>
      <c r="H146" s="52" t="s">
        <v>5162</v>
      </c>
      <c r="I146" s="53"/>
      <c r="J146" s="53"/>
    </row>
    <row r="147" ht="17.5" spans="1:10">
      <c r="A147" s="49" t="s">
        <v>5163</v>
      </c>
      <c r="B147" s="50" t="s">
        <v>5164</v>
      </c>
      <c r="C147" s="52" t="s">
        <v>5165</v>
      </c>
      <c r="D147" s="52" t="s">
        <v>5166</v>
      </c>
      <c r="E147" s="52" t="s">
        <v>5167</v>
      </c>
      <c r="F147" s="49" t="s">
        <v>4791</v>
      </c>
      <c r="G147" s="49" t="s">
        <v>5168</v>
      </c>
      <c r="H147" s="52" t="s">
        <v>5169</v>
      </c>
      <c r="I147" s="53"/>
      <c r="J147" s="53"/>
    </row>
    <row r="148" ht="17.5" spans="1:10">
      <c r="A148" s="49" t="s">
        <v>5170</v>
      </c>
      <c r="B148" s="50" t="s">
        <v>5171</v>
      </c>
      <c r="C148" s="52" t="s">
        <v>5172</v>
      </c>
      <c r="D148" s="52" t="s">
        <v>5173</v>
      </c>
      <c r="E148" s="52" t="s">
        <v>5174</v>
      </c>
      <c r="F148" s="49" t="s">
        <v>5175</v>
      </c>
      <c r="G148" s="49" t="s">
        <v>4358</v>
      </c>
      <c r="H148" s="52" t="s">
        <v>5176</v>
      </c>
      <c r="I148" s="53"/>
      <c r="J148" s="53"/>
    </row>
    <row r="149" ht="17.5" spans="1:10">
      <c r="A149" s="49" t="s">
        <v>5177</v>
      </c>
      <c r="B149" s="50" t="s">
        <v>5178</v>
      </c>
      <c r="C149" s="52" t="s">
        <v>5179</v>
      </c>
      <c r="D149" s="52" t="s">
        <v>5180</v>
      </c>
      <c r="E149" s="52" t="s">
        <v>5181</v>
      </c>
      <c r="F149" s="52" t="s">
        <v>5182</v>
      </c>
      <c r="G149" s="49" t="s">
        <v>4163</v>
      </c>
      <c r="H149" s="52" t="s">
        <v>5183</v>
      </c>
      <c r="I149" s="53"/>
      <c r="J149" s="53"/>
    </row>
    <row r="150" ht="17.5" spans="1:10">
      <c r="A150" s="49" t="s">
        <v>5184</v>
      </c>
      <c r="B150" s="50" t="s">
        <v>5185</v>
      </c>
      <c r="C150" s="51" t="s">
        <v>5186</v>
      </c>
      <c r="D150" s="52" t="s">
        <v>5187</v>
      </c>
      <c r="E150" s="52" t="s">
        <v>5188</v>
      </c>
      <c r="F150" s="49" t="s">
        <v>5189</v>
      </c>
      <c r="G150" s="49" t="s">
        <v>4195</v>
      </c>
      <c r="H150" s="52" t="s">
        <v>5190</v>
      </c>
      <c r="I150" s="53"/>
      <c r="J150" s="53"/>
    </row>
    <row r="151" ht="17.5" spans="1:10">
      <c r="A151" s="49" t="s">
        <v>5191</v>
      </c>
      <c r="B151" s="50" t="s">
        <v>5192</v>
      </c>
      <c r="C151" s="51" t="s">
        <v>5193</v>
      </c>
      <c r="D151" s="52" t="s">
        <v>5194</v>
      </c>
      <c r="E151" s="52" t="s">
        <v>5158</v>
      </c>
      <c r="F151" s="49" t="s">
        <v>5195</v>
      </c>
      <c r="G151" s="49" t="s">
        <v>5196</v>
      </c>
      <c r="H151" s="52" t="s">
        <v>5197</v>
      </c>
      <c r="I151" s="53"/>
      <c r="J151" s="53"/>
    </row>
    <row r="152" ht="17.5" spans="1:10">
      <c r="A152" s="49" t="s">
        <v>5198</v>
      </c>
      <c r="B152" s="50" t="s">
        <v>5199</v>
      </c>
      <c r="C152" s="51" t="s">
        <v>5200</v>
      </c>
      <c r="D152" s="52" t="s">
        <v>5201</v>
      </c>
      <c r="E152" s="49" t="s">
        <v>5202</v>
      </c>
      <c r="F152" s="52" t="s">
        <v>5203</v>
      </c>
      <c r="G152" s="49" t="s">
        <v>5204</v>
      </c>
      <c r="H152" s="53"/>
      <c r="I152" s="53"/>
      <c r="J152" s="53"/>
    </row>
    <row r="153" ht="17.5" spans="1:10">
      <c r="A153" s="49" t="s">
        <v>5205</v>
      </c>
      <c r="B153" s="50" t="s">
        <v>5206</v>
      </c>
      <c r="C153" s="52" t="s">
        <v>5207</v>
      </c>
      <c r="D153" s="52" t="s">
        <v>5208</v>
      </c>
      <c r="E153" s="52" t="s">
        <v>5209</v>
      </c>
      <c r="F153" s="49" t="s">
        <v>4150</v>
      </c>
      <c r="G153" s="49" t="s">
        <v>5210</v>
      </c>
      <c r="H153" s="52" t="s">
        <v>5211</v>
      </c>
      <c r="I153" s="53"/>
      <c r="J153" s="53"/>
    </row>
    <row r="154" ht="17.5" spans="1:10">
      <c r="A154" s="49" t="s">
        <v>5212</v>
      </c>
      <c r="B154" s="50" t="s">
        <v>5213</v>
      </c>
      <c r="C154" s="51" t="s">
        <v>5214</v>
      </c>
      <c r="D154" s="52" t="s">
        <v>5215</v>
      </c>
      <c r="E154" s="52" t="s">
        <v>5216</v>
      </c>
      <c r="F154" s="49" t="s">
        <v>4672</v>
      </c>
      <c r="G154" s="49" t="s">
        <v>5067</v>
      </c>
      <c r="H154" s="52" t="s">
        <v>5217</v>
      </c>
      <c r="I154" s="53"/>
      <c r="J154" s="53"/>
    </row>
    <row r="155" ht="17.5" spans="1:10">
      <c r="A155" s="49" t="s">
        <v>5218</v>
      </c>
      <c r="B155" s="50" t="s">
        <v>5219</v>
      </c>
      <c r="C155" s="51" t="s">
        <v>5220</v>
      </c>
      <c r="D155" s="52" t="s">
        <v>5221</v>
      </c>
      <c r="E155" s="52" t="s">
        <v>5222</v>
      </c>
      <c r="F155" s="52" t="s">
        <v>4372</v>
      </c>
      <c r="G155" s="52" t="s">
        <v>4210</v>
      </c>
      <c r="H155" s="52" t="s">
        <v>5223</v>
      </c>
      <c r="I155" s="53"/>
      <c r="J155" s="53"/>
    </row>
    <row r="156" ht="17.5" spans="1:10">
      <c r="A156" s="49" t="s">
        <v>5224</v>
      </c>
      <c r="B156" s="50" t="s">
        <v>5225</v>
      </c>
      <c r="C156" s="52" t="s">
        <v>5226</v>
      </c>
      <c r="D156" s="52" t="s">
        <v>5227</v>
      </c>
      <c r="E156" s="52" t="s">
        <v>5228</v>
      </c>
      <c r="F156" s="52" t="s">
        <v>4440</v>
      </c>
      <c r="G156" s="49" t="s">
        <v>5229</v>
      </c>
      <c r="H156" s="52" t="s">
        <v>5230</v>
      </c>
      <c r="I156" s="53"/>
      <c r="J156" s="53"/>
    </row>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21" rangeCreator="" othersAccessPermission="edit"/>
    <arrUserId title="区域20" rangeCreator="" othersAccessPermission="edit"/>
    <arrUserId title="区域2" rangeCreator="" othersAccessPermission="edit"/>
    <arrUserId title="区域19" rangeCreator="" othersAccessPermission="edit"/>
    <arrUserId title="区域18" rangeCreator="" othersAccessPermission="edit"/>
    <arrUserId title="区域17" rangeCreator="" othersAccessPermission="edit"/>
    <arrUserId title="区域16" rangeCreator="" othersAccessPermission="edit"/>
    <arrUserId title="区域15" rangeCreator="" othersAccessPermission="edit"/>
    <arrUserId title="区域14" rangeCreator="" othersAccessPermission="edit"/>
    <arrUserId title="区域13" rangeCreator="" othersAccessPermission="edit"/>
    <arrUserId title="区域1" rangeCreator="" othersAccessPermission="edit"/>
  </rangeList>
  <rangeList sheetStid="2" master="" otherUserPermission="visible">
    <arrUserId title="技能表以上" rangeCreator="" othersAccessPermission="edit"/>
    <arrUserId title="技能表以上_1" rangeCreator="" othersAccessPermission="edit"/>
  </rangeList>
  <rangeList sheetStid="3" master="" otherUserPermission="visible">
    <arrUserId title="技能表以上" rangeCreator="" othersAccessPermission="edit"/>
  </rangeList>
  <rangeList sheetStid="4" master="" otherUserPermission="visible"/>
  <rangeList sheetStid="5" master="" otherUserPermission="visible">
    <arrUserId title="技能表往下" rangeCreator="" othersAccessPermission="edit"/>
    <arrUserId title="技能表往下_1" rangeCreator="" othersAccessPermission="edit"/>
  </rangeList>
  <rangeList sheetStid="6" master="" otherUserPermission="visible"/>
  <rangeList sheetStid="7" master="" otherUserPermission="visible">
    <arrUserId title="技能表以上_1" rangeCreator="" othersAccessPermission="edit"/>
  </rangeList>
  <rangeList sheetStid="8" master="" otherUserPermission="visible"/>
  <rangeList sheetStid="9" master="" otherUserPermission="visible"/>
  <rangeList sheetStid="10" master="" otherUserPermission="visible"/>
  <rangeList sheetStid="11" master="" otherUserPermission="visible"/>
  <rangeList sheetStid="12" master="" otherUserPermission="visible"/>
  <rangeList sheetStid="1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13</vt:i4>
      </vt:variant>
    </vt:vector>
  </HeadingPairs>
  <TitlesOfParts>
    <vt:vector size="13" baseType="lpstr">
      <vt:lpstr>人物卡</vt:lpstr>
      <vt:lpstr>简化卡 骰娘导入</vt:lpstr>
      <vt:lpstr>附表</vt:lpstr>
      <vt:lpstr>忠诚伙伴</vt:lpstr>
      <vt:lpstr>本职技能</vt:lpstr>
      <vt:lpstr>职业列表</vt:lpstr>
      <vt:lpstr>技能注释</vt:lpstr>
      <vt:lpstr>防具表 载具表</vt:lpstr>
      <vt:lpstr>COC法术</vt:lpstr>
      <vt:lpstr>神话书籍</vt:lpstr>
      <vt:lpstr>宠物图鉴</vt:lpstr>
      <vt:lpstr>武器列表</vt:lpstr>
      <vt:lpstr>特质Z</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COC七版私设人物卡</dc:title>
  <dc:creator>leherer洛儿</dc:creator>
  <cp:lastModifiedBy>心语</cp:lastModifiedBy>
  <dcterms:created xsi:type="dcterms:W3CDTF">2018-05-22T21:00:00Z</dcterms:created>
  <dcterms:modified xsi:type="dcterms:W3CDTF">2025-10-25T12:43:12Z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9996cc36aa3941d18e0a977d8baa5c7d_23</vt:lpwstr>
  </property>
</Properties>
</file>